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Rekapitulace stavby" sheetId="1" r:id="rId1"/>
    <sheet name="1.2 - Oprava havarijního ..." sheetId="2" r:id="rId2"/>
  </sheets>
  <definedNames>
    <definedName name="_xlnm.Print_Titles" localSheetId="1">'1.2 - Oprava havarijního ...'!$119:$119</definedName>
    <definedName name="_xlnm.Print_Titles" localSheetId="0">'Rekapitulace stavby'!$85:$85</definedName>
    <definedName name="_xlnm.Print_Area" localSheetId="1">'1.2 - Oprava havarijního ...'!$C$4:$Q$70,'1.2 - Oprava havarijního ...'!$C$76:$Q$103,'1.2 - Oprava havarijního ...'!$C$109:$Q$224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<sst xmlns="http://schemas.openxmlformats.org/spreadsheetml/2006/main" count="1005" uniqueCount="272">
  <si>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</si>
  <si>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</si>
  <si>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</si>
  <si>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</si>
  <si>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</si>
  <si>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</si>
  <si>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</si>
  <si>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</si>
  <si>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</si>
  <si>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</si>
  <si>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</si>
  <si>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</si>
  <si>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</si>
  <si>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</t>
  </si>
  <si>
    <t>Stavba:</t>
  </si>
  <si>
    <t>Oprava havarijního stavu koupaliště v obci Vysoká Pec</t>
  </si>
  <si>
    <t>0,1</t>
  </si>
  <si>
    <t>JKSO:</t>
  </si>
  <si>
    <t>CC-CZ: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</si>
  <si>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</si>
  <si>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</si>
  <si>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</si>
  <si>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</si>
  <si>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</si>
  <si>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</si>
  <si>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</si>
  <si>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</si>
  <si>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</si>
  <si>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</si>
  <si>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45274983</t>
  </si>
  <si>
    <t>TOP CON SERVIS s.r.o.  Ke Stírce 56,182 00 Praha 8</t>
  </si>
  <si>
    <t>CZ45274983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</si>
  <si>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</si>
  <si>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</si>
  <si>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</si>
  <si>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</si>
  <si>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</si>
  <si>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</si>
  <si>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</si>
  <si>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</si>
  <si>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</si>
  <si>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</si>
  <si>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</si>
  <si>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</si>
  <si>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</si>
  <si>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</si>
  <si>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</si>
  <si>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</si>
  <si>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</si>
  <si>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</si>
  <si>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</si>
  <si>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</si>
  <si>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</si>
  <si>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</si>
  <si>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</si>
  <si>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</si>
  <si>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</si>
  <si>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</si>
  <si>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</si>
  <si>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</si>
  <si>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</si>
  <si>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</si>
  <si>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</si>
  <si>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</si>
  <si>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</si>
  <si>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</si>
  <si>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</si>
  <si>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</si>
  <si>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</si>
  <si>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</si>
  <si>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</si>
  <si>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</si>
  <si>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</si>
  <si>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</si>
  <si>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</si>
  <si>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</si>
  <si>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{AA28FE9D-188E-4A6A-841D-11B2E77B0C49}</t>
  </si>
  <si>
    <t>{00000000-0000-0000-0000-000000000000}</t>
  </si>
  <si>
    <t>1.2</t>
  </si>
  <si>
    <t>{86DCA989-104E-4F64-8463-3E0BFA0160B2}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</si>
  <si>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</si>
  <si>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</si>
  <si>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</si>
  <si>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</si>
  <si>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</si>
  <si>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</si>
  <si>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</si>
  <si>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</si>
  <si>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</si>
  <si>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</si>
  <si>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</si>
  <si>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</si>
  <si>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</si>
  <si>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</si>
  <si>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</si>
  <si>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</si>
  <si>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</si>
  <si>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</si>
  <si>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</si>
  <si>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9 - Ostatní konstrukce a práce-bourání</t>
  </si>
  <si>
    <t xml:space="preserve">      99 - Přesuny hmot a sutí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</si>
  <si>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</si>
  <si>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</si>
  <si>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</si>
  <si>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</si>
  <si>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</si>
  <si>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</si>
  <si>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</si>
  <si>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</si>
  <si>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</si>
  <si>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</si>
  <si>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</si>
  <si>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</si>
  <si>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</si>
  <si>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</si>
  <si>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</si>
  <si>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</si>
  <si>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</si>
  <si>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</si>
  <si>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</si>
  <si>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</si>
  <si>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</si>
  <si>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</si>
  <si>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128</t>
  </si>
  <si>
    <t>K</t>
  </si>
  <si>
    <t>122101102</t>
  </si>
  <si>
    <t>Odkopávky a prokopávky nezapažené v hornině tř. 1 a 2 objem do 1000 m3</t>
  </si>
  <si>
    <t>m3</t>
  </si>
  <si>
    <t>4</t>
  </si>
  <si>
    <t xml:space="preserve">Terénní úpravy (zarovnání terénu k římse, úprava terénu mezi bazénem a hříštěm)
odkop zeminy bude použit pro terénní úpravy, zásyp přítokového koryta. </t>
  </si>
  <si>
    <t>P</t>
  </si>
  <si>
    <t>(3,6*17,3)+(1,5*10,8)+(0,7*16)+(0,84*25)+(0,27*4,8)+(0,09*26,9)</t>
  </si>
  <si>
    <t>VV</t>
  </si>
  <si>
    <t>132</t>
  </si>
  <si>
    <t>162201101</t>
  </si>
  <si>
    <t>Vodorovné přemístění do 20 m výkopku/sypaniny z horniny tř. 1 až 4</t>
  </si>
  <si>
    <t>135</t>
  </si>
  <si>
    <t>R175101201</t>
  </si>
  <si>
    <t xml:space="preserve">Obsypání objektů bez prohození sypaniny z hornin tř. 1 až 4 </t>
  </si>
  <si>
    <t>Rozprostření zbylého výkopku v rámci terénních úprav.
Naložení, odvoz, urovnání.</t>
  </si>
  <si>
    <t>114,3-(37,7+6,389)</t>
  </si>
  <si>
    <t>120</t>
  </si>
  <si>
    <t>321321115</t>
  </si>
  <si>
    <t>Konstrukce bazénu</t>
  </si>
  <si>
    <t>1923*0,150"objem betonu, dno bazenu"</t>
  </si>
  <si>
    <t>348*0,250"objem betonu stěny bazénu"</t>
  </si>
  <si>
    <t>0,2*200"objem betonu římsa"</t>
  </si>
  <si>
    <t>(10,3*5,2*0,450)+((5,2+5,2+10,3)*0,150*0,4)"objem betonu bazének - ohřev vody"</t>
  </si>
  <si>
    <t>5"základy pro schodiště a rampu+úprava tvaru dolního odvod. žlábku"</t>
  </si>
  <si>
    <t>Součet</t>
  </si>
  <si>
    <t>121</t>
  </si>
  <si>
    <t>321351010</t>
  </si>
  <si>
    <t>Bednění konstrukcí vodních staveb rovinné - zřízení</t>
  </si>
  <si>
    <t>m2</t>
  </si>
  <si>
    <t>348+(348*0,3)"stěny bazénu + 30 % na část římsy a odtokového kanálku</t>
  </si>
  <si>
    <t>(5,2+5,2+10,3)+(0,8*2)"bazének pro ohřev vody"</t>
  </si>
  <si>
    <t>122</t>
  </si>
  <si>
    <t>321352010</t>
  </si>
  <si>
    <t>Bednění konstrukcí vodních staveb rovinné - odstranění</t>
  </si>
  <si>
    <t>119</t>
  </si>
  <si>
    <t>321366111</t>
  </si>
  <si>
    <t>Výztuž železobetonových konstrukcí vodních staveb z oceli 10 505 D do 12 mm</t>
  </si>
  <si>
    <t>t</t>
  </si>
  <si>
    <t>Spřahující výztuž R10 vlepena do předem vyvrtaných otvorů v desce a
na stěnách bazénu.</t>
  </si>
  <si>
    <t>123</t>
  </si>
  <si>
    <t>321368211</t>
  </si>
  <si>
    <t>Výztuž železobetonových konstrukcí vodních staveb ze svařovaných sítí</t>
  </si>
  <si>
    <t>(1923+348)"plocha dna stěn bazénu"</t>
  </si>
  <si>
    <t>0,5*200"římsy"</t>
  </si>
  <si>
    <t>10,3*5,2"bazének pro ohřev vody"</t>
  </si>
  <si>
    <t>4,3*2*2"rampy"</t>
  </si>
  <si>
    <t>Mezisoučet</t>
  </si>
  <si>
    <t>3</t>
  </si>
  <si>
    <t>2441,760*7,9"hmotnost jedné vrstvy kari sítě"</t>
  </si>
  <si>
    <t>(19289,904*2)/1000"dvě vrstvy kari sítě"</t>
  </si>
  <si>
    <t>35,580*0,2</t>
  </si>
  <si>
    <t>38,580+7,116</t>
  </si>
  <si>
    <t>140</t>
  </si>
  <si>
    <t>R578901112</t>
  </si>
  <si>
    <t>Zdrsňovací vsyp  v množství 4 kg/m2</t>
  </si>
  <si>
    <t>Zdrsňovací vsyp.
Zdrsnění dna bazénu posypem.</t>
  </si>
  <si>
    <t>1923</t>
  </si>
  <si>
    <t>163</t>
  </si>
  <si>
    <t>R985312113</t>
  </si>
  <si>
    <t>Hydroizolační stěrka, stěny bazénu.</t>
  </si>
  <si>
    <t>280</t>
  </si>
  <si>
    <t>152</t>
  </si>
  <si>
    <t>R953611131</t>
  </si>
  <si>
    <t>Oprava nerez schodišť a ocelové rampy</t>
  </si>
  <si>
    <t>kus</t>
  </si>
  <si>
    <t>Repase 3 x přístupové žebříky, matriál nerez, nové kotvení.
Oprava ocelové rampy, obnova nátěru, nové kotvení, oprava příp. výměna drobných, ocelových prvků.</t>
  </si>
  <si>
    <t>138</t>
  </si>
  <si>
    <t>R919111211</t>
  </si>
  <si>
    <t>Řezání spár pro vytvoření komůrky š 10 mm hl 15 mm pro těsnící zálivku - smršťovací spáry</t>
  </si>
  <si>
    <t>m</t>
  </si>
  <si>
    <t xml:space="preserve">Řezání smršťovacích spár.
</t>
  </si>
  <si>
    <t>33+33+62+62+60+60+33+32+33+33+34+35+35</t>
  </si>
  <si>
    <t>136</t>
  </si>
  <si>
    <t>931994102</t>
  </si>
  <si>
    <t>Těsnění dilatační spáry betonové konstrukce povrchovým pásem "waterstop"</t>
  </si>
  <si>
    <t>Těsnění spáry betonové konstrukce pásy, profily, tmely pásem „waterstop“ povrchovým, spáry dilatační.</t>
  </si>
  <si>
    <t>34,8+34,5+33,5</t>
  </si>
  <si>
    <t>143</t>
  </si>
  <si>
    <t>R935932111</t>
  </si>
  <si>
    <t>Dodávka a montáž: plastová krycí mříž bazénová pochozí pískovaná
délky 500 mm šířky žlabu 130 mm.</t>
  </si>
  <si>
    <t>14+60</t>
  </si>
  <si>
    <t>137</t>
  </si>
  <si>
    <t>Ra931994111</t>
  </si>
  <si>
    <t>Těsnění styčné spáry bobtnajícím profilem "swell"</t>
  </si>
  <si>
    <t>Těsnící, expanzní profil na kontaktu sťěna a dno bazénu.</t>
  </si>
  <si>
    <t>62+62+33+33</t>
  </si>
  <si>
    <t>118</t>
  </si>
  <si>
    <t>977141114</t>
  </si>
  <si>
    <t>Vrty pro kotvy do betonu průměru 14 mm hloubky 110 mm s vyplněním epoxidovým tmelem</t>
  </si>
  <si>
    <t>Spřahující, kotevní výztuž mezi starým a novým betonem
výztuž profilu R 10 , 4 KS do m 2</t>
  </si>
  <si>
    <t>1926*4"dno bazénu"</t>
  </si>
  <si>
    <t>345*4"boční stěny bazénu"</t>
  </si>
  <si>
    <t>115</t>
  </si>
  <si>
    <t>985131111</t>
  </si>
  <si>
    <t>Očištění ploch stěn, rubu kleneb a podlah tlakovou vodou</t>
  </si>
  <si>
    <t xml:space="preserve">Otryskání betonových ploch bazénu tlakovou vodou do 1000barů.
</t>
  </si>
  <si>
    <t>1926"dno bazénu"</t>
  </si>
  <si>
    <t>11,4"rampy"</t>
  </si>
  <si>
    <t>345"boční stěny bazénu"</t>
  </si>
  <si>
    <t>116</t>
  </si>
  <si>
    <t>985139112</t>
  </si>
  <si>
    <t>Příplatek k očištění ploch za plochu do 10 m2 jednotlivě</t>
  </si>
  <si>
    <t>117</t>
  </si>
  <si>
    <t>985141111</t>
  </si>
  <si>
    <t>Vyčištění trhlin a dutin ve zdivu š do 30 mm hl do 150 mm</t>
  </si>
  <si>
    <t>Ruční dočištění plochy, vyčištění trhlin a dutin od nesoudržného matriálu
na stěnách bazénu.</t>
  </si>
  <si>
    <t>(2,4*12)+(2,8*15)+(1,7*15)+(0,6*10)"svislé trhliny ve stěných"</t>
  </si>
  <si>
    <t>54,5+24,6+39,1+34,7"vodorovné trhliny ve stěnách"</t>
  </si>
  <si>
    <t>139</t>
  </si>
  <si>
    <t>Rb931994111</t>
  </si>
  <si>
    <t>Těsnění stmršťovací spáry expanzní zálivkovou hmotou</t>
  </si>
  <si>
    <t>Těsnění smršťovacích spár.</t>
  </si>
  <si>
    <t>150</t>
  </si>
  <si>
    <t>998332011</t>
  </si>
  <si>
    <t>Přesun hmot za HSV</t>
  </si>
  <si>
    <t>129</t>
  </si>
  <si>
    <t>460120081</t>
  </si>
  <si>
    <t>Uložení sypaniny do násypů zhutněných z hornin třídy 1až2</t>
  </si>
  <si>
    <t>64</t>
  </si>
  <si>
    <t xml:space="preserve">Terénní úpravy (zarovnání přesypávek říms).
</t>
  </si>
  <si>
    <t>(0,13*19,5)+(0,23*13)+(0,16*5,4)</t>
  </si>
  <si>
    <t>5</t>
  </si>
  <si>
    <t>157</t>
  </si>
  <si>
    <t>030001000</t>
  </si>
  <si>
    <t>Zařízení staveniště</t>
  </si>
  <si>
    <t>Kč</t>
  </si>
  <si>
    <t>1024</t>
  </si>
  <si>
    <t>154</t>
  </si>
  <si>
    <t>034002000</t>
  </si>
  <si>
    <t>Zabezpečení staveniště</t>
  </si>
  <si>
    <t>162</t>
  </si>
  <si>
    <t>043194000</t>
  </si>
  <si>
    <t>laboratoř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</si>
  <si>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</si>
  <si>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</si>
  <si>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</si>
  <si>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</si>
  <si>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</si>
  <si>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</si>
  <si>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</si>
  <si>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Hydroizolační stěrka k vyrovnání betonových ploch stěn tl. do 4 mm</t>
  </si>
  <si>
    <t>Žlab 50 x 100 s krycí mřížkou z kompozitu</t>
  </si>
  <si>
    <t>Ostatní zkoušky, geodetické práce</t>
  </si>
  <si>
    <t>2,52*(8,9+12,5)"objem betonu rampy"</t>
  </si>
  <si>
    <t>viz výkaz</t>
  </si>
  <si>
    <t xml:space="preserve">Dvě vrstvy KARI sítě R8 x100x100 (rozměry sítí 2 m x 3 m)
hmotnost - 7,9 kg / m2
viz výkaz
</t>
  </si>
  <si>
    <t>Konstrukce vodních staveb ze ŽB mrazuvzdorného tř. C 25/30 XF3, XD2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</si>
</sst>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8" fontId="0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FC5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0A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FC58.tmp" descr="C:\KROSplusData\System\Temp\rad8FC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0A73.tmp" descr="C:\KROSplusData\System\Temp\radE0A7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87" sqref="AN87:AP8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4" t="s">
        <v>0</v>
      </c>
      <c r="B1" s="135"/>
      <c r="C1" s="135"/>
      <c r="D1" s="136" t="s">
        <v>1</v>
      </c>
      <c r="E1" s="135"/>
      <c r="F1" s="135"/>
      <c r="G1" s="135"/>
      <c r="H1" s="135"/>
      <c r="I1" s="135"/>
      <c r="J1" s="135"/>
      <c r="K1" s="137" t="s">
        <v>258</v>
      </c>
      <c r="L1" s="137"/>
      <c r="M1" s="137"/>
      <c r="N1" s="137"/>
      <c r="O1" s="137"/>
      <c r="P1" s="137"/>
      <c r="Q1" s="137"/>
      <c r="R1" s="137"/>
      <c r="S1" s="137"/>
      <c r="T1" s="135"/>
      <c r="U1" s="135"/>
      <c r="V1" s="135"/>
      <c r="W1" s="137" t="s">
        <v>259</v>
      </c>
      <c r="X1" s="137"/>
      <c r="Y1" s="137"/>
      <c r="Z1" s="137"/>
      <c r="AA1" s="137"/>
      <c r="AB1" s="137"/>
      <c r="AC1" s="137"/>
      <c r="AD1" s="137"/>
      <c r="AE1" s="137"/>
      <c r="AF1" s="137"/>
      <c r="AG1" s="135"/>
      <c r="AH1" s="13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9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45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8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1" t="s">
        <v>13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0" t="s">
        <v>15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13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40">
        <v>41920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20</v>
      </c>
      <c r="AK11" s="16" t="s">
        <v>26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27</v>
      </c>
      <c r="AK13" s="16" t="s">
        <v>25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20</v>
      </c>
      <c r="AK14" s="16" t="s">
        <v>26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28</v>
      </c>
      <c r="AK16" s="16" t="s">
        <v>25</v>
      </c>
      <c r="AN16" s="14" t="s">
        <v>29</v>
      </c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26</v>
      </c>
      <c r="AN17" s="14" t="s">
        <v>31</v>
      </c>
      <c r="AQ17" s="11"/>
      <c r="BS17" s="6" t="s">
        <v>32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33</v>
      </c>
      <c r="AK19" s="16" t="s">
        <v>25</v>
      </c>
      <c r="AN19" s="14"/>
      <c r="AQ19" s="11"/>
      <c r="BS19" s="6" t="s">
        <v>16</v>
      </c>
    </row>
    <row r="20" spans="2:43" s="2" customFormat="1" ht="19.5" customHeight="1">
      <c r="B20" s="10"/>
      <c r="E20" s="14" t="s">
        <v>20</v>
      </c>
      <c r="AK20" s="16" t="s">
        <v>26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34</v>
      </c>
      <c r="AK23" s="171">
        <f>ROUNDUP($AG$87,2)</f>
        <v>0</v>
      </c>
      <c r="AL23" s="146"/>
      <c r="AM23" s="146"/>
      <c r="AN23" s="146"/>
      <c r="AO23" s="146"/>
      <c r="AQ23" s="11"/>
    </row>
    <row r="24" spans="2:43" s="2" customFormat="1" ht="15" customHeight="1">
      <c r="B24" s="10"/>
      <c r="D24" s="18" t="s">
        <v>35</v>
      </c>
      <c r="AK24" s="171">
        <f>ROUNDUP($AG$90,2)</f>
        <v>0</v>
      </c>
      <c r="AL24" s="146"/>
      <c r="AM24" s="146"/>
      <c r="AN24" s="146"/>
      <c r="AO24" s="146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55">
        <f>ROUNDUP($AK$23+$AK$24,2)</f>
        <v>0</v>
      </c>
      <c r="AL26" s="156"/>
      <c r="AM26" s="156"/>
      <c r="AN26" s="156"/>
      <c r="AO26" s="156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37</v>
      </c>
      <c r="F28" s="24" t="s">
        <v>38</v>
      </c>
      <c r="L28" s="163">
        <v>0.21</v>
      </c>
      <c r="M28" s="164"/>
      <c r="N28" s="164"/>
      <c r="O28" s="164"/>
      <c r="T28" s="26" t="s">
        <v>39</v>
      </c>
      <c r="W28" s="165">
        <f>ROUNDUP($AZ$87+SUM($CD$91:$CD$91),2)</f>
        <v>0</v>
      </c>
      <c r="X28" s="164"/>
      <c r="Y28" s="164"/>
      <c r="Z28" s="164"/>
      <c r="AA28" s="164"/>
      <c r="AB28" s="164"/>
      <c r="AC28" s="164"/>
      <c r="AD28" s="164"/>
      <c r="AE28" s="164"/>
      <c r="AK28" s="165">
        <f>ROUNDUP($AV$87+SUM($BY$91:$BY$91),1)</f>
        <v>0</v>
      </c>
      <c r="AL28" s="164"/>
      <c r="AM28" s="164"/>
      <c r="AN28" s="164"/>
      <c r="AO28" s="164"/>
      <c r="AQ28" s="27"/>
    </row>
    <row r="29" spans="2:43" s="6" customFormat="1" ht="15" customHeight="1">
      <c r="B29" s="23"/>
      <c r="F29" s="24" t="s">
        <v>40</v>
      </c>
      <c r="L29" s="163">
        <v>0.15</v>
      </c>
      <c r="M29" s="164"/>
      <c r="N29" s="164"/>
      <c r="O29" s="164"/>
      <c r="T29" s="26" t="s">
        <v>39</v>
      </c>
      <c r="W29" s="165">
        <f>ROUNDUP($BA$87+SUM($CE$91:$CE$91),2)</f>
        <v>0</v>
      </c>
      <c r="X29" s="164"/>
      <c r="Y29" s="164"/>
      <c r="Z29" s="164"/>
      <c r="AA29" s="164"/>
      <c r="AB29" s="164"/>
      <c r="AC29" s="164"/>
      <c r="AD29" s="164"/>
      <c r="AE29" s="164"/>
      <c r="AK29" s="165">
        <f>ROUNDUP($AW$87+SUM($BZ$91:$BZ$91),1)</f>
        <v>0</v>
      </c>
      <c r="AL29" s="164"/>
      <c r="AM29" s="164"/>
      <c r="AN29" s="164"/>
      <c r="AO29" s="164"/>
      <c r="AQ29" s="27"/>
    </row>
    <row r="30" spans="2:43" s="6" customFormat="1" ht="15" customHeight="1" hidden="1">
      <c r="B30" s="23"/>
      <c r="F30" s="24" t="s">
        <v>41</v>
      </c>
      <c r="L30" s="163">
        <v>0.21</v>
      </c>
      <c r="M30" s="164"/>
      <c r="N30" s="164"/>
      <c r="O30" s="164"/>
      <c r="T30" s="26" t="s">
        <v>39</v>
      </c>
      <c r="W30" s="165">
        <f>ROUNDUP($BB$87+SUM($CF$91:$CF$91),2)</f>
        <v>0</v>
      </c>
      <c r="X30" s="164"/>
      <c r="Y30" s="164"/>
      <c r="Z30" s="164"/>
      <c r="AA30" s="164"/>
      <c r="AB30" s="164"/>
      <c r="AC30" s="164"/>
      <c r="AD30" s="164"/>
      <c r="AE30" s="164"/>
      <c r="AK30" s="165">
        <v>0</v>
      </c>
      <c r="AL30" s="164"/>
      <c r="AM30" s="164"/>
      <c r="AN30" s="164"/>
      <c r="AO30" s="164"/>
      <c r="AQ30" s="27"/>
    </row>
    <row r="31" spans="2:43" s="6" customFormat="1" ht="15" customHeight="1" hidden="1">
      <c r="B31" s="23"/>
      <c r="F31" s="24" t="s">
        <v>42</v>
      </c>
      <c r="L31" s="163">
        <v>0.15</v>
      </c>
      <c r="M31" s="164"/>
      <c r="N31" s="164"/>
      <c r="O31" s="164"/>
      <c r="T31" s="26" t="s">
        <v>39</v>
      </c>
      <c r="W31" s="165">
        <f>ROUNDUP($BC$87+SUM($CG$91:$CG$91),2)</f>
        <v>0</v>
      </c>
      <c r="X31" s="164"/>
      <c r="Y31" s="164"/>
      <c r="Z31" s="164"/>
      <c r="AA31" s="164"/>
      <c r="AB31" s="164"/>
      <c r="AC31" s="164"/>
      <c r="AD31" s="164"/>
      <c r="AE31" s="164"/>
      <c r="AK31" s="165">
        <v>0</v>
      </c>
      <c r="AL31" s="164"/>
      <c r="AM31" s="164"/>
      <c r="AN31" s="164"/>
      <c r="AO31" s="164"/>
      <c r="AQ31" s="27"/>
    </row>
    <row r="32" spans="2:43" s="6" customFormat="1" ht="15" customHeight="1" hidden="1">
      <c r="B32" s="23"/>
      <c r="F32" s="24" t="s">
        <v>43</v>
      </c>
      <c r="L32" s="163">
        <v>0</v>
      </c>
      <c r="M32" s="164"/>
      <c r="N32" s="164"/>
      <c r="O32" s="164"/>
      <c r="T32" s="26" t="s">
        <v>39</v>
      </c>
      <c r="W32" s="165">
        <f>ROUNDUP($BD$87+SUM($CH$91:$CH$91),2)</f>
        <v>0</v>
      </c>
      <c r="X32" s="164"/>
      <c r="Y32" s="164"/>
      <c r="Z32" s="164"/>
      <c r="AA32" s="164"/>
      <c r="AB32" s="164"/>
      <c r="AC32" s="164"/>
      <c r="AD32" s="164"/>
      <c r="AE32" s="164"/>
      <c r="AK32" s="165">
        <v>0</v>
      </c>
      <c r="AL32" s="164"/>
      <c r="AM32" s="164"/>
      <c r="AN32" s="164"/>
      <c r="AO32" s="164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45</v>
      </c>
      <c r="U34" s="30"/>
      <c r="V34" s="30"/>
      <c r="W34" s="30"/>
      <c r="X34" s="166" t="s">
        <v>46</v>
      </c>
      <c r="Y34" s="153"/>
      <c r="Z34" s="153"/>
      <c r="AA34" s="153"/>
      <c r="AB34" s="153"/>
      <c r="AC34" s="30"/>
      <c r="AD34" s="30"/>
      <c r="AE34" s="30"/>
      <c r="AF34" s="30"/>
      <c r="AG34" s="30"/>
      <c r="AH34" s="30"/>
      <c r="AI34" s="30"/>
      <c r="AJ34" s="30"/>
      <c r="AK34" s="167">
        <f>ROUNDUP(SUM($AK$26:$AK$32),2)</f>
        <v>0</v>
      </c>
      <c r="AL34" s="153"/>
      <c r="AM34" s="153"/>
      <c r="AN34" s="153"/>
      <c r="AO34" s="154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48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49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50</v>
      </c>
      <c r="S58" s="38"/>
      <c r="T58" s="38"/>
      <c r="U58" s="38"/>
      <c r="V58" s="38"/>
      <c r="W58" s="38"/>
      <c r="X58" s="38"/>
      <c r="Y58" s="38"/>
      <c r="Z58" s="40"/>
      <c r="AC58" s="37" t="s">
        <v>49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50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52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49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50</v>
      </c>
      <c r="S69" s="38"/>
      <c r="T69" s="38"/>
      <c r="U69" s="38"/>
      <c r="V69" s="38"/>
      <c r="W69" s="38"/>
      <c r="X69" s="38"/>
      <c r="Y69" s="38"/>
      <c r="Z69" s="40"/>
      <c r="AC69" s="37" t="s">
        <v>49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50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8" t="s">
        <v>53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20"/>
    </row>
    <row r="77" spans="2:43" s="14" customFormat="1" ht="15" customHeight="1">
      <c r="B77" s="47"/>
      <c r="C77" s="16" t="s">
        <v>12</v>
      </c>
      <c r="L77" s="14" t="str">
        <f>$K$5</f>
        <v>1</v>
      </c>
      <c r="AQ77" s="48"/>
    </row>
    <row r="78" spans="2:43" s="49" customFormat="1" ht="37.5" customHeight="1">
      <c r="B78" s="50"/>
      <c r="C78" s="49" t="s">
        <v>14</v>
      </c>
      <c r="L78" s="160" t="str">
        <f>$K$6</f>
        <v>Oprava havarijního stavu koupaliště v obci Vysoká Pec</v>
      </c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>
        <f>IF($AN$8="","",$AN$8)</f>
        <v>41920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 </v>
      </c>
      <c r="AI82" s="16" t="s">
        <v>28</v>
      </c>
      <c r="AM82" s="161" t="str">
        <f>IF($E$17="","",$E$17)</f>
        <v>TOP CON SERVIS s.r.o.  Ke Stírce 56,182 00 Praha 8</v>
      </c>
      <c r="AN82" s="142"/>
      <c r="AO82" s="142"/>
      <c r="AP82" s="142"/>
      <c r="AQ82" s="20"/>
      <c r="AS82" s="149" t="s">
        <v>54</v>
      </c>
      <c r="AT82" s="15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27</v>
      </c>
      <c r="L83" s="14" t="str">
        <f>IF($E$14="","",$E$14)</f>
        <v> </v>
      </c>
      <c r="AI83" s="16" t="s">
        <v>33</v>
      </c>
      <c r="AM83" s="161" t="str">
        <f>IF($E$20="","",$E$20)</f>
        <v> </v>
      </c>
      <c r="AN83" s="142"/>
      <c r="AO83" s="142"/>
      <c r="AP83" s="142"/>
      <c r="AQ83" s="20"/>
      <c r="AS83" s="151"/>
      <c r="AT83" s="142"/>
      <c r="BD83" s="55"/>
    </row>
    <row r="84" spans="2:56" s="6" customFormat="1" ht="12" customHeight="1">
      <c r="B84" s="19"/>
      <c r="AQ84" s="20"/>
      <c r="AS84" s="151"/>
      <c r="AT84" s="142"/>
      <c r="BD84" s="55"/>
    </row>
    <row r="85" spans="2:57" s="6" customFormat="1" ht="30" customHeight="1">
      <c r="B85" s="19"/>
      <c r="C85" s="162" t="s">
        <v>55</v>
      </c>
      <c r="D85" s="153"/>
      <c r="E85" s="153"/>
      <c r="F85" s="153"/>
      <c r="G85" s="153"/>
      <c r="H85" s="30"/>
      <c r="I85" s="152" t="s">
        <v>56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2" t="s">
        <v>57</v>
      </c>
      <c r="AH85" s="153"/>
      <c r="AI85" s="153"/>
      <c r="AJ85" s="153"/>
      <c r="AK85" s="153"/>
      <c r="AL85" s="153"/>
      <c r="AM85" s="153"/>
      <c r="AN85" s="152" t="s">
        <v>58</v>
      </c>
      <c r="AO85" s="153"/>
      <c r="AP85" s="154"/>
      <c r="AQ85" s="20"/>
      <c r="AS85" s="56" t="s">
        <v>59</v>
      </c>
      <c r="AT85" s="57" t="s">
        <v>60</v>
      </c>
      <c r="AU85" s="57" t="s">
        <v>61</v>
      </c>
      <c r="AV85" s="57" t="s">
        <v>62</v>
      </c>
      <c r="AW85" s="57" t="s">
        <v>63</v>
      </c>
      <c r="AX85" s="57" t="s">
        <v>64</v>
      </c>
      <c r="AY85" s="57" t="s">
        <v>65</v>
      </c>
      <c r="AZ85" s="57" t="s">
        <v>66</v>
      </c>
      <c r="BA85" s="57" t="s">
        <v>67</v>
      </c>
      <c r="BB85" s="57" t="s">
        <v>68</v>
      </c>
      <c r="BC85" s="57" t="s">
        <v>69</v>
      </c>
      <c r="BD85" s="58" t="s">
        <v>70</v>
      </c>
      <c r="BE85" s="59"/>
    </row>
    <row r="86" spans="2:56" s="6" customFormat="1" ht="12" customHeight="1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1" t="s">
        <v>71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41">
        <f>ROUNDUP($AG$88,2)</f>
        <v>0</v>
      </c>
      <c r="AH87" s="159"/>
      <c r="AI87" s="159"/>
      <c r="AJ87" s="159"/>
      <c r="AK87" s="159"/>
      <c r="AL87" s="159"/>
      <c r="AM87" s="159"/>
      <c r="AN87" s="141">
        <f>ROUNDUP(SUM($AG$87,$AT$87),2)</f>
        <v>0</v>
      </c>
      <c r="AO87" s="159"/>
      <c r="AP87" s="159"/>
      <c r="AQ87" s="51"/>
      <c r="AS87" s="62">
        <f>ROUNDUP($AS$88,2)</f>
        <v>0</v>
      </c>
      <c r="AT87" s="63">
        <f>ROUNDUP(SUM($AV$87:$AW$87),1)</f>
        <v>0</v>
      </c>
      <c r="AU87" s="64">
        <f>ROUNDUP($AU$88,5)</f>
        <v>10122.642679999999</v>
      </c>
      <c r="AV87" s="63">
        <f>ROUNDUP($AZ$87*$L$28,2)</f>
        <v>0</v>
      </c>
      <c r="AW87" s="63">
        <f>ROUNDUP($BA$87*$L$29,2)</f>
        <v>0</v>
      </c>
      <c r="AX87" s="63">
        <f>ROUNDUP($BB$87*$L$28,2)</f>
        <v>0</v>
      </c>
      <c r="AY87" s="63">
        <f>ROUNDUP($BC$87*$L$29,2)</f>
        <v>0</v>
      </c>
      <c r="AZ87" s="63">
        <f>ROUNDUP($AZ$88,2)</f>
        <v>0</v>
      </c>
      <c r="BA87" s="63">
        <f>ROUNDUP($BA$88,2)</f>
        <v>0</v>
      </c>
      <c r="BB87" s="63">
        <f>ROUNDUP($BB$88,2)</f>
        <v>0</v>
      </c>
      <c r="BC87" s="63">
        <f>ROUNDUP($BC$88,2)</f>
        <v>0</v>
      </c>
      <c r="BD87" s="65">
        <f>ROUNDUP($BD$88,2)</f>
        <v>0</v>
      </c>
      <c r="BS87" s="49" t="s">
        <v>72</v>
      </c>
      <c r="BT87" s="49" t="s">
        <v>73</v>
      </c>
      <c r="BU87" s="66" t="s">
        <v>74</v>
      </c>
      <c r="BV87" s="49" t="s">
        <v>75</v>
      </c>
      <c r="BW87" s="49" t="s">
        <v>76</v>
      </c>
      <c r="BX87" s="49" t="s">
        <v>77</v>
      </c>
    </row>
    <row r="88" spans="1:76" s="67" customFormat="1" ht="28.5" customHeight="1">
      <c r="A88" s="133" t="s">
        <v>260</v>
      </c>
      <c r="B88" s="68"/>
      <c r="C88" s="69"/>
      <c r="D88" s="157" t="s">
        <v>78</v>
      </c>
      <c r="E88" s="158"/>
      <c r="F88" s="158"/>
      <c r="G88" s="158"/>
      <c r="H88" s="158"/>
      <c r="I88" s="69"/>
      <c r="J88" s="157" t="s">
        <v>15</v>
      </c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47">
        <f>'1.2 - Oprava havarijního ...'!$M$27</f>
        <v>0</v>
      </c>
      <c r="AH88" s="148"/>
      <c r="AI88" s="148"/>
      <c r="AJ88" s="148"/>
      <c r="AK88" s="148"/>
      <c r="AL88" s="148"/>
      <c r="AM88" s="148"/>
      <c r="AN88" s="147">
        <f>ROUNDUP(SUM($AG$88,$AT$88),2)</f>
        <v>0</v>
      </c>
      <c r="AO88" s="148"/>
      <c r="AP88" s="148"/>
      <c r="AQ88" s="70"/>
      <c r="AS88" s="71">
        <f>'1.2 - Oprava havarijního ...'!$M$25</f>
        <v>0</v>
      </c>
      <c r="AT88" s="72">
        <f>ROUNDUP(SUM($AV$88:$AW$88),1)</f>
        <v>0</v>
      </c>
      <c r="AU88" s="73">
        <f>'1.2 - Oprava havarijního ...'!$W$120</f>
        <v>10122.642671</v>
      </c>
      <c r="AV88" s="72">
        <f>'1.2 - Oprava havarijního ...'!$M$29</f>
        <v>0</v>
      </c>
      <c r="AW88" s="72">
        <f>'1.2 - Oprava havarijního ...'!$M$30</f>
        <v>0</v>
      </c>
      <c r="AX88" s="72">
        <f>'1.2 - Oprava havarijního ...'!$M$31</f>
        <v>0</v>
      </c>
      <c r="AY88" s="72">
        <f>'1.2 - Oprava havarijního ...'!$M$32</f>
        <v>0</v>
      </c>
      <c r="AZ88" s="72">
        <f>'1.2 - Oprava havarijního ...'!$H$29</f>
        <v>0</v>
      </c>
      <c r="BA88" s="72">
        <f>'1.2 - Oprava havarijního ...'!$H$30</f>
        <v>0</v>
      </c>
      <c r="BB88" s="72">
        <f>'1.2 - Oprava havarijního ...'!$H$31</f>
        <v>0</v>
      </c>
      <c r="BC88" s="72">
        <f>'1.2 - Oprava havarijního ...'!$H$32</f>
        <v>0</v>
      </c>
      <c r="BD88" s="74">
        <f>'1.2 - Oprava havarijního ...'!$H$33</f>
        <v>0</v>
      </c>
      <c r="BT88" s="67" t="s">
        <v>13</v>
      </c>
      <c r="BV88" s="67" t="s">
        <v>75</v>
      </c>
      <c r="BW88" s="67" t="s">
        <v>79</v>
      </c>
      <c r="BX88" s="67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1" t="s">
        <v>80</v>
      </c>
      <c r="AG90" s="141">
        <v>0</v>
      </c>
      <c r="AH90" s="142"/>
      <c r="AI90" s="142"/>
      <c r="AJ90" s="142"/>
      <c r="AK90" s="142"/>
      <c r="AL90" s="142"/>
      <c r="AM90" s="142"/>
      <c r="AN90" s="141">
        <v>0</v>
      </c>
      <c r="AO90" s="142"/>
      <c r="AP90" s="142"/>
      <c r="AQ90" s="20"/>
      <c r="AS90" s="56" t="s">
        <v>81</v>
      </c>
      <c r="AT90" s="57" t="s">
        <v>82</v>
      </c>
      <c r="AU90" s="57" t="s">
        <v>37</v>
      </c>
      <c r="AV90" s="58" t="s">
        <v>60</v>
      </c>
      <c r="AW90" s="59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5" t="s">
        <v>83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43">
        <f>ROUNDUP($AG$87+$AG$90,2)</f>
        <v>0</v>
      </c>
      <c r="AH92" s="144"/>
      <c r="AI92" s="144"/>
      <c r="AJ92" s="144"/>
      <c r="AK92" s="144"/>
      <c r="AL92" s="144"/>
      <c r="AM92" s="144"/>
      <c r="AN92" s="143">
        <f>ROUNDUP($AN$87+$AN$90,2)</f>
        <v>0</v>
      </c>
      <c r="AO92" s="144"/>
      <c r="AP92" s="144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4">
    <mergeCell ref="C2:AP2"/>
    <mergeCell ref="C4:AP4"/>
    <mergeCell ref="K5:AO5"/>
    <mergeCell ref="K6:AO6"/>
    <mergeCell ref="AK23:AO23"/>
    <mergeCell ref="AK24:AO24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.2 - Oprava havarijního ...'!C2" tooltip="1.2 - Oprava havarijního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133" sqref="N133:Q13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261</v>
      </c>
      <c r="G1" s="137"/>
      <c r="H1" s="175" t="s">
        <v>262</v>
      </c>
      <c r="I1" s="175"/>
      <c r="J1" s="175"/>
      <c r="K1" s="175"/>
      <c r="L1" s="137" t="s">
        <v>263</v>
      </c>
      <c r="M1" s="135"/>
      <c r="N1" s="135"/>
      <c r="O1" s="136" t="s">
        <v>84</v>
      </c>
      <c r="P1" s="135"/>
      <c r="Q1" s="135"/>
      <c r="R1" s="135"/>
      <c r="S1" s="137" t="s">
        <v>264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9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45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68" t="s">
        <v>86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0" t="str">
        <f>'Rekapitulace stavby'!$K$6</f>
        <v>Oprava havarijního stavu koupaliště v obci Vysoká Pec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87</v>
      </c>
      <c r="F7" s="170" t="s">
        <v>15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1">
        <f>'Rekapitulace stavby'!$AN$8</f>
        <v>41920</v>
      </c>
      <c r="P9" s="142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1">
        <f>IF('Rekapitulace stavby'!$AN$10="","",'Rekapitulace stavby'!$AN$10)</f>
      </c>
      <c r="P11" s="142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26</v>
      </c>
      <c r="O12" s="161">
        <f>IF('Rekapitulace stavby'!$AN$11="","",'Rekapitulace stavby'!$AN$11)</f>
      </c>
      <c r="P12" s="142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25</v>
      </c>
      <c r="O14" s="161">
        <f>IF('Rekapitulace stavby'!$AN$13="","",'Rekapitulace stavby'!$AN$13)</f>
      </c>
      <c r="P14" s="142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26</v>
      </c>
      <c r="O15" s="161">
        <f>IF('Rekapitulace stavby'!$AN$14="","",'Rekapitulace stavby'!$AN$14)</f>
      </c>
      <c r="P15" s="14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25</v>
      </c>
      <c r="O17" s="161" t="str">
        <f>IF('Rekapitulace stavby'!$AN$16="","",'Rekapitulace stavby'!$AN$16)</f>
        <v>45274983</v>
      </c>
      <c r="P17" s="142"/>
      <c r="R17" s="20"/>
    </row>
    <row r="18" spans="2:18" s="6" customFormat="1" ht="18.75" customHeight="1">
      <c r="B18" s="19"/>
      <c r="E18" s="14" t="str">
        <f>IF('Rekapitulace stavby'!$E$17="","",'Rekapitulace stavby'!$E$17)</f>
        <v>TOP CON SERVIS s.r.o.  Ke Stírce 56,182 00 Praha 8</v>
      </c>
      <c r="M18" s="16" t="s">
        <v>26</v>
      </c>
      <c r="O18" s="161" t="str">
        <f>IF('Rekapitulace stavby'!$AN$17="","",'Rekapitulace stavby'!$AN$17)</f>
        <v>CZ45274983</v>
      </c>
      <c r="P18" s="142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33</v>
      </c>
      <c r="M20" s="16" t="s">
        <v>25</v>
      </c>
      <c r="O20" s="161">
        <f>IF('Rekapitulace stavby'!$AN$19="","",'Rekapitulace stavby'!$AN$19)</f>
      </c>
      <c r="P20" s="142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61">
        <f>IF('Rekapitulace stavby'!$AN$20="","",'Rekapitulace stavby'!$AN$20)</f>
      </c>
      <c r="P21" s="142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6" t="s">
        <v>88</v>
      </c>
      <c r="M24" s="171">
        <f>$N$88</f>
        <v>0</v>
      </c>
      <c r="N24" s="142"/>
      <c r="O24" s="142"/>
      <c r="P24" s="142"/>
      <c r="R24" s="20"/>
    </row>
    <row r="25" spans="2:18" s="6" customFormat="1" ht="15" customHeight="1">
      <c r="B25" s="19"/>
      <c r="D25" s="18" t="s">
        <v>89</v>
      </c>
      <c r="M25" s="171">
        <f>$N$101</f>
        <v>0</v>
      </c>
      <c r="N25" s="142"/>
      <c r="O25" s="142"/>
      <c r="P25" s="142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7" t="s">
        <v>36</v>
      </c>
      <c r="M27" s="197">
        <f>ROUNDUP($M$24+$M$25,2)</f>
        <v>0</v>
      </c>
      <c r="N27" s="142"/>
      <c r="O27" s="142"/>
      <c r="P27" s="142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37</v>
      </c>
      <c r="E29" s="24" t="s">
        <v>38</v>
      </c>
      <c r="F29" s="25">
        <v>0.21</v>
      </c>
      <c r="G29" s="78" t="s">
        <v>39</v>
      </c>
      <c r="H29" s="196">
        <f>ROUNDUP((SUM($BE$101:$BE$102)+SUM($BE$120:$BE$224)),2)</f>
        <v>0</v>
      </c>
      <c r="I29" s="142"/>
      <c r="J29" s="142"/>
      <c r="M29" s="196">
        <f>ROUNDUP((SUM($BE$101:$BE$102)+SUM($BE$120:$BE$224))*$F$29,1)</f>
        <v>0</v>
      </c>
      <c r="N29" s="142"/>
      <c r="O29" s="142"/>
      <c r="P29" s="142"/>
      <c r="R29" s="20"/>
    </row>
    <row r="30" spans="2:18" s="6" customFormat="1" ht="15" customHeight="1">
      <c r="B30" s="19"/>
      <c r="E30" s="24" t="s">
        <v>40</v>
      </c>
      <c r="F30" s="25">
        <v>0.15</v>
      </c>
      <c r="G30" s="78" t="s">
        <v>39</v>
      </c>
      <c r="H30" s="196">
        <f>ROUNDUP((SUM($BF$101:$BF$102)+SUM($BF$120:$BF$224)),2)</f>
        <v>0</v>
      </c>
      <c r="I30" s="142"/>
      <c r="J30" s="142"/>
      <c r="M30" s="196">
        <f>ROUNDUP((SUM($BF$101:$BF$102)+SUM($BF$120:$BF$224))*$F$30,1)</f>
        <v>0</v>
      </c>
      <c r="N30" s="142"/>
      <c r="O30" s="142"/>
      <c r="P30" s="142"/>
      <c r="R30" s="20"/>
    </row>
    <row r="31" spans="2:18" s="6" customFormat="1" ht="15" customHeight="1" hidden="1">
      <c r="B31" s="19"/>
      <c r="E31" s="24" t="s">
        <v>41</v>
      </c>
      <c r="F31" s="25">
        <v>0.21</v>
      </c>
      <c r="G31" s="78" t="s">
        <v>39</v>
      </c>
      <c r="H31" s="196">
        <f>ROUNDUP((SUM($BG$101:$BG$102)+SUM($BG$120:$BG$224)),2)</f>
        <v>0</v>
      </c>
      <c r="I31" s="142"/>
      <c r="J31" s="142"/>
      <c r="M31" s="196">
        <v>0</v>
      </c>
      <c r="N31" s="142"/>
      <c r="O31" s="142"/>
      <c r="P31" s="142"/>
      <c r="R31" s="20"/>
    </row>
    <row r="32" spans="2:18" s="6" customFormat="1" ht="15" customHeight="1" hidden="1">
      <c r="B32" s="19"/>
      <c r="E32" s="24" t="s">
        <v>42</v>
      </c>
      <c r="F32" s="25">
        <v>0.15</v>
      </c>
      <c r="G32" s="78" t="s">
        <v>39</v>
      </c>
      <c r="H32" s="196">
        <f>ROUNDUP((SUM($BH$101:$BH$102)+SUM($BH$120:$BH$224)),2)</f>
        <v>0</v>
      </c>
      <c r="I32" s="142"/>
      <c r="J32" s="142"/>
      <c r="M32" s="196">
        <v>0</v>
      </c>
      <c r="N32" s="142"/>
      <c r="O32" s="142"/>
      <c r="P32" s="142"/>
      <c r="R32" s="20"/>
    </row>
    <row r="33" spans="2:18" s="6" customFormat="1" ht="15" customHeight="1" hidden="1">
      <c r="B33" s="19"/>
      <c r="E33" s="24" t="s">
        <v>43</v>
      </c>
      <c r="F33" s="25">
        <v>0</v>
      </c>
      <c r="G33" s="78" t="s">
        <v>39</v>
      </c>
      <c r="H33" s="196">
        <f>ROUNDUP((SUM($BI$101:$BI$102)+SUM($BI$120:$BI$224)),2)</f>
        <v>0</v>
      </c>
      <c r="I33" s="142"/>
      <c r="J33" s="142"/>
      <c r="M33" s="196">
        <v>0</v>
      </c>
      <c r="N33" s="142"/>
      <c r="O33" s="142"/>
      <c r="P33" s="142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44</v>
      </c>
      <c r="E35" s="30"/>
      <c r="F35" s="30"/>
      <c r="G35" s="79" t="s">
        <v>45</v>
      </c>
      <c r="H35" s="31" t="s">
        <v>46</v>
      </c>
      <c r="I35" s="30"/>
      <c r="J35" s="30"/>
      <c r="K35" s="30"/>
      <c r="L35" s="167">
        <f>ROUNDUP(SUM($M$27:$M$33),2)</f>
        <v>0</v>
      </c>
      <c r="M35" s="153"/>
      <c r="N35" s="153"/>
      <c r="O35" s="153"/>
      <c r="P35" s="154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8" t="s">
        <v>90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0" t="str">
        <f>$F$6</f>
        <v>Oprava havarijního stavu koupaliště v obci Vysoká Pec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R78" s="20"/>
    </row>
    <row r="79" spans="2:18" s="6" customFormat="1" ht="37.5" customHeight="1">
      <c r="B79" s="19"/>
      <c r="C79" s="49" t="s">
        <v>87</v>
      </c>
      <c r="F79" s="160" t="str">
        <f>$F$7</f>
        <v>Oprava havarijního stavu koupaliště v obci Vysoká Pec</v>
      </c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1">
        <f>IF($O$9="","",$O$9)</f>
        <v>41920</v>
      </c>
      <c r="N81" s="142"/>
      <c r="O81" s="142"/>
      <c r="P81" s="142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 </v>
      </c>
      <c r="K83" s="16" t="s">
        <v>28</v>
      </c>
      <c r="M83" s="161" t="str">
        <f>$E$18</f>
        <v>TOP CON SERVIS s.r.o.  Ke Stírce 56,182 00 Praha 8</v>
      </c>
      <c r="N83" s="142"/>
      <c r="O83" s="142"/>
      <c r="P83" s="142"/>
      <c r="Q83" s="142"/>
      <c r="R83" s="20"/>
    </row>
    <row r="84" spans="2:18" s="6" customFormat="1" ht="15" customHeight="1">
      <c r="B84" s="19"/>
      <c r="C84" s="16" t="s">
        <v>27</v>
      </c>
      <c r="F84" s="14" t="str">
        <f>IF($E$15="","",$E$15)</f>
        <v> </v>
      </c>
      <c r="K84" s="16" t="s">
        <v>33</v>
      </c>
      <c r="M84" s="161" t="str">
        <f>$E$21</f>
        <v> </v>
      </c>
      <c r="N84" s="142"/>
      <c r="O84" s="142"/>
      <c r="P84" s="142"/>
      <c r="Q84" s="14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5" t="s">
        <v>91</v>
      </c>
      <c r="D86" s="144"/>
      <c r="E86" s="144"/>
      <c r="F86" s="144"/>
      <c r="G86" s="144"/>
      <c r="H86" s="28"/>
      <c r="I86" s="28"/>
      <c r="J86" s="28"/>
      <c r="K86" s="28"/>
      <c r="L86" s="28"/>
      <c r="M86" s="28"/>
      <c r="N86" s="195" t="s">
        <v>92</v>
      </c>
      <c r="O86" s="142"/>
      <c r="P86" s="142"/>
      <c r="Q86" s="142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93</v>
      </c>
      <c r="N88" s="141">
        <f>ROUNDUP($N$120,2)</f>
        <v>0</v>
      </c>
      <c r="O88" s="142"/>
      <c r="P88" s="142"/>
      <c r="Q88" s="142"/>
      <c r="R88" s="20"/>
      <c r="AU88" s="6" t="s">
        <v>94</v>
      </c>
    </row>
    <row r="89" spans="2:18" s="66" customFormat="1" ht="25.5" customHeight="1">
      <c r="B89" s="80"/>
      <c r="D89" s="81" t="s">
        <v>95</v>
      </c>
      <c r="N89" s="192">
        <f>ROUNDUP($N$121,2)</f>
        <v>0</v>
      </c>
      <c r="O89" s="193"/>
      <c r="P89" s="193"/>
      <c r="Q89" s="193"/>
      <c r="R89" s="82"/>
    </row>
    <row r="90" spans="2:18" s="76" customFormat="1" ht="21" customHeight="1">
      <c r="B90" s="83"/>
      <c r="D90" s="84" t="s">
        <v>96</v>
      </c>
      <c r="N90" s="194">
        <f>ROUNDUP($N$122,2)</f>
        <v>0</v>
      </c>
      <c r="O90" s="193"/>
      <c r="P90" s="193"/>
      <c r="Q90" s="193"/>
      <c r="R90" s="85"/>
    </row>
    <row r="91" spans="2:18" s="76" customFormat="1" ht="21" customHeight="1">
      <c r="B91" s="83"/>
      <c r="D91" s="84" t="s">
        <v>97</v>
      </c>
      <c r="N91" s="194">
        <f>ROUNDUP($N$132,2)</f>
        <v>0</v>
      </c>
      <c r="O91" s="193"/>
      <c r="P91" s="193"/>
      <c r="Q91" s="193"/>
      <c r="R91" s="85"/>
    </row>
    <row r="92" spans="2:18" s="76" customFormat="1" ht="21" customHeight="1">
      <c r="B92" s="83"/>
      <c r="D92" s="84" t="s">
        <v>98</v>
      </c>
      <c r="N92" s="194">
        <f>ROUNDUP($N$164,2)</f>
        <v>0</v>
      </c>
      <c r="O92" s="193"/>
      <c r="P92" s="193"/>
      <c r="Q92" s="193"/>
      <c r="R92" s="85"/>
    </row>
    <row r="93" spans="2:18" s="76" customFormat="1" ht="21" customHeight="1">
      <c r="B93" s="83"/>
      <c r="D93" s="84" t="s">
        <v>99</v>
      </c>
      <c r="N93" s="194">
        <f>ROUNDUP($N$168,2)</f>
        <v>0</v>
      </c>
      <c r="O93" s="193"/>
      <c r="P93" s="193"/>
      <c r="Q93" s="193"/>
      <c r="R93" s="85"/>
    </row>
    <row r="94" spans="2:18" s="76" customFormat="1" ht="15.75" customHeight="1">
      <c r="B94" s="83"/>
      <c r="D94" s="84" t="s">
        <v>100</v>
      </c>
      <c r="N94" s="194">
        <f>ROUNDUP($N$211,2)</f>
        <v>0</v>
      </c>
      <c r="O94" s="193"/>
      <c r="P94" s="193"/>
      <c r="Q94" s="193"/>
      <c r="R94" s="85"/>
    </row>
    <row r="95" spans="2:18" s="66" customFormat="1" ht="25.5" customHeight="1">
      <c r="B95" s="80"/>
      <c r="D95" s="81" t="s">
        <v>101</v>
      </c>
      <c r="N95" s="192">
        <f>ROUNDUP($N$213,2)</f>
        <v>0</v>
      </c>
      <c r="O95" s="193"/>
      <c r="P95" s="193"/>
      <c r="Q95" s="193"/>
      <c r="R95" s="82"/>
    </row>
    <row r="96" spans="2:18" s="76" customFormat="1" ht="21" customHeight="1">
      <c r="B96" s="83"/>
      <c r="D96" s="84" t="s">
        <v>102</v>
      </c>
      <c r="N96" s="194">
        <f>ROUNDUP($N$214,2)</f>
        <v>0</v>
      </c>
      <c r="O96" s="193"/>
      <c r="P96" s="193"/>
      <c r="Q96" s="193"/>
      <c r="R96" s="85"/>
    </row>
    <row r="97" spans="2:18" s="66" customFormat="1" ht="25.5" customHeight="1">
      <c r="B97" s="80"/>
      <c r="D97" s="81" t="s">
        <v>103</v>
      </c>
      <c r="N97" s="192">
        <f>ROUNDUP($N$218,2)</f>
        <v>0</v>
      </c>
      <c r="O97" s="193"/>
      <c r="P97" s="193"/>
      <c r="Q97" s="193"/>
      <c r="R97" s="82"/>
    </row>
    <row r="98" spans="2:18" s="76" customFormat="1" ht="21" customHeight="1">
      <c r="B98" s="83"/>
      <c r="D98" s="84" t="s">
        <v>104</v>
      </c>
      <c r="N98" s="194">
        <f>ROUNDUP($N$219,2)</f>
        <v>0</v>
      </c>
      <c r="O98" s="193"/>
      <c r="P98" s="193"/>
      <c r="Q98" s="193"/>
      <c r="R98" s="85"/>
    </row>
    <row r="99" spans="2:18" s="76" customFormat="1" ht="21" customHeight="1">
      <c r="B99" s="83"/>
      <c r="D99" s="84" t="s">
        <v>105</v>
      </c>
      <c r="N99" s="194">
        <f>ROUNDUP($N$222,2)</f>
        <v>0</v>
      </c>
      <c r="O99" s="193"/>
      <c r="P99" s="193"/>
      <c r="Q99" s="193"/>
      <c r="R99" s="85"/>
    </row>
    <row r="100" spans="2:18" s="6" customFormat="1" ht="22.5" customHeight="1">
      <c r="B100" s="19"/>
      <c r="R100" s="20"/>
    </row>
    <row r="101" spans="2:21" s="6" customFormat="1" ht="30" customHeight="1">
      <c r="B101" s="19"/>
      <c r="C101" s="61" t="s">
        <v>106</v>
      </c>
      <c r="N101" s="141">
        <v>0</v>
      </c>
      <c r="O101" s="142"/>
      <c r="P101" s="142"/>
      <c r="Q101" s="142"/>
      <c r="R101" s="20"/>
      <c r="T101" s="86"/>
      <c r="U101" s="87" t="s">
        <v>37</v>
      </c>
    </row>
    <row r="102" spans="2:18" s="6" customFormat="1" ht="18.75" customHeight="1">
      <c r="B102" s="19"/>
      <c r="R102" s="20"/>
    </row>
    <row r="103" spans="2:18" s="6" customFormat="1" ht="30" customHeight="1">
      <c r="B103" s="19"/>
      <c r="C103" s="75" t="s">
        <v>83</v>
      </c>
      <c r="D103" s="28"/>
      <c r="E103" s="28"/>
      <c r="F103" s="28"/>
      <c r="G103" s="28"/>
      <c r="H103" s="28"/>
      <c r="I103" s="28"/>
      <c r="J103" s="28"/>
      <c r="K103" s="28"/>
      <c r="L103" s="143">
        <f>ROUNDUP(SUM($N$88+$N$101),2)</f>
        <v>0</v>
      </c>
      <c r="M103" s="144"/>
      <c r="N103" s="144"/>
      <c r="O103" s="144"/>
      <c r="P103" s="144"/>
      <c r="Q103" s="144"/>
      <c r="R103" s="20"/>
    </row>
    <row r="104" spans="2:18" s="6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6" customFormat="1" ht="37.5" customHeight="1">
      <c r="B109" s="19"/>
      <c r="C109" s="168" t="s">
        <v>107</v>
      </c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20"/>
    </row>
    <row r="110" spans="2:18" s="6" customFormat="1" ht="7.5" customHeight="1">
      <c r="B110" s="19"/>
      <c r="R110" s="20"/>
    </row>
    <row r="111" spans="2:18" s="6" customFormat="1" ht="30.75" customHeight="1">
      <c r="B111" s="19"/>
      <c r="C111" s="16" t="s">
        <v>14</v>
      </c>
      <c r="F111" s="190" t="str">
        <f>$F$6</f>
        <v>Oprava havarijního stavu koupaliště v obci Vysoká Pec</v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R111" s="20"/>
    </row>
    <row r="112" spans="2:18" s="6" customFormat="1" ht="37.5" customHeight="1">
      <c r="B112" s="19"/>
      <c r="C112" s="49" t="s">
        <v>87</v>
      </c>
      <c r="F112" s="160" t="str">
        <f>$F$7</f>
        <v>Oprava havarijního stavu koupaliště v obci Vysoká Pec</v>
      </c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19</v>
      </c>
      <c r="F114" s="14" t="str">
        <f>$F$9</f>
        <v> </v>
      </c>
      <c r="K114" s="16" t="s">
        <v>21</v>
      </c>
      <c r="M114" s="191">
        <f>IF($O$9="","",$O$9)</f>
        <v>41920</v>
      </c>
      <c r="N114" s="142"/>
      <c r="O114" s="142"/>
      <c r="P114" s="142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24</v>
      </c>
      <c r="F116" s="14" t="str">
        <f>$E$12</f>
        <v> </v>
      </c>
      <c r="K116" s="16" t="s">
        <v>28</v>
      </c>
      <c r="M116" s="161" t="str">
        <f>$E$18</f>
        <v>TOP CON SERVIS s.r.o.  Ke Stírce 56,182 00 Praha 8</v>
      </c>
      <c r="N116" s="142"/>
      <c r="O116" s="142"/>
      <c r="P116" s="142"/>
      <c r="Q116" s="142"/>
      <c r="R116" s="20"/>
    </row>
    <row r="117" spans="2:18" s="6" customFormat="1" ht="15" customHeight="1">
      <c r="B117" s="19"/>
      <c r="C117" s="16" t="s">
        <v>27</v>
      </c>
      <c r="F117" s="14" t="str">
        <f>IF($E$15="","",$E$15)</f>
        <v> </v>
      </c>
      <c r="K117" s="16" t="s">
        <v>33</v>
      </c>
      <c r="M117" s="161" t="str">
        <f>$E$21</f>
        <v> </v>
      </c>
      <c r="N117" s="142"/>
      <c r="O117" s="142"/>
      <c r="P117" s="142"/>
      <c r="Q117" s="142"/>
      <c r="R117" s="20"/>
    </row>
    <row r="118" spans="2:18" s="6" customFormat="1" ht="11.25" customHeight="1">
      <c r="B118" s="19"/>
      <c r="R118" s="20"/>
    </row>
    <row r="119" spans="2:27" s="88" customFormat="1" ht="30" customHeight="1">
      <c r="B119" s="89"/>
      <c r="C119" s="90" t="s">
        <v>108</v>
      </c>
      <c r="D119" s="91" t="s">
        <v>109</v>
      </c>
      <c r="E119" s="91" t="s">
        <v>55</v>
      </c>
      <c r="F119" s="187" t="s">
        <v>110</v>
      </c>
      <c r="G119" s="188"/>
      <c r="H119" s="188"/>
      <c r="I119" s="188"/>
      <c r="J119" s="91" t="s">
        <v>111</v>
      </c>
      <c r="K119" s="91" t="s">
        <v>112</v>
      </c>
      <c r="L119" s="187" t="s">
        <v>113</v>
      </c>
      <c r="M119" s="188"/>
      <c r="N119" s="187" t="s">
        <v>114</v>
      </c>
      <c r="O119" s="188"/>
      <c r="P119" s="188"/>
      <c r="Q119" s="189"/>
      <c r="R119" s="92"/>
      <c r="T119" s="56" t="s">
        <v>115</v>
      </c>
      <c r="U119" s="57" t="s">
        <v>37</v>
      </c>
      <c r="V119" s="57" t="s">
        <v>116</v>
      </c>
      <c r="W119" s="57" t="s">
        <v>117</v>
      </c>
      <c r="X119" s="57" t="s">
        <v>118</v>
      </c>
      <c r="Y119" s="57" t="s">
        <v>119</v>
      </c>
      <c r="Z119" s="57" t="s">
        <v>120</v>
      </c>
      <c r="AA119" s="58" t="s">
        <v>121</v>
      </c>
    </row>
    <row r="120" spans="2:63" s="6" customFormat="1" ht="30" customHeight="1">
      <c r="B120" s="19"/>
      <c r="C120" s="61" t="s">
        <v>88</v>
      </c>
      <c r="N120" s="182">
        <f>$BK$120</f>
        <v>0</v>
      </c>
      <c r="O120" s="142"/>
      <c r="P120" s="142"/>
      <c r="Q120" s="142"/>
      <c r="R120" s="20"/>
      <c r="T120" s="60"/>
      <c r="U120" s="33"/>
      <c r="V120" s="33"/>
      <c r="W120" s="93">
        <f>$W$121+$W$213+$W$218</f>
        <v>10122.642671</v>
      </c>
      <c r="X120" s="33"/>
      <c r="Y120" s="93">
        <f>$Y$121+$Y$213+$Y$218</f>
        <v>1498.59479336</v>
      </c>
      <c r="Z120" s="33"/>
      <c r="AA120" s="94">
        <f>$AA$121+$AA$213+$AA$218</f>
        <v>0</v>
      </c>
      <c r="AT120" s="6" t="s">
        <v>72</v>
      </c>
      <c r="AU120" s="6" t="s">
        <v>94</v>
      </c>
      <c r="BK120" s="95">
        <f>$BK$121+$BK$213+$BK$218</f>
        <v>0</v>
      </c>
    </row>
    <row r="121" spans="2:63" s="96" customFormat="1" ht="37.5" customHeight="1">
      <c r="B121" s="97"/>
      <c r="D121" s="98" t="s">
        <v>95</v>
      </c>
      <c r="N121" s="174">
        <f>$BK$121</f>
        <v>0</v>
      </c>
      <c r="O121" s="173"/>
      <c r="P121" s="173"/>
      <c r="Q121" s="173"/>
      <c r="R121" s="100"/>
      <c r="T121" s="101"/>
      <c r="W121" s="102">
        <f>$W$122+$W$132+$W$164+$W$168</f>
        <v>10118.215094</v>
      </c>
      <c r="Y121" s="102">
        <f>$Y$122+$Y$132+$Y$164+$Y$168</f>
        <v>1498.59479336</v>
      </c>
      <c r="AA121" s="103">
        <f>$AA$122+$AA$132+$AA$164+$AA$168</f>
        <v>0</v>
      </c>
      <c r="AR121" s="99" t="s">
        <v>13</v>
      </c>
      <c r="AT121" s="99" t="s">
        <v>72</v>
      </c>
      <c r="AU121" s="99" t="s">
        <v>73</v>
      </c>
      <c r="AY121" s="99" t="s">
        <v>122</v>
      </c>
      <c r="BK121" s="104">
        <f>$BK$122+$BK$132+$BK$164+$BK$168</f>
        <v>0</v>
      </c>
    </row>
    <row r="122" spans="2:63" s="96" customFormat="1" ht="21" customHeight="1">
      <c r="B122" s="97"/>
      <c r="D122" s="105" t="s">
        <v>96</v>
      </c>
      <c r="N122" s="172">
        <f>$BK$122</f>
        <v>0</v>
      </c>
      <c r="O122" s="173"/>
      <c r="P122" s="173"/>
      <c r="Q122" s="173"/>
      <c r="R122" s="100"/>
      <c r="T122" s="101"/>
      <c r="W122" s="102">
        <f>SUM($W$123:$W$131)</f>
        <v>175.73417799999999</v>
      </c>
      <c r="Y122" s="102">
        <f>SUM($Y$123:$Y$131)</f>
        <v>0</v>
      </c>
      <c r="AA122" s="103">
        <f>SUM($AA$123:$AA$131)</f>
        <v>0</v>
      </c>
      <c r="AR122" s="99" t="s">
        <v>13</v>
      </c>
      <c r="AT122" s="99" t="s">
        <v>72</v>
      </c>
      <c r="AU122" s="99" t="s">
        <v>13</v>
      </c>
      <c r="AY122" s="99" t="s">
        <v>122</v>
      </c>
      <c r="BK122" s="104">
        <f>SUM($BK$123:$BK$131)</f>
        <v>0</v>
      </c>
    </row>
    <row r="123" spans="2:64" s="6" customFormat="1" ht="27" customHeight="1">
      <c r="B123" s="19"/>
      <c r="C123" s="106" t="s">
        <v>123</v>
      </c>
      <c r="D123" s="106" t="s">
        <v>124</v>
      </c>
      <c r="E123" s="107" t="s">
        <v>125</v>
      </c>
      <c r="F123" s="179" t="s">
        <v>126</v>
      </c>
      <c r="G123" s="180"/>
      <c r="H123" s="180"/>
      <c r="I123" s="180"/>
      <c r="J123" s="108" t="s">
        <v>127</v>
      </c>
      <c r="K123" s="109">
        <v>114.397</v>
      </c>
      <c r="L123" s="181"/>
      <c r="M123" s="180"/>
      <c r="N123" s="181">
        <f>ROUND($L$123*$K$123,2)</f>
        <v>0</v>
      </c>
      <c r="O123" s="180"/>
      <c r="P123" s="180"/>
      <c r="Q123" s="180"/>
      <c r="R123" s="20"/>
      <c r="T123" s="110"/>
      <c r="U123" s="26" t="s">
        <v>38</v>
      </c>
      <c r="V123" s="111">
        <v>0.102</v>
      </c>
      <c r="W123" s="111">
        <f>$V$123*$K$123</f>
        <v>11.668493999999999</v>
      </c>
      <c r="X123" s="111">
        <v>0</v>
      </c>
      <c r="Y123" s="111">
        <f>$X$123*$K$123</f>
        <v>0</v>
      </c>
      <c r="Z123" s="111">
        <v>0</v>
      </c>
      <c r="AA123" s="112">
        <f>$Z$123*$K$123</f>
        <v>0</v>
      </c>
      <c r="AR123" s="6" t="s">
        <v>128</v>
      </c>
      <c r="AT123" s="6" t="s">
        <v>124</v>
      </c>
      <c r="AU123" s="6" t="s">
        <v>85</v>
      </c>
      <c r="AY123" s="6" t="s">
        <v>122</v>
      </c>
      <c r="BE123" s="113">
        <f>IF($U$123="základní",$N$123,0)</f>
        <v>0</v>
      </c>
      <c r="BF123" s="113">
        <f>IF($U$123="snížená",$N$123,0)</f>
        <v>0</v>
      </c>
      <c r="BG123" s="113">
        <f>IF($U$123="zákl. přenesená",$N$123,0)</f>
        <v>0</v>
      </c>
      <c r="BH123" s="113">
        <f>IF($U$123="sníž. přenesená",$N$123,0)</f>
        <v>0</v>
      </c>
      <c r="BI123" s="113">
        <f>IF($U$123="nulová",$N$123,0)</f>
        <v>0</v>
      </c>
      <c r="BJ123" s="6" t="s">
        <v>13</v>
      </c>
      <c r="BK123" s="113">
        <f>ROUND($L$123*$K$123,2)</f>
        <v>0</v>
      </c>
      <c r="BL123" s="6" t="s">
        <v>128</v>
      </c>
    </row>
    <row r="124" spans="2:47" s="6" customFormat="1" ht="48" customHeight="1">
      <c r="B124" s="19"/>
      <c r="F124" s="176" t="s">
        <v>129</v>
      </c>
      <c r="G124" s="142"/>
      <c r="H124" s="142"/>
      <c r="I124" s="142"/>
      <c r="R124" s="20"/>
      <c r="T124" s="54"/>
      <c r="AA124" s="55"/>
      <c r="AT124" s="6" t="s">
        <v>130</v>
      </c>
      <c r="AU124" s="6" t="s">
        <v>85</v>
      </c>
    </row>
    <row r="125" spans="2:51" s="6" customFormat="1" ht="27" customHeight="1">
      <c r="B125" s="114"/>
      <c r="E125" s="115"/>
      <c r="F125" s="177" t="s">
        <v>131</v>
      </c>
      <c r="G125" s="178"/>
      <c r="H125" s="178"/>
      <c r="I125" s="178"/>
      <c r="K125" s="116">
        <v>114.397</v>
      </c>
      <c r="R125" s="117"/>
      <c r="T125" s="118"/>
      <c r="AA125" s="119"/>
      <c r="AT125" s="115" t="s">
        <v>132</v>
      </c>
      <c r="AU125" s="115" t="s">
        <v>85</v>
      </c>
      <c r="AV125" s="115" t="s">
        <v>85</v>
      </c>
      <c r="AW125" s="115" t="s">
        <v>94</v>
      </c>
      <c r="AX125" s="115" t="s">
        <v>13</v>
      </c>
      <c r="AY125" s="115" t="s">
        <v>122</v>
      </c>
    </row>
    <row r="126" spans="2:64" s="6" customFormat="1" ht="27" customHeight="1">
      <c r="B126" s="19"/>
      <c r="C126" s="106" t="s">
        <v>133</v>
      </c>
      <c r="D126" s="106" t="s">
        <v>124</v>
      </c>
      <c r="E126" s="107" t="s">
        <v>134</v>
      </c>
      <c r="F126" s="179" t="s">
        <v>135</v>
      </c>
      <c r="G126" s="180"/>
      <c r="H126" s="180"/>
      <c r="I126" s="180"/>
      <c r="J126" s="108" t="s">
        <v>127</v>
      </c>
      <c r="K126" s="109">
        <v>114.397</v>
      </c>
      <c r="L126" s="181"/>
      <c r="M126" s="180"/>
      <c r="N126" s="181">
        <f>ROUND($L$126*$K$126,2)</f>
        <v>0</v>
      </c>
      <c r="O126" s="180"/>
      <c r="P126" s="180"/>
      <c r="Q126" s="180"/>
      <c r="R126" s="20"/>
      <c r="T126" s="110"/>
      <c r="U126" s="26" t="s">
        <v>38</v>
      </c>
      <c r="V126" s="111">
        <v>0.087</v>
      </c>
      <c r="W126" s="111">
        <f>$V$126*$K$126</f>
        <v>9.952539</v>
      </c>
      <c r="X126" s="111">
        <v>0</v>
      </c>
      <c r="Y126" s="111">
        <f>$X$126*$K$126</f>
        <v>0</v>
      </c>
      <c r="Z126" s="111">
        <v>0</v>
      </c>
      <c r="AA126" s="112">
        <f>$Z$126*$K$126</f>
        <v>0</v>
      </c>
      <c r="AR126" s="6" t="s">
        <v>128</v>
      </c>
      <c r="AT126" s="6" t="s">
        <v>124</v>
      </c>
      <c r="AU126" s="6" t="s">
        <v>85</v>
      </c>
      <c r="AY126" s="6" t="s">
        <v>122</v>
      </c>
      <c r="BE126" s="113">
        <f>IF($U$126="základní",$N$126,0)</f>
        <v>0</v>
      </c>
      <c r="BF126" s="113">
        <f>IF($U$126="snížená",$N$126,0)</f>
        <v>0</v>
      </c>
      <c r="BG126" s="113">
        <f>IF($U$126="zákl. přenesená",$N$126,0)</f>
        <v>0</v>
      </c>
      <c r="BH126" s="113">
        <f>IF($U$126="sníž. přenesená",$N$126,0)</f>
        <v>0</v>
      </c>
      <c r="BI126" s="113">
        <f>IF($U$126="nulová",$N$126,0)</f>
        <v>0</v>
      </c>
      <c r="BJ126" s="6" t="s">
        <v>13</v>
      </c>
      <c r="BK126" s="113">
        <f>ROUND($L$126*$K$126,2)</f>
        <v>0</v>
      </c>
      <c r="BL126" s="6" t="s">
        <v>128</v>
      </c>
    </row>
    <row r="127" spans="2:47" s="6" customFormat="1" ht="48" customHeight="1">
      <c r="B127" s="19"/>
      <c r="F127" s="176" t="s">
        <v>129</v>
      </c>
      <c r="G127" s="142"/>
      <c r="H127" s="142"/>
      <c r="I127" s="142"/>
      <c r="R127" s="20"/>
      <c r="T127" s="54"/>
      <c r="AA127" s="55"/>
      <c r="AT127" s="6" t="s">
        <v>130</v>
      </c>
      <c r="AU127" s="6" t="s">
        <v>85</v>
      </c>
    </row>
    <row r="128" spans="2:51" s="6" customFormat="1" ht="27" customHeight="1">
      <c r="B128" s="114"/>
      <c r="E128" s="115"/>
      <c r="F128" s="177" t="s">
        <v>131</v>
      </c>
      <c r="G128" s="178"/>
      <c r="H128" s="178"/>
      <c r="I128" s="178"/>
      <c r="K128" s="116">
        <v>114.397</v>
      </c>
      <c r="R128" s="117"/>
      <c r="T128" s="118"/>
      <c r="AA128" s="119"/>
      <c r="AT128" s="115" t="s">
        <v>132</v>
      </c>
      <c r="AU128" s="115" t="s">
        <v>85</v>
      </c>
      <c r="AV128" s="115" t="s">
        <v>85</v>
      </c>
      <c r="AW128" s="115" t="s">
        <v>94</v>
      </c>
      <c r="AX128" s="115" t="s">
        <v>13</v>
      </c>
      <c r="AY128" s="115" t="s">
        <v>122</v>
      </c>
    </row>
    <row r="129" spans="2:64" s="6" customFormat="1" ht="27" customHeight="1">
      <c r="B129" s="19"/>
      <c r="C129" s="106" t="s">
        <v>136</v>
      </c>
      <c r="D129" s="106" t="s">
        <v>124</v>
      </c>
      <c r="E129" s="107" t="s">
        <v>137</v>
      </c>
      <c r="F129" s="179" t="s">
        <v>138</v>
      </c>
      <c r="G129" s="180"/>
      <c r="H129" s="180"/>
      <c r="I129" s="180"/>
      <c r="J129" s="108" t="s">
        <v>127</v>
      </c>
      <c r="K129" s="109">
        <v>70.211</v>
      </c>
      <c r="L129" s="181"/>
      <c r="M129" s="180"/>
      <c r="N129" s="181">
        <f>ROUND($L$129*$K$129,2)</f>
        <v>0</v>
      </c>
      <c r="O129" s="180"/>
      <c r="P129" s="180"/>
      <c r="Q129" s="180"/>
      <c r="R129" s="20"/>
      <c r="T129" s="110"/>
      <c r="U129" s="26" t="s">
        <v>38</v>
      </c>
      <c r="V129" s="111">
        <v>2.195</v>
      </c>
      <c r="W129" s="111">
        <f>$V$129*$K$129</f>
        <v>154.11314499999997</v>
      </c>
      <c r="X129" s="111">
        <v>0</v>
      </c>
      <c r="Y129" s="111">
        <f>$X$129*$K$129</f>
        <v>0</v>
      </c>
      <c r="Z129" s="111">
        <v>0</v>
      </c>
      <c r="AA129" s="112">
        <f>$Z$129*$K$129</f>
        <v>0</v>
      </c>
      <c r="AR129" s="6" t="s">
        <v>128</v>
      </c>
      <c r="AT129" s="6" t="s">
        <v>124</v>
      </c>
      <c r="AU129" s="6" t="s">
        <v>85</v>
      </c>
      <c r="AY129" s="6" t="s">
        <v>122</v>
      </c>
      <c r="BE129" s="113">
        <f>IF($U$129="základní",$N$129,0)</f>
        <v>0</v>
      </c>
      <c r="BF129" s="113">
        <f>IF($U$129="snížená",$N$129,0)</f>
        <v>0</v>
      </c>
      <c r="BG129" s="113">
        <f>IF($U$129="zákl. přenesená",$N$129,0)</f>
        <v>0</v>
      </c>
      <c r="BH129" s="113">
        <f>IF($U$129="sníž. přenesená",$N$129,0)</f>
        <v>0</v>
      </c>
      <c r="BI129" s="113">
        <f>IF($U$129="nulová",$N$129,0)</f>
        <v>0</v>
      </c>
      <c r="BJ129" s="6" t="s">
        <v>13</v>
      </c>
      <c r="BK129" s="113">
        <f>ROUND($L$129*$K$129,2)</f>
        <v>0</v>
      </c>
      <c r="BL129" s="6" t="s">
        <v>128</v>
      </c>
    </row>
    <row r="130" spans="2:47" s="6" customFormat="1" ht="25.5" customHeight="1">
      <c r="B130" s="19"/>
      <c r="F130" s="176" t="s">
        <v>139</v>
      </c>
      <c r="G130" s="142"/>
      <c r="H130" s="142"/>
      <c r="I130" s="142"/>
      <c r="R130" s="20"/>
      <c r="T130" s="54"/>
      <c r="AA130" s="55"/>
      <c r="AT130" s="6" t="s">
        <v>130</v>
      </c>
      <c r="AU130" s="6" t="s">
        <v>85</v>
      </c>
    </row>
    <row r="131" spans="2:51" s="6" customFormat="1" ht="15.75" customHeight="1">
      <c r="B131" s="114"/>
      <c r="E131" s="115"/>
      <c r="F131" s="177" t="s">
        <v>140</v>
      </c>
      <c r="G131" s="178"/>
      <c r="H131" s="178"/>
      <c r="I131" s="178"/>
      <c r="K131" s="116">
        <v>70.211</v>
      </c>
      <c r="R131" s="117"/>
      <c r="T131" s="118"/>
      <c r="AA131" s="119"/>
      <c r="AT131" s="115" t="s">
        <v>132</v>
      </c>
      <c r="AU131" s="115" t="s">
        <v>85</v>
      </c>
      <c r="AV131" s="115" t="s">
        <v>85</v>
      </c>
      <c r="AW131" s="115" t="s">
        <v>94</v>
      </c>
      <c r="AX131" s="115" t="s">
        <v>13</v>
      </c>
      <c r="AY131" s="115" t="s">
        <v>122</v>
      </c>
    </row>
    <row r="132" spans="2:63" s="96" customFormat="1" ht="30.75" customHeight="1">
      <c r="B132" s="97"/>
      <c r="D132" s="105" t="s">
        <v>97</v>
      </c>
      <c r="N132" s="172">
        <f>$BK$132</f>
        <v>0</v>
      </c>
      <c r="O132" s="173"/>
      <c r="P132" s="173"/>
      <c r="Q132" s="173"/>
      <c r="R132" s="100"/>
      <c r="T132" s="101"/>
      <c r="W132" s="102">
        <f>SUM($W$133:$W$163)</f>
        <v>5527.669654000001</v>
      </c>
      <c r="Y132" s="102">
        <f>SUM($Y$133:$Y$163)</f>
        <v>1462.98707136</v>
      </c>
      <c r="AA132" s="103">
        <f>SUM($AA$133:$AA$163)</f>
        <v>0</v>
      </c>
      <c r="AR132" s="99" t="s">
        <v>13</v>
      </c>
      <c r="AT132" s="99" t="s">
        <v>72</v>
      </c>
      <c r="AU132" s="99" t="s">
        <v>13</v>
      </c>
      <c r="AY132" s="99" t="s">
        <v>122</v>
      </c>
      <c r="BK132" s="104">
        <f>SUM($BK$133:$BK$163)</f>
        <v>0</v>
      </c>
    </row>
    <row r="133" spans="2:64" s="6" customFormat="1" ht="27" customHeight="1">
      <c r="B133" s="19"/>
      <c r="C133" s="106" t="s">
        <v>141</v>
      </c>
      <c r="D133" s="106" t="s">
        <v>124</v>
      </c>
      <c r="E133" s="107" t="s">
        <v>142</v>
      </c>
      <c r="F133" s="179" t="s">
        <v>271</v>
      </c>
      <c r="G133" s="180"/>
      <c r="H133" s="180"/>
      <c r="I133" s="180"/>
      <c r="J133" s="108" t="s">
        <v>127</v>
      </c>
      <c r="K133" s="109">
        <v>499.694</v>
      </c>
      <c r="L133" s="181"/>
      <c r="M133" s="180"/>
      <c r="N133" s="181">
        <f>ROUND($L$133*$K$133,2)</f>
        <v>0</v>
      </c>
      <c r="O133" s="180"/>
      <c r="P133" s="180"/>
      <c r="Q133" s="180"/>
      <c r="R133" s="20"/>
      <c r="T133" s="110"/>
      <c r="U133" s="26" t="s">
        <v>38</v>
      </c>
      <c r="V133" s="111">
        <v>4.591</v>
      </c>
      <c r="W133" s="111">
        <f>$V$133*$K$133</f>
        <v>2294.095154</v>
      </c>
      <c r="X133" s="111">
        <v>2.80894</v>
      </c>
      <c r="Y133" s="111">
        <f>$X$133*$K$133</f>
        <v>1403.6104643600002</v>
      </c>
      <c r="Z133" s="111">
        <v>0</v>
      </c>
      <c r="AA133" s="112">
        <f>$Z$133*$K$133</f>
        <v>0</v>
      </c>
      <c r="AR133" s="6" t="s">
        <v>128</v>
      </c>
      <c r="AT133" s="6" t="s">
        <v>124</v>
      </c>
      <c r="AU133" s="6" t="s">
        <v>85</v>
      </c>
      <c r="AY133" s="6" t="s">
        <v>122</v>
      </c>
      <c r="BE133" s="113">
        <f>IF($U$133="základní",$N$133,0)</f>
        <v>0</v>
      </c>
      <c r="BF133" s="113">
        <f>IF($U$133="snížená",$N$133,0)</f>
        <v>0</v>
      </c>
      <c r="BG133" s="113">
        <f>IF($U$133="zákl. přenesená",$N$133,0)</f>
        <v>0</v>
      </c>
      <c r="BH133" s="113">
        <f>IF($U$133="sníž. přenesená",$N$133,0)</f>
        <v>0</v>
      </c>
      <c r="BI133" s="113">
        <f>IF($U$133="nulová",$N$133,0)</f>
        <v>0</v>
      </c>
      <c r="BJ133" s="6" t="s">
        <v>13</v>
      </c>
      <c r="BK133" s="113">
        <f>ROUND($L$133*$K$133,2)</f>
        <v>0</v>
      </c>
      <c r="BL133" s="6" t="s">
        <v>128</v>
      </c>
    </row>
    <row r="134" spans="2:47" s="6" customFormat="1" ht="15.75" customHeight="1">
      <c r="B134" s="19"/>
      <c r="F134" s="176" t="s">
        <v>143</v>
      </c>
      <c r="G134" s="142"/>
      <c r="H134" s="142"/>
      <c r="I134" s="142"/>
      <c r="R134" s="20"/>
      <c r="T134" s="54"/>
      <c r="AA134" s="55"/>
      <c r="AT134" s="6" t="s">
        <v>130</v>
      </c>
      <c r="AU134" s="6" t="s">
        <v>85</v>
      </c>
    </row>
    <row r="135" spans="2:51" s="6" customFormat="1" ht="15.75" customHeight="1">
      <c r="B135" s="114"/>
      <c r="E135" s="115"/>
      <c r="F135" s="177" t="s">
        <v>144</v>
      </c>
      <c r="G135" s="178"/>
      <c r="H135" s="178"/>
      <c r="I135" s="178"/>
      <c r="K135" s="116">
        <v>288.45</v>
      </c>
      <c r="R135" s="117"/>
      <c r="T135" s="118"/>
      <c r="AA135" s="119"/>
      <c r="AT135" s="115" t="s">
        <v>132</v>
      </c>
      <c r="AU135" s="115" t="s">
        <v>85</v>
      </c>
      <c r="AV135" s="115" t="s">
        <v>85</v>
      </c>
      <c r="AW135" s="115" t="s">
        <v>94</v>
      </c>
      <c r="AX135" s="115" t="s">
        <v>73</v>
      </c>
      <c r="AY135" s="115" t="s">
        <v>122</v>
      </c>
    </row>
    <row r="136" spans="2:51" s="6" customFormat="1" ht="15.75" customHeight="1">
      <c r="B136" s="114"/>
      <c r="E136" s="115"/>
      <c r="F136" s="177" t="s">
        <v>145</v>
      </c>
      <c r="G136" s="178"/>
      <c r="H136" s="178"/>
      <c r="I136" s="178"/>
      <c r="K136" s="116">
        <v>87</v>
      </c>
      <c r="R136" s="117"/>
      <c r="T136" s="118"/>
      <c r="AA136" s="119"/>
      <c r="AT136" s="115" t="s">
        <v>132</v>
      </c>
      <c r="AU136" s="115" t="s">
        <v>85</v>
      </c>
      <c r="AV136" s="115" t="s">
        <v>85</v>
      </c>
      <c r="AW136" s="115" t="s">
        <v>94</v>
      </c>
      <c r="AX136" s="115" t="s">
        <v>73</v>
      </c>
      <c r="AY136" s="115" t="s">
        <v>122</v>
      </c>
    </row>
    <row r="137" spans="2:51" s="6" customFormat="1" ht="15.75" customHeight="1">
      <c r="B137" s="114"/>
      <c r="E137" s="115"/>
      <c r="F137" s="177" t="s">
        <v>146</v>
      </c>
      <c r="G137" s="178"/>
      <c r="H137" s="178"/>
      <c r="I137" s="178"/>
      <c r="K137" s="116">
        <v>40</v>
      </c>
      <c r="R137" s="117"/>
      <c r="T137" s="118"/>
      <c r="AA137" s="119"/>
      <c r="AT137" s="115" t="s">
        <v>132</v>
      </c>
      <c r="AU137" s="115" t="s">
        <v>85</v>
      </c>
      <c r="AV137" s="115" t="s">
        <v>85</v>
      </c>
      <c r="AW137" s="115" t="s">
        <v>94</v>
      </c>
      <c r="AX137" s="115" t="s">
        <v>73</v>
      </c>
      <c r="AY137" s="115" t="s">
        <v>122</v>
      </c>
    </row>
    <row r="138" spans="2:51" s="6" customFormat="1" ht="15.75" customHeight="1">
      <c r="B138" s="114"/>
      <c r="E138" s="115"/>
      <c r="F138" s="177" t="s">
        <v>268</v>
      </c>
      <c r="G138" s="178"/>
      <c r="H138" s="178"/>
      <c r="I138" s="178"/>
      <c r="K138" s="116">
        <v>53.9</v>
      </c>
      <c r="R138" s="117"/>
      <c r="T138" s="118"/>
      <c r="AA138" s="119"/>
      <c r="AT138" s="115" t="s">
        <v>132</v>
      </c>
      <c r="AU138" s="115" t="s">
        <v>85</v>
      </c>
      <c r="AV138" s="115" t="s">
        <v>85</v>
      </c>
      <c r="AW138" s="115" t="s">
        <v>94</v>
      </c>
      <c r="AX138" s="115" t="s">
        <v>73</v>
      </c>
      <c r="AY138" s="115" t="s">
        <v>122</v>
      </c>
    </row>
    <row r="139" spans="2:51" s="6" customFormat="1" ht="27" customHeight="1">
      <c r="B139" s="114"/>
      <c r="E139" s="115"/>
      <c r="F139" s="177" t="s">
        <v>147</v>
      </c>
      <c r="G139" s="178"/>
      <c r="H139" s="178"/>
      <c r="I139" s="178"/>
      <c r="K139" s="116">
        <v>25.344</v>
      </c>
      <c r="R139" s="117"/>
      <c r="T139" s="118"/>
      <c r="AA139" s="119"/>
      <c r="AT139" s="115" t="s">
        <v>132</v>
      </c>
      <c r="AU139" s="115" t="s">
        <v>85</v>
      </c>
      <c r="AV139" s="115" t="s">
        <v>85</v>
      </c>
      <c r="AW139" s="115" t="s">
        <v>94</v>
      </c>
      <c r="AX139" s="115" t="s">
        <v>73</v>
      </c>
      <c r="AY139" s="115" t="s">
        <v>122</v>
      </c>
    </row>
    <row r="140" spans="2:51" s="6" customFormat="1" ht="27" customHeight="1">
      <c r="B140" s="114"/>
      <c r="E140" s="115"/>
      <c r="F140" s="177" t="s">
        <v>148</v>
      </c>
      <c r="G140" s="178"/>
      <c r="H140" s="178"/>
      <c r="I140" s="178"/>
      <c r="K140" s="116">
        <v>5</v>
      </c>
      <c r="R140" s="117"/>
      <c r="T140" s="118"/>
      <c r="AA140" s="119"/>
      <c r="AT140" s="115" t="s">
        <v>132</v>
      </c>
      <c r="AU140" s="115" t="s">
        <v>85</v>
      </c>
      <c r="AV140" s="115" t="s">
        <v>85</v>
      </c>
      <c r="AW140" s="115" t="s">
        <v>94</v>
      </c>
      <c r="AX140" s="115" t="s">
        <v>73</v>
      </c>
      <c r="AY140" s="115" t="s">
        <v>122</v>
      </c>
    </row>
    <row r="141" spans="2:51" s="6" customFormat="1" ht="15.75" customHeight="1">
      <c r="B141" s="120"/>
      <c r="E141" s="121"/>
      <c r="F141" s="183" t="s">
        <v>149</v>
      </c>
      <c r="G141" s="184"/>
      <c r="H141" s="184"/>
      <c r="I141" s="184"/>
      <c r="K141" s="122">
        <v>448.404</v>
      </c>
      <c r="R141" s="123"/>
      <c r="T141" s="124"/>
      <c r="AA141" s="125"/>
      <c r="AD141" s="139">
        <f>SUM(K135:K140)</f>
        <v>499.69399999999996</v>
      </c>
      <c r="AT141" s="121" t="s">
        <v>132</v>
      </c>
      <c r="AU141" s="121" t="s">
        <v>85</v>
      </c>
      <c r="AV141" s="121" t="s">
        <v>128</v>
      </c>
      <c r="AW141" s="121" t="s">
        <v>94</v>
      </c>
      <c r="AX141" s="121" t="s">
        <v>13</v>
      </c>
      <c r="AY141" s="121" t="s">
        <v>122</v>
      </c>
    </row>
    <row r="142" spans="2:64" s="6" customFormat="1" ht="27" customHeight="1">
      <c r="B142" s="19"/>
      <c r="C142" s="106" t="s">
        <v>150</v>
      </c>
      <c r="D142" s="106" t="s">
        <v>124</v>
      </c>
      <c r="E142" s="107" t="s">
        <v>151</v>
      </c>
      <c r="F142" s="179" t="s">
        <v>152</v>
      </c>
      <c r="G142" s="180"/>
      <c r="H142" s="180"/>
      <c r="I142" s="180"/>
      <c r="J142" s="108" t="s">
        <v>153</v>
      </c>
      <c r="K142" s="109">
        <v>474.7</v>
      </c>
      <c r="L142" s="181"/>
      <c r="M142" s="180"/>
      <c r="N142" s="181">
        <f>ROUND($L$142*$K$142,2)</f>
        <v>0</v>
      </c>
      <c r="O142" s="180"/>
      <c r="P142" s="180"/>
      <c r="Q142" s="180"/>
      <c r="R142" s="20"/>
      <c r="T142" s="110"/>
      <c r="U142" s="26" t="s">
        <v>38</v>
      </c>
      <c r="V142" s="111">
        <v>1.895</v>
      </c>
      <c r="W142" s="111">
        <f>$V$142*$K$142</f>
        <v>899.5565</v>
      </c>
      <c r="X142" s="111">
        <v>0.00765</v>
      </c>
      <c r="Y142" s="111">
        <f>$X$142*$K$142</f>
        <v>3.631455</v>
      </c>
      <c r="Z142" s="111">
        <v>0</v>
      </c>
      <c r="AA142" s="112">
        <f>$Z$142*$K$142</f>
        <v>0</v>
      </c>
      <c r="AR142" s="6" t="s">
        <v>128</v>
      </c>
      <c r="AT142" s="6" t="s">
        <v>124</v>
      </c>
      <c r="AU142" s="6" t="s">
        <v>85</v>
      </c>
      <c r="AY142" s="6" t="s">
        <v>122</v>
      </c>
      <c r="BE142" s="113">
        <f>IF($U$142="základní",$N$142,0)</f>
        <v>0</v>
      </c>
      <c r="BF142" s="113">
        <f>IF($U$142="snížená",$N$142,0)</f>
        <v>0</v>
      </c>
      <c r="BG142" s="113">
        <f>IF($U$142="zákl. přenesená",$N$142,0)</f>
        <v>0</v>
      </c>
      <c r="BH142" s="113">
        <f>IF($U$142="sníž. přenesená",$N$142,0)</f>
        <v>0</v>
      </c>
      <c r="BI142" s="113">
        <f>IF($U$142="nulová",$N$142,0)</f>
        <v>0</v>
      </c>
      <c r="BJ142" s="6" t="s">
        <v>13</v>
      </c>
      <c r="BK142" s="113">
        <f>ROUND($L$142*$K$142,2)</f>
        <v>0</v>
      </c>
      <c r="BL142" s="6" t="s">
        <v>128</v>
      </c>
    </row>
    <row r="143" spans="2:51" s="6" customFormat="1" ht="27" customHeight="1">
      <c r="B143" s="114"/>
      <c r="E143" s="115"/>
      <c r="F143" s="177" t="s">
        <v>154</v>
      </c>
      <c r="G143" s="178"/>
      <c r="H143" s="178"/>
      <c r="I143" s="178"/>
      <c r="K143" s="116">
        <v>452.4</v>
      </c>
      <c r="R143" s="117"/>
      <c r="T143" s="118"/>
      <c r="AA143" s="119"/>
      <c r="AT143" s="115" t="s">
        <v>132</v>
      </c>
      <c r="AU143" s="115" t="s">
        <v>85</v>
      </c>
      <c r="AV143" s="115" t="s">
        <v>85</v>
      </c>
      <c r="AW143" s="115" t="s">
        <v>94</v>
      </c>
      <c r="AX143" s="115" t="s">
        <v>73</v>
      </c>
      <c r="AY143" s="115" t="s">
        <v>122</v>
      </c>
    </row>
    <row r="144" spans="2:51" s="6" customFormat="1" ht="15.75" customHeight="1">
      <c r="B144" s="114"/>
      <c r="E144" s="115"/>
      <c r="F144" s="177" t="s">
        <v>155</v>
      </c>
      <c r="G144" s="178"/>
      <c r="H144" s="178"/>
      <c r="I144" s="178"/>
      <c r="K144" s="116">
        <v>22.3</v>
      </c>
      <c r="R144" s="117"/>
      <c r="T144" s="118"/>
      <c r="AA144" s="119"/>
      <c r="AT144" s="115" t="s">
        <v>132</v>
      </c>
      <c r="AU144" s="115" t="s">
        <v>85</v>
      </c>
      <c r="AV144" s="115" t="s">
        <v>85</v>
      </c>
      <c r="AW144" s="115" t="s">
        <v>94</v>
      </c>
      <c r="AX144" s="115" t="s">
        <v>73</v>
      </c>
      <c r="AY144" s="115" t="s">
        <v>122</v>
      </c>
    </row>
    <row r="145" spans="2:51" s="6" customFormat="1" ht="15.75" customHeight="1">
      <c r="B145" s="120"/>
      <c r="E145" s="121"/>
      <c r="F145" s="183" t="s">
        <v>149</v>
      </c>
      <c r="G145" s="184"/>
      <c r="H145" s="184"/>
      <c r="I145" s="184"/>
      <c r="K145" s="122">
        <v>474.7</v>
      </c>
      <c r="R145" s="123"/>
      <c r="T145" s="124"/>
      <c r="AA145" s="125"/>
      <c r="AT145" s="121" t="s">
        <v>132</v>
      </c>
      <c r="AU145" s="121" t="s">
        <v>85</v>
      </c>
      <c r="AV145" s="121" t="s">
        <v>128</v>
      </c>
      <c r="AW145" s="121" t="s">
        <v>94</v>
      </c>
      <c r="AX145" s="121" t="s">
        <v>13</v>
      </c>
      <c r="AY145" s="121" t="s">
        <v>122</v>
      </c>
    </row>
    <row r="146" spans="2:64" s="6" customFormat="1" ht="27" customHeight="1">
      <c r="B146" s="19"/>
      <c r="C146" s="106" t="s">
        <v>156</v>
      </c>
      <c r="D146" s="106" t="s">
        <v>124</v>
      </c>
      <c r="E146" s="107" t="s">
        <v>157</v>
      </c>
      <c r="F146" s="179" t="s">
        <v>158</v>
      </c>
      <c r="G146" s="180"/>
      <c r="H146" s="180"/>
      <c r="I146" s="180"/>
      <c r="J146" s="108" t="s">
        <v>153</v>
      </c>
      <c r="K146" s="109">
        <v>474.7</v>
      </c>
      <c r="L146" s="181"/>
      <c r="M146" s="180"/>
      <c r="N146" s="181">
        <f>ROUND($L$146*$K$146,2)</f>
        <v>0</v>
      </c>
      <c r="O146" s="180"/>
      <c r="P146" s="180"/>
      <c r="Q146" s="180"/>
      <c r="R146" s="20"/>
      <c r="T146" s="110"/>
      <c r="U146" s="26" t="s">
        <v>38</v>
      </c>
      <c r="V146" s="111">
        <v>0.628</v>
      </c>
      <c r="W146" s="111">
        <f>$V$146*$K$146</f>
        <v>298.1116</v>
      </c>
      <c r="X146" s="111">
        <v>0.00086</v>
      </c>
      <c r="Y146" s="111">
        <f>$X$146*$K$146</f>
        <v>0.408242</v>
      </c>
      <c r="Z146" s="111">
        <v>0</v>
      </c>
      <c r="AA146" s="112">
        <f>$Z$146*$K$146</f>
        <v>0</v>
      </c>
      <c r="AR146" s="6" t="s">
        <v>128</v>
      </c>
      <c r="AT146" s="6" t="s">
        <v>124</v>
      </c>
      <c r="AU146" s="6" t="s">
        <v>85</v>
      </c>
      <c r="AY146" s="6" t="s">
        <v>122</v>
      </c>
      <c r="BE146" s="113">
        <f>IF($U$146="základní",$N$146,0)</f>
        <v>0</v>
      </c>
      <c r="BF146" s="113">
        <f>IF($U$146="snížená",$N$146,0)</f>
        <v>0</v>
      </c>
      <c r="BG146" s="113">
        <f>IF($U$146="zákl. přenesená",$N$146,0)</f>
        <v>0</v>
      </c>
      <c r="BH146" s="113">
        <f>IF($U$146="sníž. přenesená",$N$146,0)</f>
        <v>0</v>
      </c>
      <c r="BI146" s="113">
        <f>IF($U$146="nulová",$N$146,0)</f>
        <v>0</v>
      </c>
      <c r="BJ146" s="6" t="s">
        <v>13</v>
      </c>
      <c r="BK146" s="113">
        <f>ROUND($L$146*$K$146,2)</f>
        <v>0</v>
      </c>
      <c r="BL146" s="6" t="s">
        <v>128</v>
      </c>
    </row>
    <row r="147" spans="2:51" s="6" customFormat="1" ht="27" customHeight="1">
      <c r="B147" s="114"/>
      <c r="E147" s="115"/>
      <c r="F147" s="177" t="s">
        <v>154</v>
      </c>
      <c r="G147" s="178"/>
      <c r="H147" s="178"/>
      <c r="I147" s="178"/>
      <c r="K147" s="116">
        <v>452.4</v>
      </c>
      <c r="R147" s="117"/>
      <c r="T147" s="118"/>
      <c r="AA147" s="119"/>
      <c r="AT147" s="115" t="s">
        <v>132</v>
      </c>
      <c r="AU147" s="115" t="s">
        <v>85</v>
      </c>
      <c r="AV147" s="115" t="s">
        <v>85</v>
      </c>
      <c r="AW147" s="115" t="s">
        <v>94</v>
      </c>
      <c r="AX147" s="115" t="s">
        <v>73</v>
      </c>
      <c r="AY147" s="115" t="s">
        <v>122</v>
      </c>
    </row>
    <row r="148" spans="2:51" s="6" customFormat="1" ht="15.75" customHeight="1">
      <c r="B148" s="114"/>
      <c r="E148" s="115"/>
      <c r="F148" s="177" t="s">
        <v>155</v>
      </c>
      <c r="G148" s="178"/>
      <c r="H148" s="178"/>
      <c r="I148" s="178"/>
      <c r="K148" s="116">
        <v>22.3</v>
      </c>
      <c r="R148" s="117"/>
      <c r="T148" s="118"/>
      <c r="AA148" s="119"/>
      <c r="AT148" s="115" t="s">
        <v>132</v>
      </c>
      <c r="AU148" s="115" t="s">
        <v>85</v>
      </c>
      <c r="AV148" s="115" t="s">
        <v>85</v>
      </c>
      <c r="AW148" s="115" t="s">
        <v>94</v>
      </c>
      <c r="AX148" s="115" t="s">
        <v>73</v>
      </c>
      <c r="AY148" s="115" t="s">
        <v>122</v>
      </c>
    </row>
    <row r="149" spans="2:51" s="6" customFormat="1" ht="15.75" customHeight="1">
      <c r="B149" s="120"/>
      <c r="E149" s="121"/>
      <c r="F149" s="183" t="s">
        <v>149</v>
      </c>
      <c r="G149" s="184"/>
      <c r="H149" s="184"/>
      <c r="I149" s="184"/>
      <c r="K149" s="122">
        <v>474.7</v>
      </c>
      <c r="R149" s="123"/>
      <c r="T149" s="124"/>
      <c r="AA149" s="125"/>
      <c r="AT149" s="121" t="s">
        <v>132</v>
      </c>
      <c r="AU149" s="121" t="s">
        <v>85</v>
      </c>
      <c r="AV149" s="121" t="s">
        <v>128</v>
      </c>
      <c r="AW149" s="121" t="s">
        <v>94</v>
      </c>
      <c r="AX149" s="121" t="s">
        <v>13</v>
      </c>
      <c r="AY149" s="121" t="s">
        <v>122</v>
      </c>
    </row>
    <row r="150" spans="2:64" s="6" customFormat="1" ht="27" customHeight="1">
      <c r="B150" s="19"/>
      <c r="C150" s="106" t="s">
        <v>159</v>
      </c>
      <c r="D150" s="106" t="s">
        <v>124</v>
      </c>
      <c r="E150" s="107" t="s">
        <v>160</v>
      </c>
      <c r="F150" s="179" t="s">
        <v>161</v>
      </c>
      <c r="G150" s="180"/>
      <c r="H150" s="180"/>
      <c r="I150" s="180"/>
      <c r="J150" s="108" t="s">
        <v>162</v>
      </c>
      <c r="K150" s="109">
        <v>8.2</v>
      </c>
      <c r="L150" s="181"/>
      <c r="M150" s="180"/>
      <c r="N150" s="181">
        <f>ROUND($L$150*$K$150,2)</f>
        <v>0</v>
      </c>
      <c r="O150" s="180"/>
      <c r="P150" s="180"/>
      <c r="Q150" s="180"/>
      <c r="R150" s="20"/>
      <c r="T150" s="110"/>
      <c r="U150" s="26" t="s">
        <v>38</v>
      </c>
      <c r="V150" s="111">
        <v>33.527</v>
      </c>
      <c r="W150" s="111">
        <f>$V$150*$K$150</f>
        <v>274.9214</v>
      </c>
      <c r="X150" s="111">
        <v>1.0958</v>
      </c>
      <c r="Y150" s="111">
        <f>$X$150*$K$150</f>
        <v>8.98556</v>
      </c>
      <c r="Z150" s="111">
        <v>0</v>
      </c>
      <c r="AA150" s="112">
        <f>$Z$150*$K$150</f>
        <v>0</v>
      </c>
      <c r="AR150" s="6" t="s">
        <v>128</v>
      </c>
      <c r="AT150" s="6" t="s">
        <v>124</v>
      </c>
      <c r="AU150" s="6" t="s">
        <v>85</v>
      </c>
      <c r="AY150" s="6" t="s">
        <v>122</v>
      </c>
      <c r="BE150" s="113">
        <f>IF($U$150="základní",$N$150,0)</f>
        <v>0</v>
      </c>
      <c r="BF150" s="113">
        <f>IF($U$150="snížená",$N$150,0)</f>
        <v>0</v>
      </c>
      <c r="BG150" s="113">
        <f>IF($U$150="zákl. přenesená",$N$150,0)</f>
        <v>0</v>
      </c>
      <c r="BH150" s="113">
        <f>IF($U$150="sníž. přenesená",$N$150,0)</f>
        <v>0</v>
      </c>
      <c r="BI150" s="113">
        <f>IF($U$150="nulová",$N$150,0)</f>
        <v>0</v>
      </c>
      <c r="BJ150" s="6" t="s">
        <v>13</v>
      </c>
      <c r="BK150" s="113">
        <f>ROUND($L$150*$K$150,2)</f>
        <v>0</v>
      </c>
      <c r="BL150" s="6" t="s">
        <v>128</v>
      </c>
    </row>
    <row r="151" spans="2:47" s="6" customFormat="1" ht="36.75" customHeight="1">
      <c r="B151" s="19"/>
      <c r="F151" s="176" t="s">
        <v>163</v>
      </c>
      <c r="G151" s="142"/>
      <c r="H151" s="142"/>
      <c r="I151" s="142"/>
      <c r="R151" s="20"/>
      <c r="T151" s="54"/>
      <c r="AA151" s="55"/>
      <c r="AT151" s="6" t="s">
        <v>130</v>
      </c>
      <c r="AU151" s="6" t="s">
        <v>85</v>
      </c>
    </row>
    <row r="152" spans="2:51" s="6" customFormat="1" ht="24.75" customHeight="1">
      <c r="B152" s="114"/>
      <c r="E152" s="115"/>
      <c r="F152" s="177" t="s">
        <v>269</v>
      </c>
      <c r="G152" s="178"/>
      <c r="H152" s="178"/>
      <c r="I152" s="178"/>
      <c r="K152" s="116">
        <v>2.047</v>
      </c>
      <c r="R152" s="117"/>
      <c r="T152" s="118"/>
      <c r="AA152" s="119"/>
      <c r="AT152" s="115" t="s">
        <v>132</v>
      </c>
      <c r="AU152" s="115" t="s">
        <v>85</v>
      </c>
      <c r="AV152" s="115" t="s">
        <v>85</v>
      </c>
      <c r="AW152" s="115" t="s">
        <v>94</v>
      </c>
      <c r="AX152" s="115" t="s">
        <v>13</v>
      </c>
      <c r="AY152" s="115" t="s">
        <v>122</v>
      </c>
    </row>
    <row r="153" spans="2:64" s="6" customFormat="1" ht="27" customHeight="1">
      <c r="B153" s="19"/>
      <c r="C153" s="106" t="s">
        <v>164</v>
      </c>
      <c r="D153" s="106" t="s">
        <v>124</v>
      </c>
      <c r="E153" s="107" t="s">
        <v>165</v>
      </c>
      <c r="F153" s="179" t="s">
        <v>166</v>
      </c>
      <c r="G153" s="180"/>
      <c r="H153" s="180"/>
      <c r="I153" s="180"/>
      <c r="J153" s="108" t="s">
        <v>162</v>
      </c>
      <c r="K153" s="109">
        <v>45</v>
      </c>
      <c r="L153" s="181"/>
      <c r="M153" s="180"/>
      <c r="N153" s="181">
        <f>ROUND($L$153*$K$153,2)</f>
        <v>0</v>
      </c>
      <c r="O153" s="180"/>
      <c r="P153" s="180"/>
      <c r="Q153" s="180"/>
      <c r="R153" s="20"/>
      <c r="T153" s="110"/>
      <c r="U153" s="26" t="s">
        <v>38</v>
      </c>
      <c r="V153" s="111">
        <v>39.133</v>
      </c>
      <c r="W153" s="111">
        <f>$V$153*$K$153</f>
        <v>1760.9850000000001</v>
      </c>
      <c r="X153" s="111">
        <v>1.03003</v>
      </c>
      <c r="Y153" s="111">
        <f>$X$153*$K$153</f>
        <v>46.35135</v>
      </c>
      <c r="Z153" s="111">
        <v>0</v>
      </c>
      <c r="AA153" s="112">
        <f>$Z$153*$K$153</f>
        <v>0</v>
      </c>
      <c r="AR153" s="6" t="s">
        <v>128</v>
      </c>
      <c r="AT153" s="6" t="s">
        <v>124</v>
      </c>
      <c r="AU153" s="6" t="s">
        <v>85</v>
      </c>
      <c r="AY153" s="6" t="s">
        <v>122</v>
      </c>
      <c r="BE153" s="113">
        <f>IF($U$153="základní",$N$153,0)</f>
        <v>0</v>
      </c>
      <c r="BF153" s="113">
        <f>IF($U$153="snížená",$N$153,0)</f>
        <v>0</v>
      </c>
      <c r="BG153" s="113">
        <f>IF($U$153="zákl. přenesená",$N$153,0)</f>
        <v>0</v>
      </c>
      <c r="BH153" s="113">
        <f>IF($U$153="sníž. přenesená",$N$153,0)</f>
        <v>0</v>
      </c>
      <c r="BI153" s="113">
        <f>IF($U$153="nulová",$N$153,0)</f>
        <v>0</v>
      </c>
      <c r="BJ153" s="6" t="s">
        <v>13</v>
      </c>
      <c r="BK153" s="113">
        <f>ROUND($L$153*$K$153,2)</f>
        <v>0</v>
      </c>
      <c r="BL153" s="6" t="s">
        <v>128</v>
      </c>
    </row>
    <row r="154" spans="2:47" s="6" customFormat="1" ht="57.75" customHeight="1">
      <c r="B154" s="19"/>
      <c r="F154" s="176" t="s">
        <v>270</v>
      </c>
      <c r="G154" s="142"/>
      <c r="H154" s="142"/>
      <c r="I154" s="142"/>
      <c r="R154" s="20"/>
      <c r="T154" s="54"/>
      <c r="AA154" s="55"/>
      <c r="AT154" s="6" t="s">
        <v>130</v>
      </c>
      <c r="AU154" s="6" t="s">
        <v>85</v>
      </c>
    </row>
    <row r="155" spans="2:51" s="6" customFormat="1" ht="29.25" customHeight="1">
      <c r="B155" s="114"/>
      <c r="E155" s="115"/>
      <c r="F155" s="177" t="s">
        <v>167</v>
      </c>
      <c r="G155" s="178"/>
      <c r="H155" s="178"/>
      <c r="I155" s="178"/>
      <c r="K155" s="116">
        <v>2271</v>
      </c>
      <c r="R155" s="117"/>
      <c r="T155" s="118"/>
      <c r="AA155" s="119"/>
      <c r="AT155" s="115" t="s">
        <v>132</v>
      </c>
      <c r="AU155" s="115" t="s">
        <v>85</v>
      </c>
      <c r="AV155" s="115" t="s">
        <v>85</v>
      </c>
      <c r="AW155" s="115" t="s">
        <v>94</v>
      </c>
      <c r="AX155" s="115" t="s">
        <v>73</v>
      </c>
      <c r="AY155" s="115" t="s">
        <v>122</v>
      </c>
    </row>
    <row r="156" spans="2:51" s="6" customFormat="1" ht="15.75" customHeight="1">
      <c r="B156" s="114"/>
      <c r="E156" s="115"/>
      <c r="F156" s="177" t="s">
        <v>168</v>
      </c>
      <c r="G156" s="178"/>
      <c r="H156" s="178"/>
      <c r="I156" s="178"/>
      <c r="K156" s="116">
        <v>100</v>
      </c>
      <c r="R156" s="117"/>
      <c r="T156" s="118"/>
      <c r="AA156" s="119"/>
      <c r="AT156" s="115" t="s">
        <v>132</v>
      </c>
      <c r="AU156" s="115" t="s">
        <v>85</v>
      </c>
      <c r="AV156" s="115" t="s">
        <v>85</v>
      </c>
      <c r="AW156" s="115" t="s">
        <v>94</v>
      </c>
      <c r="AX156" s="115" t="s">
        <v>73</v>
      </c>
      <c r="AY156" s="115" t="s">
        <v>122</v>
      </c>
    </row>
    <row r="157" spans="2:51" s="6" customFormat="1" ht="15.75" customHeight="1">
      <c r="B157" s="114"/>
      <c r="E157" s="115"/>
      <c r="F157" s="177" t="s">
        <v>169</v>
      </c>
      <c r="G157" s="178"/>
      <c r="H157" s="178"/>
      <c r="I157" s="178"/>
      <c r="K157" s="116">
        <v>53.56</v>
      </c>
      <c r="R157" s="117"/>
      <c r="T157" s="118"/>
      <c r="AA157" s="119"/>
      <c r="AT157" s="115" t="s">
        <v>132</v>
      </c>
      <c r="AU157" s="115" t="s">
        <v>85</v>
      </c>
      <c r="AV157" s="115" t="s">
        <v>85</v>
      </c>
      <c r="AW157" s="115" t="s">
        <v>94</v>
      </c>
      <c r="AX157" s="115" t="s">
        <v>73</v>
      </c>
      <c r="AY157" s="115" t="s">
        <v>122</v>
      </c>
    </row>
    <row r="158" spans="2:51" s="6" customFormat="1" ht="15.75" customHeight="1">
      <c r="B158" s="114"/>
      <c r="E158" s="115"/>
      <c r="F158" s="177" t="s">
        <v>170</v>
      </c>
      <c r="G158" s="178"/>
      <c r="H158" s="178"/>
      <c r="I158" s="178"/>
      <c r="K158" s="116">
        <v>17.2</v>
      </c>
      <c r="R158" s="117"/>
      <c r="T158" s="118"/>
      <c r="AA158" s="119"/>
      <c r="AT158" s="115" t="s">
        <v>132</v>
      </c>
      <c r="AU158" s="115" t="s">
        <v>85</v>
      </c>
      <c r="AV158" s="115" t="s">
        <v>85</v>
      </c>
      <c r="AW158" s="115" t="s">
        <v>94</v>
      </c>
      <c r="AX158" s="115" t="s">
        <v>73</v>
      </c>
      <c r="AY158" s="115" t="s">
        <v>122</v>
      </c>
    </row>
    <row r="159" spans="2:51" s="6" customFormat="1" ht="15.75" customHeight="1">
      <c r="B159" s="126"/>
      <c r="E159" s="127"/>
      <c r="F159" s="185" t="s">
        <v>171</v>
      </c>
      <c r="G159" s="186"/>
      <c r="H159" s="186"/>
      <c r="I159" s="186"/>
      <c r="K159" s="128">
        <v>2441.76</v>
      </c>
      <c r="R159" s="129"/>
      <c r="T159" s="130"/>
      <c r="AA159" s="131"/>
      <c r="AT159" s="127" t="s">
        <v>132</v>
      </c>
      <c r="AU159" s="127" t="s">
        <v>85</v>
      </c>
      <c r="AV159" s="127" t="s">
        <v>172</v>
      </c>
      <c r="AW159" s="127" t="s">
        <v>94</v>
      </c>
      <c r="AX159" s="127" t="s">
        <v>73</v>
      </c>
      <c r="AY159" s="127" t="s">
        <v>122</v>
      </c>
    </row>
    <row r="160" spans="2:51" s="6" customFormat="1" ht="15.75" customHeight="1">
      <c r="B160" s="114"/>
      <c r="E160" s="115"/>
      <c r="F160" s="177" t="s">
        <v>173</v>
      </c>
      <c r="G160" s="178"/>
      <c r="H160" s="178"/>
      <c r="I160" s="178"/>
      <c r="K160" s="116">
        <v>19289.904</v>
      </c>
      <c r="R160" s="117"/>
      <c r="T160" s="118"/>
      <c r="AA160" s="119"/>
      <c r="AT160" s="115" t="s">
        <v>132</v>
      </c>
      <c r="AU160" s="115" t="s">
        <v>85</v>
      </c>
      <c r="AV160" s="115" t="s">
        <v>85</v>
      </c>
      <c r="AW160" s="115" t="s">
        <v>94</v>
      </c>
      <c r="AX160" s="115" t="s">
        <v>73</v>
      </c>
      <c r="AY160" s="115" t="s">
        <v>122</v>
      </c>
    </row>
    <row r="161" spans="2:51" s="6" customFormat="1" ht="15.75" customHeight="1">
      <c r="B161" s="114"/>
      <c r="E161" s="115"/>
      <c r="F161" s="177" t="s">
        <v>174</v>
      </c>
      <c r="G161" s="178"/>
      <c r="H161" s="178"/>
      <c r="I161" s="178"/>
      <c r="K161" s="116">
        <v>38.58</v>
      </c>
      <c r="R161" s="117"/>
      <c r="T161" s="118"/>
      <c r="AA161" s="119"/>
      <c r="AT161" s="115" t="s">
        <v>132</v>
      </c>
      <c r="AU161" s="115" t="s">
        <v>85</v>
      </c>
      <c r="AV161" s="115" t="s">
        <v>85</v>
      </c>
      <c r="AW161" s="115" t="s">
        <v>94</v>
      </c>
      <c r="AX161" s="115" t="s">
        <v>73</v>
      </c>
      <c r="AY161" s="115" t="s">
        <v>122</v>
      </c>
    </row>
    <row r="162" spans="2:51" s="6" customFormat="1" ht="15.75" customHeight="1">
      <c r="B162" s="114"/>
      <c r="E162" s="115"/>
      <c r="F162" s="177" t="s">
        <v>175</v>
      </c>
      <c r="G162" s="178"/>
      <c r="H162" s="178"/>
      <c r="I162" s="178"/>
      <c r="K162" s="116">
        <v>7.116</v>
      </c>
      <c r="R162" s="117"/>
      <c r="T162" s="118"/>
      <c r="AA162" s="119"/>
      <c r="AT162" s="115" t="s">
        <v>132</v>
      </c>
      <c r="AU162" s="115" t="s">
        <v>85</v>
      </c>
      <c r="AV162" s="115" t="s">
        <v>85</v>
      </c>
      <c r="AW162" s="115" t="s">
        <v>94</v>
      </c>
      <c r="AX162" s="115" t="s">
        <v>73</v>
      </c>
      <c r="AY162" s="115" t="s">
        <v>122</v>
      </c>
    </row>
    <row r="163" spans="2:51" s="6" customFormat="1" ht="15.75" customHeight="1">
      <c r="B163" s="114"/>
      <c r="E163" s="115"/>
      <c r="F163" s="177" t="s">
        <v>176</v>
      </c>
      <c r="G163" s="178"/>
      <c r="H163" s="178"/>
      <c r="I163" s="178"/>
      <c r="K163" s="116">
        <v>45.696</v>
      </c>
      <c r="R163" s="117"/>
      <c r="T163" s="118"/>
      <c r="AA163" s="119"/>
      <c r="AT163" s="115" t="s">
        <v>132</v>
      </c>
      <c r="AU163" s="115" t="s">
        <v>85</v>
      </c>
      <c r="AV163" s="115" t="s">
        <v>85</v>
      </c>
      <c r="AW163" s="115" t="s">
        <v>94</v>
      </c>
      <c r="AX163" s="115" t="s">
        <v>13</v>
      </c>
      <c r="AY163" s="115" t="s">
        <v>122</v>
      </c>
    </row>
    <row r="164" spans="2:63" s="96" customFormat="1" ht="30.75" customHeight="1">
      <c r="B164" s="97"/>
      <c r="D164" s="105" t="s">
        <v>98</v>
      </c>
      <c r="N164" s="172">
        <f>$BK$164</f>
        <v>0</v>
      </c>
      <c r="O164" s="173"/>
      <c r="P164" s="173"/>
      <c r="Q164" s="173"/>
      <c r="R164" s="100"/>
      <c r="T164" s="101"/>
      <c r="W164" s="102">
        <f>SUM($W$165:$W$167)</f>
        <v>32.691</v>
      </c>
      <c r="Y164" s="102">
        <f>SUM($Y$165:$Y$167)</f>
        <v>11.71107</v>
      </c>
      <c r="AA164" s="103">
        <f>SUM($AA$165:$AA$167)</f>
        <v>0</v>
      </c>
      <c r="AR164" s="99" t="s">
        <v>13</v>
      </c>
      <c r="AT164" s="99" t="s">
        <v>72</v>
      </c>
      <c r="AU164" s="99" t="s">
        <v>13</v>
      </c>
      <c r="AY164" s="99" t="s">
        <v>122</v>
      </c>
      <c r="BK164" s="104">
        <f>SUM($BK$165:$BK$167)</f>
        <v>0</v>
      </c>
    </row>
    <row r="165" spans="2:64" s="6" customFormat="1" ht="15.75" customHeight="1">
      <c r="B165" s="19"/>
      <c r="C165" s="106" t="s">
        <v>177</v>
      </c>
      <c r="D165" s="106" t="s">
        <v>124</v>
      </c>
      <c r="E165" s="107" t="s">
        <v>178</v>
      </c>
      <c r="F165" s="179" t="s">
        <v>179</v>
      </c>
      <c r="G165" s="180"/>
      <c r="H165" s="180"/>
      <c r="I165" s="180"/>
      <c r="J165" s="108" t="s">
        <v>153</v>
      </c>
      <c r="K165" s="109">
        <v>1923</v>
      </c>
      <c r="L165" s="181"/>
      <c r="M165" s="180"/>
      <c r="N165" s="181">
        <f>ROUND($L$165*$K$165,2)</f>
        <v>0</v>
      </c>
      <c r="O165" s="180"/>
      <c r="P165" s="180"/>
      <c r="Q165" s="180"/>
      <c r="R165" s="20"/>
      <c r="T165" s="110"/>
      <c r="U165" s="26" t="s">
        <v>38</v>
      </c>
      <c r="V165" s="111">
        <v>0.017</v>
      </c>
      <c r="W165" s="111">
        <f>$V$165*$K$165</f>
        <v>32.691</v>
      </c>
      <c r="X165" s="111">
        <v>0.00609</v>
      </c>
      <c r="Y165" s="111">
        <f>$X$165*$K$165</f>
        <v>11.71107</v>
      </c>
      <c r="Z165" s="111">
        <v>0</v>
      </c>
      <c r="AA165" s="112">
        <f>$Z$165*$K$165</f>
        <v>0</v>
      </c>
      <c r="AR165" s="6" t="s">
        <v>128</v>
      </c>
      <c r="AT165" s="6" t="s">
        <v>124</v>
      </c>
      <c r="AU165" s="6" t="s">
        <v>85</v>
      </c>
      <c r="AY165" s="6" t="s">
        <v>122</v>
      </c>
      <c r="BE165" s="113">
        <f>IF($U$165="základní",$N$165,0)</f>
        <v>0</v>
      </c>
      <c r="BF165" s="113">
        <f>IF($U$165="snížená",$N$165,0)</f>
        <v>0</v>
      </c>
      <c r="BG165" s="113">
        <f>IF($U$165="zákl. přenesená",$N$165,0)</f>
        <v>0</v>
      </c>
      <c r="BH165" s="113">
        <f>IF($U$165="sníž. přenesená",$N$165,0)</f>
        <v>0</v>
      </c>
      <c r="BI165" s="113">
        <f>IF($U$165="nulová",$N$165,0)</f>
        <v>0</v>
      </c>
      <c r="BJ165" s="6" t="s">
        <v>13</v>
      </c>
      <c r="BK165" s="113">
        <f>ROUND($L$165*$K$165,2)</f>
        <v>0</v>
      </c>
      <c r="BL165" s="6" t="s">
        <v>128</v>
      </c>
    </row>
    <row r="166" spans="2:47" s="6" customFormat="1" ht="25.5" customHeight="1">
      <c r="B166" s="19"/>
      <c r="F166" s="176" t="s">
        <v>180</v>
      </c>
      <c r="G166" s="142"/>
      <c r="H166" s="142"/>
      <c r="I166" s="142"/>
      <c r="R166" s="20"/>
      <c r="T166" s="54"/>
      <c r="AA166" s="55"/>
      <c r="AT166" s="6" t="s">
        <v>130</v>
      </c>
      <c r="AU166" s="6" t="s">
        <v>85</v>
      </c>
    </row>
    <row r="167" spans="2:51" s="6" customFormat="1" ht="15.75" customHeight="1">
      <c r="B167" s="114"/>
      <c r="E167" s="115"/>
      <c r="F167" s="177" t="s">
        <v>181</v>
      </c>
      <c r="G167" s="178"/>
      <c r="H167" s="178"/>
      <c r="I167" s="178"/>
      <c r="K167" s="116">
        <v>1923</v>
      </c>
      <c r="R167" s="117"/>
      <c r="T167" s="118"/>
      <c r="AA167" s="119"/>
      <c r="AT167" s="115" t="s">
        <v>132</v>
      </c>
      <c r="AU167" s="115" t="s">
        <v>85</v>
      </c>
      <c r="AV167" s="115" t="s">
        <v>85</v>
      </c>
      <c r="AW167" s="115" t="s">
        <v>94</v>
      </c>
      <c r="AX167" s="115" t="s">
        <v>13</v>
      </c>
      <c r="AY167" s="115" t="s">
        <v>122</v>
      </c>
    </row>
    <row r="168" spans="2:63" s="96" customFormat="1" ht="30.75" customHeight="1">
      <c r="B168" s="97"/>
      <c r="D168" s="105" t="s">
        <v>99</v>
      </c>
      <c r="N168" s="172">
        <f>$BK$168</f>
        <v>0</v>
      </c>
      <c r="O168" s="173"/>
      <c r="P168" s="173"/>
      <c r="Q168" s="173"/>
      <c r="R168" s="100"/>
      <c r="T168" s="101"/>
      <c r="W168" s="102">
        <f>$W$169+SUM($W$170:$W$211)</f>
        <v>4382.1202619999995</v>
      </c>
      <c r="Y168" s="102">
        <f>$Y$169+SUM($Y$170:$Y$211)</f>
        <v>23.896652000000003</v>
      </c>
      <c r="AA168" s="103">
        <f>$AA$169+SUM($AA$170:$AA$211)</f>
        <v>0</v>
      </c>
      <c r="AR168" s="99" t="s">
        <v>13</v>
      </c>
      <c r="AT168" s="99" t="s">
        <v>72</v>
      </c>
      <c r="AU168" s="99" t="s">
        <v>13</v>
      </c>
      <c r="AY168" s="99" t="s">
        <v>122</v>
      </c>
      <c r="BK168" s="104">
        <f>$BK$169+SUM($BK$170:$BK$211)</f>
        <v>0</v>
      </c>
    </row>
    <row r="169" spans="2:64" s="6" customFormat="1" ht="27" customHeight="1">
      <c r="B169" s="19"/>
      <c r="C169" s="106" t="s">
        <v>182</v>
      </c>
      <c r="D169" s="106" t="s">
        <v>124</v>
      </c>
      <c r="E169" s="107" t="s">
        <v>183</v>
      </c>
      <c r="F169" s="179" t="s">
        <v>265</v>
      </c>
      <c r="G169" s="180"/>
      <c r="H169" s="180"/>
      <c r="I169" s="180"/>
      <c r="J169" s="108" t="s">
        <v>153</v>
      </c>
      <c r="K169" s="109">
        <v>280</v>
      </c>
      <c r="L169" s="181"/>
      <c r="M169" s="180"/>
      <c r="N169" s="181">
        <f>ROUND($L$169*$K$169,2)</f>
        <v>0</v>
      </c>
      <c r="O169" s="180"/>
      <c r="P169" s="180"/>
      <c r="Q169" s="180"/>
      <c r="R169" s="20"/>
      <c r="T169" s="110"/>
      <c r="U169" s="26" t="s">
        <v>38</v>
      </c>
      <c r="V169" s="111">
        <v>0.616</v>
      </c>
      <c r="W169" s="111">
        <f>$V$169*$K$169</f>
        <v>172.48</v>
      </c>
      <c r="X169" s="111">
        <v>0.00712</v>
      </c>
      <c r="Y169" s="111">
        <f>$X$169*$K$169</f>
        <v>1.9935999999999998</v>
      </c>
      <c r="Z169" s="111">
        <v>0</v>
      </c>
      <c r="AA169" s="112">
        <f>$Z$169*$K$169</f>
        <v>0</v>
      </c>
      <c r="AR169" s="6" t="s">
        <v>128</v>
      </c>
      <c r="AT169" s="6" t="s">
        <v>124</v>
      </c>
      <c r="AU169" s="6" t="s">
        <v>85</v>
      </c>
      <c r="AY169" s="6" t="s">
        <v>122</v>
      </c>
      <c r="BE169" s="113">
        <f>IF($U$169="základní",$N$169,0)</f>
        <v>0</v>
      </c>
      <c r="BF169" s="113">
        <f>IF($U$169="snížená",$N$169,0)</f>
        <v>0</v>
      </c>
      <c r="BG169" s="113">
        <f>IF($U$169="zákl. přenesená",$N$169,0)</f>
        <v>0</v>
      </c>
      <c r="BH169" s="113">
        <f>IF($U$169="sníž. přenesená",$N$169,0)</f>
        <v>0</v>
      </c>
      <c r="BI169" s="113">
        <f>IF($U$169="nulová",$N$169,0)</f>
        <v>0</v>
      </c>
      <c r="BJ169" s="6" t="s">
        <v>13</v>
      </c>
      <c r="BK169" s="113">
        <f>ROUND($L$169*$K$169,2)</f>
        <v>0</v>
      </c>
      <c r="BL169" s="6" t="s">
        <v>128</v>
      </c>
    </row>
    <row r="170" spans="2:47" s="6" customFormat="1" ht="15.75" customHeight="1">
      <c r="B170" s="19"/>
      <c r="F170" s="176" t="s">
        <v>184</v>
      </c>
      <c r="G170" s="142"/>
      <c r="H170" s="142"/>
      <c r="I170" s="142"/>
      <c r="R170" s="20"/>
      <c r="T170" s="54"/>
      <c r="AA170" s="55"/>
      <c r="AT170" s="6" t="s">
        <v>130</v>
      </c>
      <c r="AU170" s="6" t="s">
        <v>85</v>
      </c>
    </row>
    <row r="171" spans="2:51" s="6" customFormat="1" ht="15.75" customHeight="1">
      <c r="B171" s="114"/>
      <c r="E171" s="115"/>
      <c r="F171" s="177" t="s">
        <v>185</v>
      </c>
      <c r="G171" s="178"/>
      <c r="H171" s="178"/>
      <c r="I171" s="178"/>
      <c r="K171" s="116">
        <v>280</v>
      </c>
      <c r="R171" s="117"/>
      <c r="T171" s="118"/>
      <c r="AA171" s="119"/>
      <c r="AT171" s="115" t="s">
        <v>132</v>
      </c>
      <c r="AU171" s="115" t="s">
        <v>85</v>
      </c>
      <c r="AV171" s="115" t="s">
        <v>85</v>
      </c>
      <c r="AW171" s="115" t="s">
        <v>94</v>
      </c>
      <c r="AX171" s="115" t="s">
        <v>13</v>
      </c>
      <c r="AY171" s="115" t="s">
        <v>122</v>
      </c>
    </row>
    <row r="172" spans="2:64" s="6" customFormat="1" ht="15.75" customHeight="1">
      <c r="B172" s="19"/>
      <c r="C172" s="106" t="s">
        <v>186</v>
      </c>
      <c r="D172" s="106" t="s">
        <v>124</v>
      </c>
      <c r="E172" s="107" t="s">
        <v>187</v>
      </c>
      <c r="F172" s="179" t="s">
        <v>188</v>
      </c>
      <c r="G172" s="180"/>
      <c r="H172" s="180"/>
      <c r="I172" s="180"/>
      <c r="J172" s="108" t="s">
        <v>189</v>
      </c>
      <c r="K172" s="109">
        <v>1</v>
      </c>
      <c r="L172" s="181"/>
      <c r="M172" s="180"/>
      <c r="N172" s="181">
        <f>ROUND($L$172*$K$172,2)</f>
        <v>0</v>
      </c>
      <c r="O172" s="180"/>
      <c r="P172" s="180"/>
      <c r="Q172" s="180"/>
      <c r="R172" s="20"/>
      <c r="T172" s="110"/>
      <c r="U172" s="26" t="s">
        <v>38</v>
      </c>
      <c r="V172" s="111">
        <v>0.133</v>
      </c>
      <c r="W172" s="111">
        <f>$V$172*$K$172</f>
        <v>0.133</v>
      </c>
      <c r="X172" s="111">
        <v>0.0023</v>
      </c>
      <c r="Y172" s="111">
        <f>$X$172*$K$172</f>
        <v>0.0023</v>
      </c>
      <c r="Z172" s="111">
        <v>0</v>
      </c>
      <c r="AA172" s="112">
        <f>$Z$172*$K$172</f>
        <v>0</v>
      </c>
      <c r="AR172" s="6" t="s">
        <v>128</v>
      </c>
      <c r="AT172" s="6" t="s">
        <v>124</v>
      </c>
      <c r="AU172" s="6" t="s">
        <v>85</v>
      </c>
      <c r="AY172" s="6" t="s">
        <v>122</v>
      </c>
      <c r="BE172" s="113">
        <f>IF($U$172="základní",$N$172,0)</f>
        <v>0</v>
      </c>
      <c r="BF172" s="113">
        <f>IF($U$172="snížená",$N$172,0)</f>
        <v>0</v>
      </c>
      <c r="BG172" s="113">
        <f>IF($U$172="zákl. přenesená",$N$172,0)</f>
        <v>0</v>
      </c>
      <c r="BH172" s="113">
        <f>IF($U$172="sníž. přenesená",$N$172,0)</f>
        <v>0</v>
      </c>
      <c r="BI172" s="113">
        <f>IF($U$172="nulová",$N$172,0)</f>
        <v>0</v>
      </c>
      <c r="BJ172" s="6" t="s">
        <v>13</v>
      </c>
      <c r="BK172" s="113">
        <f>ROUND($L$172*$K$172,2)</f>
        <v>0</v>
      </c>
      <c r="BL172" s="6" t="s">
        <v>128</v>
      </c>
    </row>
    <row r="173" spans="2:47" s="6" customFormat="1" ht="59.25" customHeight="1">
      <c r="B173" s="19"/>
      <c r="F173" s="176" t="s">
        <v>190</v>
      </c>
      <c r="G173" s="142"/>
      <c r="H173" s="142"/>
      <c r="I173" s="142"/>
      <c r="R173" s="20"/>
      <c r="T173" s="54"/>
      <c r="AA173" s="55"/>
      <c r="AT173" s="6" t="s">
        <v>130</v>
      </c>
      <c r="AU173" s="6" t="s">
        <v>85</v>
      </c>
    </row>
    <row r="174" spans="2:51" s="6" customFormat="1" ht="23.25" customHeight="1">
      <c r="B174" s="114"/>
      <c r="E174" s="115"/>
      <c r="F174" s="177" t="s">
        <v>13</v>
      </c>
      <c r="G174" s="178"/>
      <c r="H174" s="178"/>
      <c r="I174" s="178"/>
      <c r="K174" s="116">
        <v>1</v>
      </c>
      <c r="R174" s="117"/>
      <c r="T174" s="118"/>
      <c r="AA174" s="119"/>
      <c r="AT174" s="115" t="s">
        <v>132</v>
      </c>
      <c r="AU174" s="115" t="s">
        <v>85</v>
      </c>
      <c r="AV174" s="115" t="s">
        <v>85</v>
      </c>
      <c r="AW174" s="115" t="s">
        <v>94</v>
      </c>
      <c r="AX174" s="115" t="s">
        <v>13</v>
      </c>
      <c r="AY174" s="115" t="s">
        <v>122</v>
      </c>
    </row>
    <row r="175" spans="2:64" s="6" customFormat="1" ht="27" customHeight="1">
      <c r="B175" s="19"/>
      <c r="C175" s="106" t="s">
        <v>191</v>
      </c>
      <c r="D175" s="106" t="s">
        <v>124</v>
      </c>
      <c r="E175" s="107" t="s">
        <v>192</v>
      </c>
      <c r="F175" s="179" t="s">
        <v>193</v>
      </c>
      <c r="G175" s="180"/>
      <c r="H175" s="180"/>
      <c r="I175" s="180"/>
      <c r="J175" s="108" t="s">
        <v>194</v>
      </c>
      <c r="K175" s="109">
        <v>545</v>
      </c>
      <c r="L175" s="181"/>
      <c r="M175" s="180"/>
      <c r="N175" s="181">
        <f>ROUND($L$175*$K$175,2)</f>
        <v>0</v>
      </c>
      <c r="O175" s="180"/>
      <c r="P175" s="180"/>
      <c r="Q175" s="180"/>
      <c r="R175" s="20"/>
      <c r="T175" s="110"/>
      <c r="U175" s="26" t="s">
        <v>38</v>
      </c>
      <c r="V175" s="111">
        <v>0.141</v>
      </c>
      <c r="W175" s="111">
        <f>$V$175*$K$175</f>
        <v>76.845</v>
      </c>
      <c r="X175" s="111">
        <v>0</v>
      </c>
      <c r="Y175" s="111">
        <f>$X$175*$K$175</f>
        <v>0</v>
      </c>
      <c r="Z175" s="111">
        <v>0</v>
      </c>
      <c r="AA175" s="112">
        <f>$Z$175*$K$175</f>
        <v>0</v>
      </c>
      <c r="AR175" s="6" t="s">
        <v>128</v>
      </c>
      <c r="AT175" s="6" t="s">
        <v>124</v>
      </c>
      <c r="AU175" s="6" t="s">
        <v>85</v>
      </c>
      <c r="AY175" s="6" t="s">
        <v>122</v>
      </c>
      <c r="BE175" s="113">
        <f>IF($U$175="základní",$N$175,0)</f>
        <v>0</v>
      </c>
      <c r="BF175" s="113">
        <f>IF($U$175="snížená",$N$175,0)</f>
        <v>0</v>
      </c>
      <c r="BG175" s="113">
        <f>IF($U$175="zákl. přenesená",$N$175,0)</f>
        <v>0</v>
      </c>
      <c r="BH175" s="113">
        <f>IF($U$175="sníž. přenesená",$N$175,0)</f>
        <v>0</v>
      </c>
      <c r="BI175" s="113">
        <f>IF($U$175="nulová",$N$175,0)</f>
        <v>0</v>
      </c>
      <c r="BJ175" s="6" t="s">
        <v>13</v>
      </c>
      <c r="BK175" s="113">
        <f>ROUND($L$175*$K$175,2)</f>
        <v>0</v>
      </c>
      <c r="BL175" s="6" t="s">
        <v>128</v>
      </c>
    </row>
    <row r="176" spans="2:47" s="6" customFormat="1" ht="25.5" customHeight="1">
      <c r="B176" s="19"/>
      <c r="F176" s="176" t="s">
        <v>195</v>
      </c>
      <c r="G176" s="142"/>
      <c r="H176" s="142"/>
      <c r="I176" s="142"/>
      <c r="R176" s="20"/>
      <c r="T176" s="54"/>
      <c r="AA176" s="55"/>
      <c r="AT176" s="6" t="s">
        <v>130</v>
      </c>
      <c r="AU176" s="6" t="s">
        <v>85</v>
      </c>
    </row>
    <row r="177" spans="2:51" s="6" customFormat="1" ht="15.75" customHeight="1">
      <c r="B177" s="114"/>
      <c r="E177" s="115"/>
      <c r="F177" s="177" t="s">
        <v>196</v>
      </c>
      <c r="G177" s="178"/>
      <c r="H177" s="178"/>
      <c r="I177" s="178"/>
      <c r="K177" s="116">
        <v>545</v>
      </c>
      <c r="R177" s="117"/>
      <c r="T177" s="118"/>
      <c r="AA177" s="119"/>
      <c r="AT177" s="115" t="s">
        <v>132</v>
      </c>
      <c r="AU177" s="115" t="s">
        <v>85</v>
      </c>
      <c r="AV177" s="115" t="s">
        <v>85</v>
      </c>
      <c r="AW177" s="115" t="s">
        <v>94</v>
      </c>
      <c r="AX177" s="115" t="s">
        <v>13</v>
      </c>
      <c r="AY177" s="115" t="s">
        <v>122</v>
      </c>
    </row>
    <row r="178" spans="2:64" s="6" customFormat="1" ht="27" customHeight="1">
      <c r="B178" s="19"/>
      <c r="C178" s="106" t="s">
        <v>197</v>
      </c>
      <c r="D178" s="106" t="s">
        <v>124</v>
      </c>
      <c r="E178" s="107" t="s">
        <v>198</v>
      </c>
      <c r="F178" s="179" t="s">
        <v>199</v>
      </c>
      <c r="G178" s="180"/>
      <c r="H178" s="180"/>
      <c r="I178" s="180"/>
      <c r="J178" s="108" t="s">
        <v>194</v>
      </c>
      <c r="K178" s="109">
        <v>102.8</v>
      </c>
      <c r="L178" s="181"/>
      <c r="M178" s="180"/>
      <c r="N178" s="181">
        <f>ROUND($L$178*$K$178,2)</f>
        <v>0</v>
      </c>
      <c r="O178" s="180"/>
      <c r="P178" s="180"/>
      <c r="Q178" s="180"/>
      <c r="R178" s="20"/>
      <c r="T178" s="110"/>
      <c r="U178" s="26" t="s">
        <v>38</v>
      </c>
      <c r="V178" s="111">
        <v>1.21</v>
      </c>
      <c r="W178" s="111">
        <f>$V$178*$K$178</f>
        <v>124.38799999999999</v>
      </c>
      <c r="X178" s="111">
        <v>0.00024</v>
      </c>
      <c r="Y178" s="111">
        <f>$X$178*$K$178</f>
        <v>0.024672</v>
      </c>
      <c r="Z178" s="111">
        <v>0</v>
      </c>
      <c r="AA178" s="112">
        <f>$Z$178*$K$178</f>
        <v>0</v>
      </c>
      <c r="AR178" s="6" t="s">
        <v>128</v>
      </c>
      <c r="AT178" s="6" t="s">
        <v>124</v>
      </c>
      <c r="AU178" s="6" t="s">
        <v>85</v>
      </c>
      <c r="AY178" s="6" t="s">
        <v>122</v>
      </c>
      <c r="BE178" s="113">
        <f>IF($U$178="základní",$N$178,0)</f>
        <v>0</v>
      </c>
      <c r="BF178" s="113">
        <f>IF($U$178="snížená",$N$178,0)</f>
        <v>0</v>
      </c>
      <c r="BG178" s="113">
        <f>IF($U$178="zákl. přenesená",$N$178,0)</f>
        <v>0</v>
      </c>
      <c r="BH178" s="113">
        <f>IF($U$178="sníž. přenesená",$N$178,0)</f>
        <v>0</v>
      </c>
      <c r="BI178" s="113">
        <f>IF($U$178="nulová",$N$178,0)</f>
        <v>0</v>
      </c>
      <c r="BJ178" s="6" t="s">
        <v>13</v>
      </c>
      <c r="BK178" s="113">
        <f>ROUND($L$178*$K$178,2)</f>
        <v>0</v>
      </c>
      <c r="BL178" s="6" t="s">
        <v>128</v>
      </c>
    </row>
    <row r="179" spans="2:47" s="6" customFormat="1" ht="25.5" customHeight="1">
      <c r="B179" s="19"/>
      <c r="F179" s="176" t="s">
        <v>200</v>
      </c>
      <c r="G179" s="142"/>
      <c r="H179" s="142"/>
      <c r="I179" s="142"/>
      <c r="R179" s="20"/>
      <c r="T179" s="54"/>
      <c r="AA179" s="55"/>
      <c r="AT179" s="6" t="s">
        <v>130</v>
      </c>
      <c r="AU179" s="6" t="s">
        <v>85</v>
      </c>
    </row>
    <row r="180" spans="2:51" s="6" customFormat="1" ht="15.75" customHeight="1">
      <c r="B180" s="114"/>
      <c r="E180" s="115"/>
      <c r="F180" s="177" t="s">
        <v>201</v>
      </c>
      <c r="G180" s="178"/>
      <c r="H180" s="178"/>
      <c r="I180" s="178"/>
      <c r="K180" s="116">
        <v>102.8</v>
      </c>
      <c r="R180" s="117"/>
      <c r="T180" s="118"/>
      <c r="AA180" s="119"/>
      <c r="AT180" s="115" t="s">
        <v>132</v>
      </c>
      <c r="AU180" s="115" t="s">
        <v>85</v>
      </c>
      <c r="AV180" s="115" t="s">
        <v>85</v>
      </c>
      <c r="AW180" s="115" t="s">
        <v>94</v>
      </c>
      <c r="AX180" s="115" t="s">
        <v>13</v>
      </c>
      <c r="AY180" s="115" t="s">
        <v>122</v>
      </c>
    </row>
    <row r="181" spans="2:64" s="6" customFormat="1" ht="15.75" customHeight="1">
      <c r="B181" s="19"/>
      <c r="C181" s="106" t="s">
        <v>202</v>
      </c>
      <c r="D181" s="106" t="s">
        <v>124</v>
      </c>
      <c r="E181" s="107" t="s">
        <v>203</v>
      </c>
      <c r="F181" s="179" t="s">
        <v>266</v>
      </c>
      <c r="G181" s="180"/>
      <c r="H181" s="180"/>
      <c r="I181" s="180"/>
      <c r="J181" s="108" t="s">
        <v>194</v>
      </c>
      <c r="K181" s="109">
        <v>74</v>
      </c>
      <c r="L181" s="181"/>
      <c r="M181" s="180"/>
      <c r="N181" s="181">
        <f>ROUND($L$181*$K$181,2)</f>
        <v>0</v>
      </c>
      <c r="O181" s="180"/>
      <c r="P181" s="180"/>
      <c r="Q181" s="180"/>
      <c r="R181" s="20"/>
      <c r="T181" s="110"/>
      <c r="U181" s="26" t="s">
        <v>38</v>
      </c>
      <c r="V181" s="111">
        <v>0.269</v>
      </c>
      <c r="W181" s="111">
        <f>$V$181*$K$181</f>
        <v>19.906000000000002</v>
      </c>
      <c r="X181" s="111">
        <v>0.29221</v>
      </c>
      <c r="Y181" s="111">
        <f>$X$181*$K$181</f>
        <v>21.623540000000002</v>
      </c>
      <c r="Z181" s="111">
        <v>0</v>
      </c>
      <c r="AA181" s="112">
        <f>$Z$181*$K$181</f>
        <v>0</v>
      </c>
      <c r="AR181" s="6" t="s">
        <v>128</v>
      </c>
      <c r="AT181" s="6" t="s">
        <v>124</v>
      </c>
      <c r="AU181" s="6" t="s">
        <v>85</v>
      </c>
      <c r="AY181" s="6" t="s">
        <v>122</v>
      </c>
      <c r="BE181" s="113">
        <f>IF($U$181="základní",$N$181,0)</f>
        <v>0</v>
      </c>
      <c r="BF181" s="113">
        <f>IF($U$181="snížená",$N$181,0)</f>
        <v>0</v>
      </c>
      <c r="BG181" s="113">
        <f>IF($U$181="zákl. přenesená",$N$181,0)</f>
        <v>0</v>
      </c>
      <c r="BH181" s="113">
        <f>IF($U$181="sníž. přenesená",$N$181,0)</f>
        <v>0</v>
      </c>
      <c r="BI181" s="113">
        <f>IF($U$181="nulová",$N$181,0)</f>
        <v>0</v>
      </c>
      <c r="BJ181" s="6" t="s">
        <v>13</v>
      </c>
      <c r="BK181" s="113">
        <f>ROUND($L$181*$K$181,2)</f>
        <v>0</v>
      </c>
      <c r="BL181" s="6" t="s">
        <v>128</v>
      </c>
    </row>
    <row r="182" spans="2:47" s="6" customFormat="1" ht="36.75" customHeight="1">
      <c r="B182" s="19"/>
      <c r="F182" s="176" t="s">
        <v>204</v>
      </c>
      <c r="G182" s="142"/>
      <c r="H182" s="142"/>
      <c r="I182" s="142"/>
      <c r="R182" s="20"/>
      <c r="T182" s="54"/>
      <c r="AA182" s="55"/>
      <c r="AT182" s="6" t="s">
        <v>130</v>
      </c>
      <c r="AU182" s="6" t="s">
        <v>85</v>
      </c>
    </row>
    <row r="183" spans="2:51" s="6" customFormat="1" ht="15.75" customHeight="1">
      <c r="B183" s="114"/>
      <c r="E183" s="115"/>
      <c r="F183" s="177" t="s">
        <v>205</v>
      </c>
      <c r="G183" s="178"/>
      <c r="H183" s="178"/>
      <c r="I183" s="178"/>
      <c r="K183" s="116">
        <v>74</v>
      </c>
      <c r="R183" s="117"/>
      <c r="T183" s="118"/>
      <c r="AA183" s="119"/>
      <c r="AT183" s="115" t="s">
        <v>132</v>
      </c>
      <c r="AU183" s="115" t="s">
        <v>85</v>
      </c>
      <c r="AV183" s="115" t="s">
        <v>85</v>
      </c>
      <c r="AW183" s="115" t="s">
        <v>94</v>
      </c>
      <c r="AX183" s="115" t="s">
        <v>13</v>
      </c>
      <c r="AY183" s="115" t="s">
        <v>122</v>
      </c>
    </row>
    <row r="184" spans="2:64" s="6" customFormat="1" ht="27" customHeight="1">
      <c r="B184" s="19"/>
      <c r="C184" s="106" t="s">
        <v>206</v>
      </c>
      <c r="D184" s="106" t="s">
        <v>124</v>
      </c>
      <c r="E184" s="107" t="s">
        <v>207</v>
      </c>
      <c r="F184" s="179" t="s">
        <v>208</v>
      </c>
      <c r="G184" s="180"/>
      <c r="H184" s="180"/>
      <c r="I184" s="180"/>
      <c r="J184" s="108" t="s">
        <v>194</v>
      </c>
      <c r="K184" s="109">
        <v>190</v>
      </c>
      <c r="L184" s="181"/>
      <c r="M184" s="180"/>
      <c r="N184" s="181">
        <f>ROUND($L$184*$K$184,2)</f>
        <v>0</v>
      </c>
      <c r="O184" s="180"/>
      <c r="P184" s="180"/>
      <c r="Q184" s="180"/>
      <c r="R184" s="20"/>
      <c r="T184" s="110"/>
      <c r="U184" s="26" t="s">
        <v>38</v>
      </c>
      <c r="V184" s="111">
        <v>0.43</v>
      </c>
      <c r="W184" s="111">
        <f>$V$184*$K$184</f>
        <v>81.7</v>
      </c>
      <c r="X184" s="111">
        <v>0.00022</v>
      </c>
      <c r="Y184" s="111">
        <f>$X$184*$K$184</f>
        <v>0.041800000000000004</v>
      </c>
      <c r="Z184" s="111">
        <v>0</v>
      </c>
      <c r="AA184" s="112">
        <f>$Z$184*$K$184</f>
        <v>0</v>
      </c>
      <c r="AR184" s="6" t="s">
        <v>128</v>
      </c>
      <c r="AT184" s="6" t="s">
        <v>124</v>
      </c>
      <c r="AU184" s="6" t="s">
        <v>85</v>
      </c>
      <c r="AY184" s="6" t="s">
        <v>122</v>
      </c>
      <c r="BE184" s="113">
        <f>IF($U$184="základní",$N$184,0)</f>
        <v>0</v>
      </c>
      <c r="BF184" s="113">
        <f>IF($U$184="snížená",$N$184,0)</f>
        <v>0</v>
      </c>
      <c r="BG184" s="113">
        <f>IF($U$184="zákl. přenesená",$N$184,0)</f>
        <v>0</v>
      </c>
      <c r="BH184" s="113">
        <f>IF($U$184="sníž. přenesená",$N$184,0)</f>
        <v>0</v>
      </c>
      <c r="BI184" s="113">
        <f>IF($U$184="nulová",$N$184,0)</f>
        <v>0</v>
      </c>
      <c r="BJ184" s="6" t="s">
        <v>13</v>
      </c>
      <c r="BK184" s="113">
        <f>ROUND($L$184*$K$184,2)</f>
        <v>0</v>
      </c>
      <c r="BL184" s="6" t="s">
        <v>128</v>
      </c>
    </row>
    <row r="185" spans="2:47" s="6" customFormat="1" ht="15.75" customHeight="1">
      <c r="B185" s="19"/>
      <c r="F185" s="176" t="s">
        <v>209</v>
      </c>
      <c r="G185" s="142"/>
      <c r="H185" s="142"/>
      <c r="I185" s="142"/>
      <c r="R185" s="20"/>
      <c r="T185" s="54"/>
      <c r="AA185" s="55"/>
      <c r="AT185" s="6" t="s">
        <v>130</v>
      </c>
      <c r="AU185" s="6" t="s">
        <v>85</v>
      </c>
    </row>
    <row r="186" spans="2:51" s="6" customFormat="1" ht="15.75" customHeight="1">
      <c r="B186" s="114"/>
      <c r="E186" s="115"/>
      <c r="F186" s="177" t="s">
        <v>210</v>
      </c>
      <c r="G186" s="178"/>
      <c r="H186" s="178"/>
      <c r="I186" s="178"/>
      <c r="K186" s="116">
        <v>190</v>
      </c>
      <c r="R186" s="117"/>
      <c r="T186" s="118"/>
      <c r="AA186" s="119"/>
      <c r="AT186" s="115" t="s">
        <v>132</v>
      </c>
      <c r="AU186" s="115" t="s">
        <v>85</v>
      </c>
      <c r="AV186" s="115" t="s">
        <v>85</v>
      </c>
      <c r="AW186" s="115" t="s">
        <v>94</v>
      </c>
      <c r="AX186" s="115" t="s">
        <v>13</v>
      </c>
      <c r="AY186" s="115" t="s">
        <v>122</v>
      </c>
    </row>
    <row r="187" spans="2:64" s="6" customFormat="1" ht="27" customHeight="1">
      <c r="B187" s="19"/>
      <c r="C187" s="106" t="s">
        <v>211</v>
      </c>
      <c r="D187" s="106" t="s">
        <v>124</v>
      </c>
      <c r="E187" s="107" t="s">
        <v>212</v>
      </c>
      <c r="F187" s="179" t="s">
        <v>213</v>
      </c>
      <c r="G187" s="180"/>
      <c r="H187" s="180"/>
      <c r="I187" s="180"/>
      <c r="J187" s="108" t="s">
        <v>189</v>
      </c>
      <c r="K187" s="109">
        <v>9084</v>
      </c>
      <c r="L187" s="181"/>
      <c r="M187" s="180"/>
      <c r="N187" s="181">
        <f>ROUND($L$187*$K$187,2)</f>
        <v>0</v>
      </c>
      <c r="O187" s="180"/>
      <c r="P187" s="180"/>
      <c r="Q187" s="180"/>
      <c r="R187" s="20"/>
      <c r="T187" s="110"/>
      <c r="U187" s="26" t="s">
        <v>38</v>
      </c>
      <c r="V187" s="111">
        <v>0.26</v>
      </c>
      <c r="W187" s="111">
        <f>$V$187*$K$187</f>
        <v>2361.84</v>
      </c>
      <c r="X187" s="111">
        <v>1E-05</v>
      </c>
      <c r="Y187" s="111">
        <f>$X$187*$K$187</f>
        <v>0.09084</v>
      </c>
      <c r="Z187" s="111">
        <v>0</v>
      </c>
      <c r="AA187" s="112">
        <f>$Z$187*$K$187</f>
        <v>0</v>
      </c>
      <c r="AR187" s="6" t="s">
        <v>128</v>
      </c>
      <c r="AT187" s="6" t="s">
        <v>124</v>
      </c>
      <c r="AU187" s="6" t="s">
        <v>85</v>
      </c>
      <c r="AY187" s="6" t="s">
        <v>122</v>
      </c>
      <c r="BE187" s="113">
        <f>IF($U$187="základní",$N$187,0)</f>
        <v>0</v>
      </c>
      <c r="BF187" s="113">
        <f>IF($U$187="snížená",$N$187,0)</f>
        <v>0</v>
      </c>
      <c r="BG187" s="113">
        <f>IF($U$187="zákl. přenesená",$N$187,0)</f>
        <v>0</v>
      </c>
      <c r="BH187" s="113">
        <f>IF($U$187="sníž. přenesená",$N$187,0)</f>
        <v>0</v>
      </c>
      <c r="BI187" s="113">
        <f>IF($U$187="nulová",$N$187,0)</f>
        <v>0</v>
      </c>
      <c r="BJ187" s="6" t="s">
        <v>13</v>
      </c>
      <c r="BK187" s="113">
        <f>ROUND($L$187*$K$187,2)</f>
        <v>0</v>
      </c>
      <c r="BL187" s="6" t="s">
        <v>128</v>
      </c>
    </row>
    <row r="188" spans="2:47" s="6" customFormat="1" ht="25.5" customHeight="1">
      <c r="B188" s="19"/>
      <c r="F188" s="176" t="s">
        <v>214</v>
      </c>
      <c r="G188" s="142"/>
      <c r="H188" s="142"/>
      <c r="I188" s="142"/>
      <c r="R188" s="20"/>
      <c r="T188" s="54"/>
      <c r="AA188" s="55"/>
      <c r="AT188" s="6" t="s">
        <v>130</v>
      </c>
      <c r="AU188" s="6" t="s">
        <v>85</v>
      </c>
    </row>
    <row r="189" spans="2:51" s="6" customFormat="1" ht="15.75" customHeight="1">
      <c r="B189" s="114"/>
      <c r="E189" s="115"/>
      <c r="F189" s="177" t="s">
        <v>215</v>
      </c>
      <c r="G189" s="178"/>
      <c r="H189" s="178"/>
      <c r="I189" s="178"/>
      <c r="K189" s="116">
        <v>7704</v>
      </c>
      <c r="R189" s="117"/>
      <c r="T189" s="118"/>
      <c r="AA189" s="119"/>
      <c r="AT189" s="115" t="s">
        <v>132</v>
      </c>
      <c r="AU189" s="115" t="s">
        <v>85</v>
      </c>
      <c r="AV189" s="115" t="s">
        <v>85</v>
      </c>
      <c r="AW189" s="115" t="s">
        <v>94</v>
      </c>
      <c r="AX189" s="115" t="s">
        <v>73</v>
      </c>
      <c r="AY189" s="115" t="s">
        <v>122</v>
      </c>
    </row>
    <row r="190" spans="2:51" s="6" customFormat="1" ht="15.75" customHeight="1">
      <c r="B190" s="114"/>
      <c r="E190" s="115"/>
      <c r="F190" s="177" t="s">
        <v>216</v>
      </c>
      <c r="G190" s="178"/>
      <c r="H190" s="178"/>
      <c r="I190" s="178"/>
      <c r="K190" s="116">
        <v>1380</v>
      </c>
      <c r="R190" s="117"/>
      <c r="T190" s="118"/>
      <c r="AA190" s="119"/>
      <c r="AT190" s="115" t="s">
        <v>132</v>
      </c>
      <c r="AU190" s="115" t="s">
        <v>85</v>
      </c>
      <c r="AV190" s="115" t="s">
        <v>85</v>
      </c>
      <c r="AW190" s="115" t="s">
        <v>94</v>
      </c>
      <c r="AX190" s="115" t="s">
        <v>73</v>
      </c>
      <c r="AY190" s="115" t="s">
        <v>122</v>
      </c>
    </row>
    <row r="191" spans="2:51" s="6" customFormat="1" ht="15.75" customHeight="1">
      <c r="B191" s="120"/>
      <c r="E191" s="121"/>
      <c r="F191" s="183" t="s">
        <v>149</v>
      </c>
      <c r="G191" s="184"/>
      <c r="H191" s="184"/>
      <c r="I191" s="184"/>
      <c r="K191" s="122">
        <v>9084</v>
      </c>
      <c r="R191" s="123"/>
      <c r="T191" s="124"/>
      <c r="AA191" s="125"/>
      <c r="AT191" s="121" t="s">
        <v>132</v>
      </c>
      <c r="AU191" s="121" t="s">
        <v>85</v>
      </c>
      <c r="AV191" s="121" t="s">
        <v>128</v>
      </c>
      <c r="AW191" s="121" t="s">
        <v>94</v>
      </c>
      <c r="AX191" s="121" t="s">
        <v>13</v>
      </c>
      <c r="AY191" s="121" t="s">
        <v>122</v>
      </c>
    </row>
    <row r="192" spans="2:64" s="6" customFormat="1" ht="27" customHeight="1">
      <c r="B192" s="19"/>
      <c r="C192" s="106" t="s">
        <v>217</v>
      </c>
      <c r="D192" s="106" t="s">
        <v>124</v>
      </c>
      <c r="E192" s="107" t="s">
        <v>218</v>
      </c>
      <c r="F192" s="179" t="s">
        <v>219</v>
      </c>
      <c r="G192" s="180"/>
      <c r="H192" s="180"/>
      <c r="I192" s="180"/>
      <c r="J192" s="108" t="s">
        <v>153</v>
      </c>
      <c r="K192" s="109">
        <v>2282.4</v>
      </c>
      <c r="L192" s="181"/>
      <c r="M192" s="180"/>
      <c r="N192" s="181">
        <f>ROUND($L$192*$K$192,2)</f>
        <v>0</v>
      </c>
      <c r="O192" s="180"/>
      <c r="P192" s="180"/>
      <c r="Q192" s="180"/>
      <c r="R192" s="20"/>
      <c r="T192" s="110"/>
      <c r="U192" s="26" t="s">
        <v>38</v>
      </c>
      <c r="V192" s="111">
        <v>0.273</v>
      </c>
      <c r="W192" s="111">
        <f>$V$192*$K$192</f>
        <v>623.0952000000001</v>
      </c>
      <c r="X192" s="111">
        <v>0</v>
      </c>
      <c r="Y192" s="111">
        <f>$X$192*$K$192</f>
        <v>0</v>
      </c>
      <c r="Z192" s="111">
        <v>0</v>
      </c>
      <c r="AA192" s="112">
        <f>$Z$192*$K$192</f>
        <v>0</v>
      </c>
      <c r="AR192" s="6" t="s">
        <v>128</v>
      </c>
      <c r="AT192" s="6" t="s">
        <v>124</v>
      </c>
      <c r="AU192" s="6" t="s">
        <v>85</v>
      </c>
      <c r="AY192" s="6" t="s">
        <v>122</v>
      </c>
      <c r="BE192" s="113">
        <f>IF($U$192="základní",$N$192,0)</f>
        <v>0</v>
      </c>
      <c r="BF192" s="113">
        <f>IF($U$192="snížená",$N$192,0)</f>
        <v>0</v>
      </c>
      <c r="BG192" s="113">
        <f>IF($U$192="zákl. přenesená",$N$192,0)</f>
        <v>0</v>
      </c>
      <c r="BH192" s="113">
        <f>IF($U$192="sníž. přenesená",$N$192,0)</f>
        <v>0</v>
      </c>
      <c r="BI192" s="113">
        <f>IF($U$192="nulová",$N$192,0)</f>
        <v>0</v>
      </c>
      <c r="BJ192" s="6" t="s">
        <v>13</v>
      </c>
      <c r="BK192" s="113">
        <f>ROUND($L$192*$K$192,2)</f>
        <v>0</v>
      </c>
      <c r="BL192" s="6" t="s">
        <v>128</v>
      </c>
    </row>
    <row r="193" spans="2:47" s="6" customFormat="1" ht="36.75" customHeight="1">
      <c r="B193" s="19"/>
      <c r="F193" s="176" t="s">
        <v>220</v>
      </c>
      <c r="G193" s="142"/>
      <c r="H193" s="142"/>
      <c r="I193" s="142"/>
      <c r="R193" s="20"/>
      <c r="T193" s="54"/>
      <c r="AA193" s="55"/>
      <c r="AT193" s="6" t="s">
        <v>130</v>
      </c>
      <c r="AU193" s="6" t="s">
        <v>85</v>
      </c>
    </row>
    <row r="194" spans="2:51" s="6" customFormat="1" ht="15.75" customHeight="1">
      <c r="B194" s="114"/>
      <c r="E194" s="115"/>
      <c r="F194" s="177" t="s">
        <v>221</v>
      </c>
      <c r="G194" s="178"/>
      <c r="H194" s="178"/>
      <c r="I194" s="178"/>
      <c r="K194" s="116">
        <v>1926</v>
      </c>
      <c r="R194" s="117"/>
      <c r="T194" s="118"/>
      <c r="AA194" s="119"/>
      <c r="AT194" s="115" t="s">
        <v>132</v>
      </c>
      <c r="AU194" s="115" t="s">
        <v>85</v>
      </c>
      <c r="AV194" s="115" t="s">
        <v>85</v>
      </c>
      <c r="AW194" s="115" t="s">
        <v>94</v>
      </c>
      <c r="AX194" s="115" t="s">
        <v>73</v>
      </c>
      <c r="AY194" s="115" t="s">
        <v>122</v>
      </c>
    </row>
    <row r="195" spans="2:51" s="6" customFormat="1" ht="15.75" customHeight="1">
      <c r="B195" s="114"/>
      <c r="E195" s="115"/>
      <c r="F195" s="177" t="s">
        <v>222</v>
      </c>
      <c r="G195" s="178"/>
      <c r="H195" s="178"/>
      <c r="I195" s="178"/>
      <c r="K195" s="116">
        <v>11.4</v>
      </c>
      <c r="R195" s="117"/>
      <c r="T195" s="118"/>
      <c r="AA195" s="119"/>
      <c r="AT195" s="115" t="s">
        <v>132</v>
      </c>
      <c r="AU195" s="115" t="s">
        <v>85</v>
      </c>
      <c r="AV195" s="115" t="s">
        <v>85</v>
      </c>
      <c r="AW195" s="115" t="s">
        <v>94</v>
      </c>
      <c r="AX195" s="115" t="s">
        <v>73</v>
      </c>
      <c r="AY195" s="115" t="s">
        <v>122</v>
      </c>
    </row>
    <row r="196" spans="2:51" s="6" customFormat="1" ht="15.75" customHeight="1">
      <c r="B196" s="114"/>
      <c r="E196" s="115"/>
      <c r="F196" s="177" t="s">
        <v>223</v>
      </c>
      <c r="G196" s="178"/>
      <c r="H196" s="178"/>
      <c r="I196" s="178"/>
      <c r="K196" s="116">
        <v>345</v>
      </c>
      <c r="R196" s="117"/>
      <c r="T196" s="118"/>
      <c r="AA196" s="119"/>
      <c r="AT196" s="115" t="s">
        <v>132</v>
      </c>
      <c r="AU196" s="115" t="s">
        <v>85</v>
      </c>
      <c r="AV196" s="115" t="s">
        <v>85</v>
      </c>
      <c r="AW196" s="115" t="s">
        <v>94</v>
      </c>
      <c r="AX196" s="115" t="s">
        <v>73</v>
      </c>
      <c r="AY196" s="115" t="s">
        <v>122</v>
      </c>
    </row>
    <row r="197" spans="2:51" s="6" customFormat="1" ht="15.75" customHeight="1">
      <c r="B197" s="120"/>
      <c r="E197" s="121"/>
      <c r="F197" s="183" t="s">
        <v>149</v>
      </c>
      <c r="G197" s="184"/>
      <c r="H197" s="184"/>
      <c r="I197" s="184"/>
      <c r="K197" s="122">
        <v>2282.4</v>
      </c>
      <c r="R197" s="123"/>
      <c r="T197" s="124"/>
      <c r="AA197" s="125"/>
      <c r="AT197" s="121" t="s">
        <v>132</v>
      </c>
      <c r="AU197" s="121" t="s">
        <v>85</v>
      </c>
      <c r="AV197" s="121" t="s">
        <v>128</v>
      </c>
      <c r="AW197" s="121" t="s">
        <v>94</v>
      </c>
      <c r="AX197" s="121" t="s">
        <v>13</v>
      </c>
      <c r="AY197" s="121" t="s">
        <v>122</v>
      </c>
    </row>
    <row r="198" spans="2:64" s="6" customFormat="1" ht="27" customHeight="1">
      <c r="B198" s="19"/>
      <c r="C198" s="106" t="s">
        <v>224</v>
      </c>
      <c r="D198" s="106" t="s">
        <v>124</v>
      </c>
      <c r="E198" s="107" t="s">
        <v>225</v>
      </c>
      <c r="F198" s="179" t="s">
        <v>226</v>
      </c>
      <c r="G198" s="180"/>
      <c r="H198" s="180"/>
      <c r="I198" s="180"/>
      <c r="J198" s="108" t="s">
        <v>153</v>
      </c>
      <c r="K198" s="109">
        <v>2282.4</v>
      </c>
      <c r="L198" s="181"/>
      <c r="M198" s="180"/>
      <c r="N198" s="181">
        <f>ROUND($L$198*$K$198,2)</f>
        <v>0</v>
      </c>
      <c r="O198" s="180"/>
      <c r="P198" s="180"/>
      <c r="Q198" s="180"/>
      <c r="R198" s="20"/>
      <c r="T198" s="110"/>
      <c r="U198" s="26" t="s">
        <v>38</v>
      </c>
      <c r="V198" s="111">
        <v>0.08</v>
      </c>
      <c r="W198" s="111">
        <f>$V$198*$K$198</f>
        <v>182.592</v>
      </c>
      <c r="X198" s="111">
        <v>0</v>
      </c>
      <c r="Y198" s="111">
        <f>$X$198*$K$198</f>
        <v>0</v>
      </c>
      <c r="Z198" s="111">
        <v>0</v>
      </c>
      <c r="AA198" s="112">
        <f>$Z$198*$K$198</f>
        <v>0</v>
      </c>
      <c r="AR198" s="6" t="s">
        <v>128</v>
      </c>
      <c r="AT198" s="6" t="s">
        <v>124</v>
      </c>
      <c r="AU198" s="6" t="s">
        <v>85</v>
      </c>
      <c r="AY198" s="6" t="s">
        <v>122</v>
      </c>
      <c r="BE198" s="113">
        <f>IF($U$198="základní",$N$198,0)</f>
        <v>0</v>
      </c>
      <c r="BF198" s="113">
        <f>IF($U$198="snížená",$N$198,0)</f>
        <v>0</v>
      </c>
      <c r="BG198" s="113">
        <f>IF($U$198="zákl. přenesená",$N$198,0)</f>
        <v>0</v>
      </c>
      <c r="BH198" s="113">
        <f>IF($U$198="sníž. přenesená",$N$198,0)</f>
        <v>0</v>
      </c>
      <c r="BI198" s="113">
        <f>IF($U$198="nulová",$N$198,0)</f>
        <v>0</v>
      </c>
      <c r="BJ198" s="6" t="s">
        <v>13</v>
      </c>
      <c r="BK198" s="113">
        <f>ROUND($L$198*$K$198,2)</f>
        <v>0</v>
      </c>
      <c r="BL198" s="6" t="s">
        <v>128</v>
      </c>
    </row>
    <row r="199" spans="2:51" s="6" customFormat="1" ht="15.75" customHeight="1">
      <c r="B199" s="114"/>
      <c r="E199" s="115"/>
      <c r="F199" s="177" t="s">
        <v>221</v>
      </c>
      <c r="G199" s="178"/>
      <c r="H199" s="178"/>
      <c r="I199" s="178"/>
      <c r="K199" s="116">
        <v>1926</v>
      </c>
      <c r="R199" s="117"/>
      <c r="T199" s="118"/>
      <c r="AA199" s="119"/>
      <c r="AT199" s="115" t="s">
        <v>132</v>
      </c>
      <c r="AU199" s="115" t="s">
        <v>85</v>
      </c>
      <c r="AV199" s="115" t="s">
        <v>85</v>
      </c>
      <c r="AW199" s="115" t="s">
        <v>94</v>
      </c>
      <c r="AX199" s="115" t="s">
        <v>73</v>
      </c>
      <c r="AY199" s="115" t="s">
        <v>122</v>
      </c>
    </row>
    <row r="200" spans="2:51" s="6" customFormat="1" ht="15.75" customHeight="1">
      <c r="B200" s="114"/>
      <c r="E200" s="115"/>
      <c r="F200" s="177" t="s">
        <v>222</v>
      </c>
      <c r="G200" s="178"/>
      <c r="H200" s="178"/>
      <c r="I200" s="178"/>
      <c r="K200" s="116">
        <v>11.4</v>
      </c>
      <c r="R200" s="117"/>
      <c r="T200" s="118"/>
      <c r="AA200" s="119"/>
      <c r="AT200" s="115" t="s">
        <v>132</v>
      </c>
      <c r="AU200" s="115" t="s">
        <v>85</v>
      </c>
      <c r="AV200" s="115" t="s">
        <v>85</v>
      </c>
      <c r="AW200" s="115" t="s">
        <v>94</v>
      </c>
      <c r="AX200" s="115" t="s">
        <v>73</v>
      </c>
      <c r="AY200" s="115" t="s">
        <v>122</v>
      </c>
    </row>
    <row r="201" spans="2:51" s="6" customFormat="1" ht="15.75" customHeight="1">
      <c r="B201" s="114"/>
      <c r="E201" s="115"/>
      <c r="F201" s="177" t="s">
        <v>223</v>
      </c>
      <c r="G201" s="178"/>
      <c r="H201" s="178"/>
      <c r="I201" s="178"/>
      <c r="K201" s="116">
        <v>345</v>
      </c>
      <c r="R201" s="117"/>
      <c r="T201" s="118"/>
      <c r="AA201" s="119"/>
      <c r="AT201" s="115" t="s">
        <v>132</v>
      </c>
      <c r="AU201" s="115" t="s">
        <v>85</v>
      </c>
      <c r="AV201" s="115" t="s">
        <v>85</v>
      </c>
      <c r="AW201" s="115" t="s">
        <v>94</v>
      </c>
      <c r="AX201" s="115" t="s">
        <v>73</v>
      </c>
      <c r="AY201" s="115" t="s">
        <v>122</v>
      </c>
    </row>
    <row r="202" spans="2:51" s="6" customFormat="1" ht="15.75" customHeight="1">
      <c r="B202" s="120"/>
      <c r="E202" s="121"/>
      <c r="F202" s="183" t="s">
        <v>149</v>
      </c>
      <c r="G202" s="184"/>
      <c r="H202" s="184"/>
      <c r="I202" s="184"/>
      <c r="K202" s="122">
        <v>2282.4</v>
      </c>
      <c r="R202" s="123"/>
      <c r="T202" s="124"/>
      <c r="AA202" s="125"/>
      <c r="AT202" s="121" t="s">
        <v>132</v>
      </c>
      <c r="AU202" s="121" t="s">
        <v>85</v>
      </c>
      <c r="AV202" s="121" t="s">
        <v>128</v>
      </c>
      <c r="AW202" s="121" t="s">
        <v>94</v>
      </c>
      <c r="AX202" s="121" t="s">
        <v>13</v>
      </c>
      <c r="AY202" s="121" t="s">
        <v>122</v>
      </c>
    </row>
    <row r="203" spans="2:64" s="6" customFormat="1" ht="27" customHeight="1">
      <c r="B203" s="19"/>
      <c r="C203" s="106" t="s">
        <v>227</v>
      </c>
      <c r="D203" s="106" t="s">
        <v>124</v>
      </c>
      <c r="E203" s="107" t="s">
        <v>228</v>
      </c>
      <c r="F203" s="179" t="s">
        <v>229</v>
      </c>
      <c r="G203" s="180"/>
      <c r="H203" s="180"/>
      <c r="I203" s="180"/>
      <c r="J203" s="108" t="s">
        <v>194</v>
      </c>
      <c r="K203" s="109">
        <v>255.2</v>
      </c>
      <c r="L203" s="181"/>
      <c r="M203" s="180"/>
      <c r="N203" s="181">
        <f>ROUND($L$203*$K$203,2)</f>
        <v>0</v>
      </c>
      <c r="O203" s="180"/>
      <c r="P203" s="180"/>
      <c r="Q203" s="180"/>
      <c r="R203" s="20"/>
      <c r="T203" s="110"/>
      <c r="U203" s="26" t="s">
        <v>38</v>
      </c>
      <c r="V203" s="111">
        <v>0.192</v>
      </c>
      <c r="W203" s="111">
        <f>$V$203*$K$203</f>
        <v>48.9984</v>
      </c>
      <c r="X203" s="111">
        <v>0</v>
      </c>
      <c r="Y203" s="111">
        <f>$X$203*$K$203</f>
        <v>0</v>
      </c>
      <c r="Z203" s="111">
        <v>0</v>
      </c>
      <c r="AA203" s="112">
        <f>$Z$203*$K$203</f>
        <v>0</v>
      </c>
      <c r="AR203" s="6" t="s">
        <v>128</v>
      </c>
      <c r="AT203" s="6" t="s">
        <v>124</v>
      </c>
      <c r="AU203" s="6" t="s">
        <v>85</v>
      </c>
      <c r="AY203" s="6" t="s">
        <v>122</v>
      </c>
      <c r="BE203" s="113">
        <f>IF($U$203="základní",$N$203,0)</f>
        <v>0</v>
      </c>
      <c r="BF203" s="113">
        <f>IF($U$203="snížená",$N$203,0)</f>
        <v>0</v>
      </c>
      <c r="BG203" s="113">
        <f>IF($U$203="zákl. přenesená",$N$203,0)</f>
        <v>0</v>
      </c>
      <c r="BH203" s="113">
        <f>IF($U$203="sníž. přenesená",$N$203,0)</f>
        <v>0</v>
      </c>
      <c r="BI203" s="113">
        <f>IF($U$203="nulová",$N$203,0)</f>
        <v>0</v>
      </c>
      <c r="BJ203" s="6" t="s">
        <v>13</v>
      </c>
      <c r="BK203" s="113">
        <f>ROUND($L$203*$K$203,2)</f>
        <v>0</v>
      </c>
      <c r="BL203" s="6" t="s">
        <v>128</v>
      </c>
    </row>
    <row r="204" spans="2:47" s="6" customFormat="1" ht="36.75" customHeight="1">
      <c r="B204" s="19"/>
      <c r="F204" s="176" t="s">
        <v>230</v>
      </c>
      <c r="G204" s="142"/>
      <c r="H204" s="142"/>
      <c r="I204" s="142"/>
      <c r="R204" s="20"/>
      <c r="T204" s="54"/>
      <c r="AA204" s="55"/>
      <c r="AT204" s="6" t="s">
        <v>130</v>
      </c>
      <c r="AU204" s="6" t="s">
        <v>85</v>
      </c>
    </row>
    <row r="205" spans="2:51" s="6" customFormat="1" ht="27" customHeight="1">
      <c r="B205" s="114"/>
      <c r="E205" s="115"/>
      <c r="F205" s="177" t="s">
        <v>231</v>
      </c>
      <c r="G205" s="178"/>
      <c r="H205" s="178"/>
      <c r="I205" s="178"/>
      <c r="K205" s="116">
        <v>102.3</v>
      </c>
      <c r="R205" s="117"/>
      <c r="T205" s="118"/>
      <c r="AA205" s="119"/>
      <c r="AT205" s="115" t="s">
        <v>132</v>
      </c>
      <c r="AU205" s="115" t="s">
        <v>85</v>
      </c>
      <c r="AV205" s="115" t="s">
        <v>85</v>
      </c>
      <c r="AW205" s="115" t="s">
        <v>94</v>
      </c>
      <c r="AX205" s="115" t="s">
        <v>73</v>
      </c>
      <c r="AY205" s="115" t="s">
        <v>122</v>
      </c>
    </row>
    <row r="206" spans="2:51" s="6" customFormat="1" ht="27" customHeight="1">
      <c r="B206" s="114"/>
      <c r="E206" s="115"/>
      <c r="F206" s="177" t="s">
        <v>232</v>
      </c>
      <c r="G206" s="178"/>
      <c r="H206" s="178"/>
      <c r="I206" s="178"/>
      <c r="K206" s="116">
        <v>152.9</v>
      </c>
      <c r="R206" s="117"/>
      <c r="T206" s="118"/>
      <c r="AA206" s="119"/>
      <c r="AT206" s="115" t="s">
        <v>132</v>
      </c>
      <c r="AU206" s="115" t="s">
        <v>85</v>
      </c>
      <c r="AV206" s="115" t="s">
        <v>85</v>
      </c>
      <c r="AW206" s="115" t="s">
        <v>94</v>
      </c>
      <c r="AX206" s="115" t="s">
        <v>73</v>
      </c>
      <c r="AY206" s="115" t="s">
        <v>122</v>
      </c>
    </row>
    <row r="207" spans="2:51" s="6" customFormat="1" ht="15.75" customHeight="1">
      <c r="B207" s="120"/>
      <c r="E207" s="121"/>
      <c r="F207" s="183" t="s">
        <v>149</v>
      </c>
      <c r="G207" s="184"/>
      <c r="H207" s="184"/>
      <c r="I207" s="184"/>
      <c r="K207" s="122">
        <v>255.2</v>
      </c>
      <c r="R207" s="123"/>
      <c r="T207" s="124"/>
      <c r="AA207" s="125"/>
      <c r="AT207" s="121" t="s">
        <v>132</v>
      </c>
      <c r="AU207" s="121" t="s">
        <v>85</v>
      </c>
      <c r="AV207" s="121" t="s">
        <v>128</v>
      </c>
      <c r="AW207" s="121" t="s">
        <v>94</v>
      </c>
      <c r="AX207" s="121" t="s">
        <v>13</v>
      </c>
      <c r="AY207" s="121" t="s">
        <v>122</v>
      </c>
    </row>
    <row r="208" spans="2:64" s="6" customFormat="1" ht="27" customHeight="1">
      <c r="B208" s="19"/>
      <c r="C208" s="106" t="s">
        <v>233</v>
      </c>
      <c r="D208" s="106" t="s">
        <v>124</v>
      </c>
      <c r="E208" s="107" t="s">
        <v>234</v>
      </c>
      <c r="F208" s="179" t="s">
        <v>235</v>
      </c>
      <c r="G208" s="180"/>
      <c r="H208" s="180"/>
      <c r="I208" s="180"/>
      <c r="J208" s="108" t="s">
        <v>194</v>
      </c>
      <c r="K208" s="109">
        <v>545</v>
      </c>
      <c r="L208" s="181"/>
      <c r="M208" s="180"/>
      <c r="N208" s="181">
        <f>ROUND($L$208*$K$208,2)</f>
        <v>0</v>
      </c>
      <c r="O208" s="180"/>
      <c r="P208" s="180"/>
      <c r="Q208" s="180"/>
      <c r="R208" s="20"/>
      <c r="T208" s="110"/>
      <c r="U208" s="26" t="s">
        <v>38</v>
      </c>
      <c r="V208" s="111">
        <v>0.43</v>
      </c>
      <c r="W208" s="111">
        <f>$V$208*$K$208</f>
        <v>234.35</v>
      </c>
      <c r="X208" s="111">
        <v>0.00022</v>
      </c>
      <c r="Y208" s="111">
        <f>$X$208*$K$208</f>
        <v>0.1199</v>
      </c>
      <c r="Z208" s="111">
        <v>0</v>
      </c>
      <c r="AA208" s="112">
        <f>$Z$208*$K$208</f>
        <v>0</v>
      </c>
      <c r="AR208" s="6" t="s">
        <v>128</v>
      </c>
      <c r="AT208" s="6" t="s">
        <v>124</v>
      </c>
      <c r="AU208" s="6" t="s">
        <v>85</v>
      </c>
      <c r="AY208" s="6" t="s">
        <v>122</v>
      </c>
      <c r="BE208" s="113">
        <f>IF($U$208="základní",$N$208,0)</f>
        <v>0</v>
      </c>
      <c r="BF208" s="113">
        <f>IF($U$208="snížená",$N$208,0)</f>
        <v>0</v>
      </c>
      <c r="BG208" s="113">
        <f>IF($U$208="zákl. přenesená",$N$208,0)</f>
        <v>0</v>
      </c>
      <c r="BH208" s="113">
        <f>IF($U$208="sníž. přenesená",$N$208,0)</f>
        <v>0</v>
      </c>
      <c r="BI208" s="113">
        <f>IF($U$208="nulová",$N$208,0)</f>
        <v>0</v>
      </c>
      <c r="BJ208" s="6" t="s">
        <v>13</v>
      </c>
      <c r="BK208" s="113">
        <f>ROUND($L$208*$K$208,2)</f>
        <v>0</v>
      </c>
      <c r="BL208" s="6" t="s">
        <v>128</v>
      </c>
    </row>
    <row r="209" spans="2:47" s="6" customFormat="1" ht="15.75" customHeight="1">
      <c r="B209" s="19"/>
      <c r="F209" s="176" t="s">
        <v>236</v>
      </c>
      <c r="G209" s="142"/>
      <c r="H209" s="142"/>
      <c r="I209" s="142"/>
      <c r="R209" s="20"/>
      <c r="T209" s="54"/>
      <c r="AA209" s="55"/>
      <c r="AT209" s="6" t="s">
        <v>130</v>
      </c>
      <c r="AU209" s="6" t="s">
        <v>85</v>
      </c>
    </row>
    <row r="210" spans="2:51" s="6" customFormat="1" ht="15.75" customHeight="1">
      <c r="B210" s="114"/>
      <c r="E210" s="115"/>
      <c r="F210" s="177" t="s">
        <v>196</v>
      </c>
      <c r="G210" s="178"/>
      <c r="H210" s="178"/>
      <c r="I210" s="178"/>
      <c r="K210" s="116">
        <v>545</v>
      </c>
      <c r="R210" s="117"/>
      <c r="T210" s="118"/>
      <c r="AA210" s="119"/>
      <c r="AT210" s="115" t="s">
        <v>132</v>
      </c>
      <c r="AU210" s="115" t="s">
        <v>85</v>
      </c>
      <c r="AV210" s="115" t="s">
        <v>85</v>
      </c>
      <c r="AW210" s="115" t="s">
        <v>94</v>
      </c>
      <c r="AX210" s="115" t="s">
        <v>13</v>
      </c>
      <c r="AY210" s="115" t="s">
        <v>122</v>
      </c>
    </row>
    <row r="211" spans="2:63" s="96" customFormat="1" ht="23.25" customHeight="1">
      <c r="B211" s="97"/>
      <c r="D211" s="105" t="s">
        <v>100</v>
      </c>
      <c r="N211" s="172">
        <f>$BK$211</f>
        <v>0</v>
      </c>
      <c r="O211" s="173"/>
      <c r="P211" s="173"/>
      <c r="Q211" s="173"/>
      <c r="R211" s="100"/>
      <c r="T211" s="101"/>
      <c r="W211" s="102">
        <f>$W$212</f>
        <v>455.79266200000006</v>
      </c>
      <c r="Y211" s="102">
        <f>$Y$212</f>
        <v>0</v>
      </c>
      <c r="AA211" s="103">
        <f>$AA$212</f>
        <v>0</v>
      </c>
      <c r="AR211" s="99" t="s">
        <v>13</v>
      </c>
      <c r="AT211" s="99" t="s">
        <v>72</v>
      </c>
      <c r="AU211" s="99" t="s">
        <v>85</v>
      </c>
      <c r="AY211" s="99" t="s">
        <v>122</v>
      </c>
      <c r="BK211" s="104">
        <f>$BK$212</f>
        <v>0</v>
      </c>
    </row>
    <row r="212" spans="2:64" s="6" customFormat="1" ht="15.75" customHeight="1">
      <c r="B212" s="19"/>
      <c r="C212" s="106" t="s">
        <v>237</v>
      </c>
      <c r="D212" s="106" t="s">
        <v>124</v>
      </c>
      <c r="E212" s="107" t="s">
        <v>238</v>
      </c>
      <c r="F212" s="179" t="s">
        <v>239</v>
      </c>
      <c r="G212" s="180"/>
      <c r="H212" s="180"/>
      <c r="I212" s="180"/>
      <c r="J212" s="108" t="s">
        <v>162</v>
      </c>
      <c r="K212" s="109">
        <v>1348.499</v>
      </c>
      <c r="L212" s="181"/>
      <c r="M212" s="180"/>
      <c r="N212" s="181">
        <f>ROUND($L$212*$K$212,2)</f>
        <v>0</v>
      </c>
      <c r="O212" s="180"/>
      <c r="P212" s="180"/>
      <c r="Q212" s="180"/>
      <c r="R212" s="20"/>
      <c r="T212" s="110"/>
      <c r="U212" s="26" t="s">
        <v>38</v>
      </c>
      <c r="V212" s="111">
        <v>0.338</v>
      </c>
      <c r="W212" s="111">
        <f>$V$212*$K$212</f>
        <v>455.79266200000006</v>
      </c>
      <c r="X212" s="111">
        <v>0</v>
      </c>
      <c r="Y212" s="111">
        <f>$X$212*$K$212</f>
        <v>0</v>
      </c>
      <c r="Z212" s="111">
        <v>0</v>
      </c>
      <c r="AA212" s="112">
        <f>$Z$212*$K$212</f>
        <v>0</v>
      </c>
      <c r="AR212" s="6" t="s">
        <v>128</v>
      </c>
      <c r="AT212" s="6" t="s">
        <v>124</v>
      </c>
      <c r="AU212" s="6" t="s">
        <v>172</v>
      </c>
      <c r="AY212" s="6" t="s">
        <v>122</v>
      </c>
      <c r="BE212" s="113">
        <f>IF($U$212="základní",$N$212,0)</f>
        <v>0</v>
      </c>
      <c r="BF212" s="113">
        <f>IF($U$212="snížená",$N$212,0)</f>
        <v>0</v>
      </c>
      <c r="BG212" s="113">
        <f>IF($U$212="zákl. přenesená",$N$212,0)</f>
        <v>0</v>
      </c>
      <c r="BH212" s="113">
        <f>IF($U$212="sníž. přenesená",$N$212,0)</f>
        <v>0</v>
      </c>
      <c r="BI212" s="113">
        <f>IF($U$212="nulová",$N$212,0)</f>
        <v>0</v>
      </c>
      <c r="BJ212" s="6" t="s">
        <v>13</v>
      </c>
      <c r="BK212" s="113">
        <f>ROUND($L$212*$K$212,2)</f>
        <v>0</v>
      </c>
      <c r="BL212" s="6" t="s">
        <v>128</v>
      </c>
    </row>
    <row r="213" spans="2:63" s="96" customFormat="1" ht="37.5" customHeight="1">
      <c r="B213" s="97"/>
      <c r="D213" s="98" t="s">
        <v>101</v>
      </c>
      <c r="N213" s="174">
        <f>$BK$213</f>
        <v>0</v>
      </c>
      <c r="O213" s="173"/>
      <c r="P213" s="173"/>
      <c r="Q213" s="173"/>
      <c r="R213" s="100"/>
      <c r="T213" s="101"/>
      <c r="W213" s="102">
        <f>$W$214</f>
        <v>4.427576999999999</v>
      </c>
      <c r="Y213" s="102">
        <f>$Y$214</f>
        <v>0</v>
      </c>
      <c r="AA213" s="103">
        <f>$AA$214</f>
        <v>0</v>
      </c>
      <c r="AR213" s="99" t="s">
        <v>172</v>
      </c>
      <c r="AT213" s="99" t="s">
        <v>72</v>
      </c>
      <c r="AU213" s="99" t="s">
        <v>73</v>
      </c>
      <c r="AY213" s="99" t="s">
        <v>122</v>
      </c>
      <c r="BK213" s="104">
        <f>$BK$214</f>
        <v>0</v>
      </c>
    </row>
    <row r="214" spans="2:63" s="96" customFormat="1" ht="21" customHeight="1">
      <c r="B214" s="97"/>
      <c r="D214" s="105" t="s">
        <v>102</v>
      </c>
      <c r="N214" s="172">
        <f>$BK$214</f>
        <v>0</v>
      </c>
      <c r="O214" s="173"/>
      <c r="P214" s="173"/>
      <c r="Q214" s="173"/>
      <c r="R214" s="100"/>
      <c r="T214" s="101"/>
      <c r="W214" s="102">
        <f>SUM($W$215:$W$217)</f>
        <v>4.427576999999999</v>
      </c>
      <c r="Y214" s="102">
        <f>SUM($Y$215:$Y$217)</f>
        <v>0</v>
      </c>
      <c r="AA214" s="103">
        <f>SUM($AA$215:$AA$217)</f>
        <v>0</v>
      </c>
      <c r="AR214" s="99" t="s">
        <v>172</v>
      </c>
      <c r="AT214" s="99" t="s">
        <v>72</v>
      </c>
      <c r="AU214" s="99" t="s">
        <v>13</v>
      </c>
      <c r="AY214" s="99" t="s">
        <v>122</v>
      </c>
      <c r="BK214" s="104">
        <f>SUM($BK$215:$BK$217)</f>
        <v>0</v>
      </c>
    </row>
    <row r="215" spans="2:64" s="6" customFormat="1" ht="27" customHeight="1">
      <c r="B215" s="19"/>
      <c r="C215" s="106" t="s">
        <v>240</v>
      </c>
      <c r="D215" s="106" t="s">
        <v>124</v>
      </c>
      <c r="E215" s="107" t="s">
        <v>241</v>
      </c>
      <c r="F215" s="179" t="s">
        <v>242</v>
      </c>
      <c r="G215" s="180"/>
      <c r="H215" s="180"/>
      <c r="I215" s="180"/>
      <c r="J215" s="108" t="s">
        <v>127</v>
      </c>
      <c r="K215" s="109">
        <v>6.389</v>
      </c>
      <c r="L215" s="181"/>
      <c r="M215" s="180"/>
      <c r="N215" s="181">
        <f>ROUND($L$215*$K$215,2)</f>
        <v>0</v>
      </c>
      <c r="O215" s="180"/>
      <c r="P215" s="180"/>
      <c r="Q215" s="180"/>
      <c r="R215" s="20"/>
      <c r="T215" s="110"/>
      <c r="U215" s="26" t="s">
        <v>38</v>
      </c>
      <c r="V215" s="111">
        <v>0.693</v>
      </c>
      <c r="W215" s="111">
        <f>$V$215*$K$215</f>
        <v>4.427576999999999</v>
      </c>
      <c r="X215" s="111">
        <v>0</v>
      </c>
      <c r="Y215" s="111">
        <f>$X$215*$K$215</f>
        <v>0</v>
      </c>
      <c r="Z215" s="111">
        <v>0</v>
      </c>
      <c r="AA215" s="112">
        <f>$Z$215*$K$215</f>
        <v>0</v>
      </c>
      <c r="AR215" s="6" t="s">
        <v>243</v>
      </c>
      <c r="AT215" s="6" t="s">
        <v>124</v>
      </c>
      <c r="AU215" s="6" t="s">
        <v>85</v>
      </c>
      <c r="AY215" s="6" t="s">
        <v>122</v>
      </c>
      <c r="BE215" s="113">
        <f>IF($U$215="základní",$N$215,0)</f>
        <v>0</v>
      </c>
      <c r="BF215" s="113">
        <f>IF($U$215="snížená",$N$215,0)</f>
        <v>0</v>
      </c>
      <c r="BG215" s="113">
        <f>IF($U$215="zákl. přenesená",$N$215,0)</f>
        <v>0</v>
      </c>
      <c r="BH215" s="113">
        <f>IF($U$215="sníž. přenesená",$N$215,0)</f>
        <v>0</v>
      </c>
      <c r="BI215" s="113">
        <f>IF($U$215="nulová",$N$215,0)</f>
        <v>0</v>
      </c>
      <c r="BJ215" s="6" t="s">
        <v>13</v>
      </c>
      <c r="BK215" s="113">
        <f>ROUND($L$215*$K$215,2)</f>
        <v>0</v>
      </c>
      <c r="BL215" s="6" t="s">
        <v>243</v>
      </c>
    </row>
    <row r="216" spans="2:47" s="6" customFormat="1" ht="25.5" customHeight="1">
      <c r="B216" s="19"/>
      <c r="F216" s="176" t="s">
        <v>244</v>
      </c>
      <c r="G216" s="142"/>
      <c r="H216" s="142"/>
      <c r="I216" s="142"/>
      <c r="R216" s="20"/>
      <c r="T216" s="54"/>
      <c r="AA216" s="55"/>
      <c r="AT216" s="6" t="s">
        <v>130</v>
      </c>
      <c r="AU216" s="6" t="s">
        <v>85</v>
      </c>
    </row>
    <row r="217" spans="2:51" s="6" customFormat="1" ht="15.75" customHeight="1">
      <c r="B217" s="114"/>
      <c r="E217" s="115"/>
      <c r="F217" s="177" t="s">
        <v>245</v>
      </c>
      <c r="G217" s="178"/>
      <c r="H217" s="178"/>
      <c r="I217" s="178"/>
      <c r="K217" s="116">
        <v>6.389</v>
      </c>
      <c r="R217" s="117"/>
      <c r="T217" s="118"/>
      <c r="AA217" s="119"/>
      <c r="AT217" s="115" t="s">
        <v>132</v>
      </c>
      <c r="AU217" s="115" t="s">
        <v>85</v>
      </c>
      <c r="AV217" s="115" t="s">
        <v>85</v>
      </c>
      <c r="AW217" s="115" t="s">
        <v>94</v>
      </c>
      <c r="AX217" s="115" t="s">
        <v>13</v>
      </c>
      <c r="AY217" s="115" t="s">
        <v>122</v>
      </c>
    </row>
    <row r="218" spans="2:63" s="96" customFormat="1" ht="37.5" customHeight="1">
      <c r="B218" s="97"/>
      <c r="D218" s="98" t="s">
        <v>103</v>
      </c>
      <c r="N218" s="174">
        <f>$BK$218</f>
        <v>0</v>
      </c>
      <c r="O218" s="173"/>
      <c r="P218" s="173"/>
      <c r="Q218" s="173"/>
      <c r="R218" s="100"/>
      <c r="T218" s="101"/>
      <c r="W218" s="102">
        <f>$W$219+$W$222</f>
        <v>0</v>
      </c>
      <c r="Y218" s="102">
        <f>$Y$219+$Y$222</f>
        <v>0</v>
      </c>
      <c r="AA218" s="103">
        <f>$AA$219+$AA$222</f>
        <v>0</v>
      </c>
      <c r="AR218" s="99" t="s">
        <v>246</v>
      </c>
      <c r="AT218" s="99" t="s">
        <v>72</v>
      </c>
      <c r="AU218" s="99" t="s">
        <v>73</v>
      </c>
      <c r="AY218" s="99" t="s">
        <v>122</v>
      </c>
      <c r="BK218" s="104">
        <f>$BK$219+$BK$222</f>
        <v>0</v>
      </c>
    </row>
    <row r="219" spans="2:63" s="96" customFormat="1" ht="21" customHeight="1">
      <c r="B219" s="97"/>
      <c r="D219" s="105" t="s">
        <v>104</v>
      </c>
      <c r="N219" s="172">
        <f>$BK$219</f>
        <v>0</v>
      </c>
      <c r="O219" s="173"/>
      <c r="P219" s="173"/>
      <c r="Q219" s="173"/>
      <c r="R219" s="100"/>
      <c r="T219" s="101"/>
      <c r="W219" s="102">
        <f>SUM($W$220:$W$221)</f>
        <v>0</v>
      </c>
      <c r="Y219" s="102">
        <f>SUM($Y$220:$Y$221)</f>
        <v>0</v>
      </c>
      <c r="AA219" s="103">
        <f>SUM($AA$220:$AA$221)</f>
        <v>0</v>
      </c>
      <c r="AR219" s="99" t="s">
        <v>246</v>
      </c>
      <c r="AT219" s="99" t="s">
        <v>72</v>
      </c>
      <c r="AU219" s="99" t="s">
        <v>13</v>
      </c>
      <c r="AY219" s="99" t="s">
        <v>122</v>
      </c>
      <c r="BK219" s="104">
        <f>SUM($BK$220:$BK$221)</f>
        <v>0</v>
      </c>
    </row>
    <row r="220" spans="2:64" s="6" customFormat="1" ht="15.75" customHeight="1">
      <c r="B220" s="19"/>
      <c r="C220" s="106" t="s">
        <v>247</v>
      </c>
      <c r="D220" s="106" t="s">
        <v>124</v>
      </c>
      <c r="E220" s="107" t="s">
        <v>248</v>
      </c>
      <c r="F220" s="179" t="s">
        <v>249</v>
      </c>
      <c r="G220" s="180"/>
      <c r="H220" s="180"/>
      <c r="I220" s="180"/>
      <c r="J220" s="108" t="s">
        <v>250</v>
      </c>
      <c r="K220" s="109">
        <v>1</v>
      </c>
      <c r="L220" s="181"/>
      <c r="M220" s="180"/>
      <c r="N220" s="181">
        <v>0</v>
      </c>
      <c r="O220" s="180"/>
      <c r="P220" s="180"/>
      <c r="Q220" s="180"/>
      <c r="R220" s="20"/>
      <c r="T220" s="110"/>
      <c r="U220" s="26" t="s">
        <v>38</v>
      </c>
      <c r="V220" s="111">
        <v>0</v>
      </c>
      <c r="W220" s="111">
        <f>$V$220*$K$220</f>
        <v>0</v>
      </c>
      <c r="X220" s="111">
        <v>0</v>
      </c>
      <c r="Y220" s="111">
        <f>$X$220*$K$220</f>
        <v>0</v>
      </c>
      <c r="Z220" s="111">
        <v>0</v>
      </c>
      <c r="AA220" s="112">
        <f>$Z$220*$K$220</f>
        <v>0</v>
      </c>
      <c r="AR220" s="6" t="s">
        <v>251</v>
      </c>
      <c r="AT220" s="6" t="s">
        <v>124</v>
      </c>
      <c r="AU220" s="6" t="s">
        <v>85</v>
      </c>
      <c r="AY220" s="6" t="s">
        <v>122</v>
      </c>
      <c r="BE220" s="113">
        <f>IF($U$220="základní",$N$220,0)</f>
        <v>0</v>
      </c>
      <c r="BF220" s="113">
        <f>IF($U$220="snížená",$N$220,0)</f>
        <v>0</v>
      </c>
      <c r="BG220" s="113">
        <f>IF($U$220="zákl. přenesená",$N$220,0)</f>
        <v>0</v>
      </c>
      <c r="BH220" s="113">
        <f>IF($U$220="sníž. přenesená",$N$220,0)</f>
        <v>0</v>
      </c>
      <c r="BI220" s="113">
        <f>IF($U$220="nulová",$N$220,0)</f>
        <v>0</v>
      </c>
      <c r="BJ220" s="6" t="s">
        <v>13</v>
      </c>
      <c r="BK220" s="113">
        <f>ROUND($L$220*$K$220,2)</f>
        <v>0</v>
      </c>
      <c r="BL220" s="6" t="s">
        <v>251</v>
      </c>
    </row>
    <row r="221" spans="2:64" s="6" customFormat="1" ht="15.75" customHeight="1">
      <c r="B221" s="19"/>
      <c r="C221" s="106" t="s">
        <v>252</v>
      </c>
      <c r="D221" s="106" t="s">
        <v>124</v>
      </c>
      <c r="E221" s="107" t="s">
        <v>253</v>
      </c>
      <c r="F221" s="179" t="s">
        <v>254</v>
      </c>
      <c r="G221" s="180"/>
      <c r="H221" s="180"/>
      <c r="I221" s="180"/>
      <c r="J221" s="108" t="s">
        <v>250</v>
      </c>
      <c r="K221" s="109">
        <v>1</v>
      </c>
      <c r="L221" s="181"/>
      <c r="M221" s="180"/>
      <c r="N221" s="181">
        <f>ROUND($L$221*$K$221,2)</f>
        <v>0</v>
      </c>
      <c r="O221" s="180"/>
      <c r="P221" s="180"/>
      <c r="Q221" s="180"/>
      <c r="R221" s="20"/>
      <c r="T221" s="110"/>
      <c r="U221" s="26" t="s">
        <v>38</v>
      </c>
      <c r="V221" s="111">
        <v>0</v>
      </c>
      <c r="W221" s="111">
        <f>$V$221*$K$221</f>
        <v>0</v>
      </c>
      <c r="X221" s="111">
        <v>0</v>
      </c>
      <c r="Y221" s="111">
        <f>$X$221*$K$221</f>
        <v>0</v>
      </c>
      <c r="Z221" s="111">
        <v>0</v>
      </c>
      <c r="AA221" s="112">
        <f>$Z$221*$K$221</f>
        <v>0</v>
      </c>
      <c r="AR221" s="6" t="s">
        <v>251</v>
      </c>
      <c r="AT221" s="6" t="s">
        <v>124</v>
      </c>
      <c r="AU221" s="6" t="s">
        <v>85</v>
      </c>
      <c r="AY221" s="6" t="s">
        <v>122</v>
      </c>
      <c r="BE221" s="113">
        <f>IF($U$221="základní",$N$221,0)</f>
        <v>0</v>
      </c>
      <c r="BF221" s="113">
        <f>IF($U$221="snížená",$N$221,0)</f>
        <v>0</v>
      </c>
      <c r="BG221" s="113">
        <f>IF($U$221="zákl. přenesená",$N$221,0)</f>
        <v>0</v>
      </c>
      <c r="BH221" s="113">
        <f>IF($U$221="sníž. přenesená",$N$221,0)</f>
        <v>0</v>
      </c>
      <c r="BI221" s="113">
        <f>IF($U$221="nulová",$N$221,0)</f>
        <v>0</v>
      </c>
      <c r="BJ221" s="6" t="s">
        <v>13</v>
      </c>
      <c r="BK221" s="113">
        <f>ROUND($L$221*$K$221,2)</f>
        <v>0</v>
      </c>
      <c r="BL221" s="6" t="s">
        <v>251</v>
      </c>
    </row>
    <row r="222" spans="2:63" s="96" customFormat="1" ht="30.75" customHeight="1">
      <c r="B222" s="97"/>
      <c r="D222" s="105" t="s">
        <v>105</v>
      </c>
      <c r="N222" s="172">
        <f>$BK$222</f>
        <v>0</v>
      </c>
      <c r="O222" s="173"/>
      <c r="P222" s="173"/>
      <c r="Q222" s="173"/>
      <c r="R222" s="100"/>
      <c r="T222" s="101"/>
      <c r="W222" s="102">
        <f>SUM($W$223:$W$224)</f>
        <v>0</v>
      </c>
      <c r="Y222" s="102">
        <f>SUM($Y$223:$Y$224)</f>
        <v>0</v>
      </c>
      <c r="AA222" s="103">
        <f>SUM($AA$223:$AA$224)</f>
        <v>0</v>
      </c>
      <c r="AR222" s="99" t="s">
        <v>246</v>
      </c>
      <c r="AT222" s="99" t="s">
        <v>72</v>
      </c>
      <c r="AU222" s="99" t="s">
        <v>13</v>
      </c>
      <c r="AY222" s="99" t="s">
        <v>122</v>
      </c>
      <c r="BK222" s="104">
        <f>SUM($BK$223:$BK$224)</f>
        <v>0</v>
      </c>
    </row>
    <row r="223" spans="2:64" s="6" customFormat="1" ht="15.75" customHeight="1">
      <c r="B223" s="19"/>
      <c r="C223" s="106" t="s">
        <v>255</v>
      </c>
      <c r="D223" s="106" t="s">
        <v>124</v>
      </c>
      <c r="E223" s="107" t="s">
        <v>256</v>
      </c>
      <c r="F223" s="179" t="s">
        <v>267</v>
      </c>
      <c r="G223" s="180"/>
      <c r="H223" s="180"/>
      <c r="I223" s="180"/>
      <c r="J223" s="108" t="s">
        <v>250</v>
      </c>
      <c r="K223" s="109">
        <v>1</v>
      </c>
      <c r="L223" s="181"/>
      <c r="M223" s="180"/>
      <c r="N223" s="181">
        <v>0</v>
      </c>
      <c r="O223" s="180"/>
      <c r="P223" s="180"/>
      <c r="Q223" s="180"/>
      <c r="R223" s="20"/>
      <c r="T223" s="110"/>
      <c r="U223" s="26" t="s">
        <v>38</v>
      </c>
      <c r="V223" s="111">
        <v>0</v>
      </c>
      <c r="W223" s="111">
        <f>$V$223*$K$223</f>
        <v>0</v>
      </c>
      <c r="X223" s="111">
        <v>0</v>
      </c>
      <c r="Y223" s="111">
        <f>$X$223*$K$223</f>
        <v>0</v>
      </c>
      <c r="Z223" s="111">
        <v>0</v>
      </c>
      <c r="AA223" s="112">
        <f>$Z$223*$K$223</f>
        <v>0</v>
      </c>
      <c r="AR223" s="6" t="s">
        <v>251</v>
      </c>
      <c r="AT223" s="6" t="s">
        <v>124</v>
      </c>
      <c r="AU223" s="6" t="s">
        <v>85</v>
      </c>
      <c r="AY223" s="6" t="s">
        <v>122</v>
      </c>
      <c r="BE223" s="113">
        <f>IF($U$223="základní",$N$223,0)</f>
        <v>0</v>
      </c>
      <c r="BF223" s="113">
        <f>IF($U$223="snížená",$N$223,0)</f>
        <v>0</v>
      </c>
      <c r="BG223" s="113">
        <f>IF($U$223="zákl. přenesená",$N$223,0)</f>
        <v>0</v>
      </c>
      <c r="BH223" s="113">
        <f>IF($U$223="sníž. přenesená",$N$223,0)</f>
        <v>0</v>
      </c>
      <c r="BI223" s="113">
        <f>IF($U$223="nulová",$N$223,0)</f>
        <v>0</v>
      </c>
      <c r="BJ223" s="6" t="s">
        <v>13</v>
      </c>
      <c r="BK223" s="113">
        <f>ROUND($L$223*$K$223,2)</f>
        <v>0</v>
      </c>
      <c r="BL223" s="6" t="s">
        <v>251</v>
      </c>
    </row>
    <row r="224" spans="2:47" s="6" customFormat="1" ht="15.75" customHeight="1">
      <c r="B224" s="19"/>
      <c r="F224" s="176" t="s">
        <v>257</v>
      </c>
      <c r="G224" s="142"/>
      <c r="H224" s="142"/>
      <c r="I224" s="142"/>
      <c r="R224" s="20"/>
      <c r="T224" s="132"/>
      <c r="U224" s="38"/>
      <c r="V224" s="38"/>
      <c r="W224" s="38"/>
      <c r="X224" s="38"/>
      <c r="Y224" s="38"/>
      <c r="Z224" s="38"/>
      <c r="AA224" s="40"/>
      <c r="AT224" s="6" t="s">
        <v>130</v>
      </c>
      <c r="AU224" s="6" t="s">
        <v>85</v>
      </c>
    </row>
    <row r="225" spans="2:18" s="6" customFormat="1" ht="7.5" customHeight="1">
      <c r="B225" s="4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3"/>
    </row>
    <row r="226" s="2" customFormat="1" ht="14.25" customHeight="1"/>
  </sheetData>
  <sheetProtection/>
  <mergeCells count="21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5:I165"/>
    <mergeCell ref="L165:M165"/>
    <mergeCell ref="N165:Q165"/>
    <mergeCell ref="F166:I166"/>
    <mergeCell ref="F167:I167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L208:M208"/>
    <mergeCell ref="N208:Q208"/>
    <mergeCell ref="F199:I199"/>
    <mergeCell ref="F200:I200"/>
    <mergeCell ref="F201:I201"/>
    <mergeCell ref="F202:I202"/>
    <mergeCell ref="F203:I203"/>
    <mergeCell ref="L203:M203"/>
    <mergeCell ref="L215:M215"/>
    <mergeCell ref="N215:Q215"/>
    <mergeCell ref="N211:Q211"/>
    <mergeCell ref="N213:Q213"/>
    <mergeCell ref="N203:Q203"/>
    <mergeCell ref="F204:I204"/>
    <mergeCell ref="F205:I205"/>
    <mergeCell ref="F206:I206"/>
    <mergeCell ref="F207:I207"/>
    <mergeCell ref="F208:I208"/>
    <mergeCell ref="N220:Q220"/>
    <mergeCell ref="F221:I221"/>
    <mergeCell ref="L221:M221"/>
    <mergeCell ref="N221:Q221"/>
    <mergeCell ref="F209:I209"/>
    <mergeCell ref="F210:I210"/>
    <mergeCell ref="F212:I212"/>
    <mergeCell ref="L212:M212"/>
    <mergeCell ref="N212:Q212"/>
    <mergeCell ref="F215:I215"/>
    <mergeCell ref="F223:I223"/>
    <mergeCell ref="L223:M223"/>
    <mergeCell ref="N223:Q223"/>
    <mergeCell ref="F224:I224"/>
    <mergeCell ref="N120:Q120"/>
    <mergeCell ref="N121:Q121"/>
    <mergeCell ref="N122:Q122"/>
    <mergeCell ref="N132:Q132"/>
    <mergeCell ref="N164:Q164"/>
    <mergeCell ref="N168:Q168"/>
    <mergeCell ref="N214:Q214"/>
    <mergeCell ref="N218:Q218"/>
    <mergeCell ref="N219:Q219"/>
    <mergeCell ref="N222:Q222"/>
    <mergeCell ref="H1:K1"/>
    <mergeCell ref="S2:AC2"/>
    <mergeCell ref="F216:I216"/>
    <mergeCell ref="F217:I217"/>
    <mergeCell ref="F220:I220"/>
    <mergeCell ref="L220:M22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</dc:creator>
  <cp:keywords/>
  <dc:description/>
  <cp:lastModifiedBy>uzivatel</cp:lastModifiedBy>
  <cp:lastPrinted>2014-10-08T10:07:14Z</cp:lastPrinted>
  <dcterms:created xsi:type="dcterms:W3CDTF">2014-09-03T10:50:24Z</dcterms:created>
  <dcterms:modified xsi:type="dcterms:W3CDTF">2015-04-01T11:33:53Z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