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tabRatio="921" firstSheet="2" activeTab="12"/>
  </bookViews>
  <sheets>
    <sheet name="rekapitulace" sheetId="1" r:id="rId1"/>
    <sheet name="Stavební rozpočet" sheetId="2" r:id="rId2"/>
    <sheet name="Krycí list rozpočtu" sheetId="3" r:id="rId3"/>
    <sheet name="Stavební rozpočet (4)" sheetId="4" r:id="rId4"/>
    <sheet name="Krycí list rozpočtu (4)" sheetId="5" r:id="rId5"/>
    <sheet name="Stavební rozpočet (5)" sheetId="6" r:id="rId6"/>
    <sheet name="Krycí list rozpočtu (5)" sheetId="7" r:id="rId7"/>
    <sheet name="Stavební rozpočet (6)" sheetId="8" r:id="rId8"/>
    <sheet name="Krycí list rozpočtu (6)" sheetId="9" r:id="rId9"/>
    <sheet name="Stavební rozpočet (7)" sheetId="10" r:id="rId10"/>
    <sheet name="Krycí list rozpočtu (7)" sheetId="11" r:id="rId11"/>
    <sheet name="Stavební rozpočet (2)" sheetId="12" r:id="rId12"/>
    <sheet name="Krycí list rozpočtu (2)" sheetId="13" r:id="rId13"/>
    <sheet name="Stavební rozpočet (3)" sheetId="14" r:id="rId14"/>
    <sheet name="Krycí list rozpočtu (3)" sheetId="15" r:id="rId15"/>
  </sheets>
  <definedNames>
    <definedName name="_xlnm.Print_Area" localSheetId="2">'Krycí list rozpočtu'!$A$1:$I$32</definedName>
    <definedName name="_xlnm.Print_Area" localSheetId="14">'Krycí list rozpočtu (3)'!$A$1:$I$32</definedName>
    <definedName name="_xlnm.Print_Area" localSheetId="4">'Krycí list rozpočtu (4)'!$A$1:$I$32</definedName>
    <definedName name="_xlnm.Print_Area" localSheetId="6">'Krycí list rozpočtu (5)'!$A$1:$I$32</definedName>
    <definedName name="_xlnm.Print_Area" localSheetId="8">'Krycí list rozpočtu (6)'!$A$1:$I$32</definedName>
    <definedName name="_xlnm.Print_Area" localSheetId="10">'Krycí list rozpočtu (7)'!$A$1:$I$32</definedName>
    <definedName name="_xlnm.Print_Area" localSheetId="1">'Stavební rozpočet'!$A$1:$L$51</definedName>
    <definedName name="_xlnm.Print_Area" localSheetId="13">'Stavební rozpočet (3)'!$A$1:$L$19</definedName>
    <definedName name="_xlnm.Print_Area" localSheetId="3">'Stavební rozpočet (4)'!$A$1:$L$33</definedName>
    <definedName name="_xlnm.Print_Area" localSheetId="5">'Stavební rozpočet (5)'!$A$1:$L$35</definedName>
    <definedName name="_xlnm.Print_Area" localSheetId="7">'Stavební rozpočet (6)'!$A$1:$L$35</definedName>
    <definedName name="_xlnm.Print_Area" localSheetId="9">'Stavební rozpočet (7)'!$A$1:$L$29</definedName>
  </definedNames>
  <calcPr fullCalcOnLoad="1"/>
</workbook>
</file>

<file path=xl/sharedStrings.xml><?xml version="1.0" encoding="utf-8"?>
<sst xmlns="http://schemas.openxmlformats.org/spreadsheetml/2006/main" count="1258" uniqueCount="380">
  <si>
    <t>Rekapitulace rozpočtů</t>
  </si>
  <si>
    <t>Akce:</t>
  </si>
  <si>
    <t>Příprava území pro RD - obec Strupčice</t>
  </si>
  <si>
    <t>Lokalita :</t>
  </si>
  <si>
    <t>komunikace</t>
  </si>
  <si>
    <t>splašková kanalizace</t>
  </si>
  <si>
    <t>dešťová kanalizace</t>
  </si>
  <si>
    <t>vodovod</t>
  </si>
  <si>
    <t>plynovod</t>
  </si>
  <si>
    <t>sadové úpravy</t>
  </si>
  <si>
    <t>veřejné osvětlení</t>
  </si>
  <si>
    <t>Celkem za lokalitu</t>
  </si>
  <si>
    <t>SO.01.</t>
  </si>
  <si>
    <t>SO.02.</t>
  </si>
  <si>
    <t>SO.03.</t>
  </si>
  <si>
    <t>SO.04.</t>
  </si>
  <si>
    <t>SO.05.</t>
  </si>
  <si>
    <t>SO.06.</t>
  </si>
  <si>
    <t>III - Pod Tratí Změna č.1.</t>
  </si>
  <si>
    <t>Stavební rozpočet</t>
  </si>
  <si>
    <t>Název stavby:</t>
  </si>
  <si>
    <t>Příprava území pro RD</t>
  </si>
  <si>
    <t>Doba výstavby:</t>
  </si>
  <si>
    <t>Objednatel:</t>
  </si>
  <si>
    <t>Druh stavby a účel:</t>
  </si>
  <si>
    <t>SO 01 komunikace</t>
  </si>
  <si>
    <t>Začátek výstavby:</t>
  </si>
  <si>
    <t>Projektant:</t>
  </si>
  <si>
    <t>Lokalita:</t>
  </si>
  <si>
    <t>III - pod tratí změna č.1.</t>
  </si>
  <si>
    <t>Konec výstavby:</t>
  </si>
  <si>
    <t>Zhotovitel:</t>
  </si>
  <si>
    <t>JKSO:</t>
  </si>
  <si>
    <t>Zpracováno dne:</t>
  </si>
  <si>
    <t>Zpracoval: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</si>
  <si>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</si>
  <si>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</si>
  <si>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</si>
  <si>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</si>
  <si>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</si>
  <si>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</si>
  <si>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</si>
  <si>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</si>
  <si>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</si>
  <si>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</si>
  <si>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</si>
  <si>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</si>
  <si>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</si>
  <si>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</si>
  <si>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12</t>
  </si>
  <si>
    <t>Odkopávky a prokopávky</t>
  </si>
  <si>
    <t>1</t>
  </si>
  <si>
    <t>122202203R00</t>
  </si>
  <si>
    <t>Odkopávky pro silnice v hor. 3 do 10000 m3</t>
  </si>
  <si>
    <t>m3</t>
  </si>
  <si>
    <t>45</t>
  </si>
  <si>
    <t>Podkladní a vedlejší konstrukce (inženýr. stavby kromě vozovek a železnič. svršku)</t>
  </si>
  <si>
    <t>2</t>
  </si>
  <si>
    <t>451561111R00</t>
  </si>
  <si>
    <t>Lože dlažby z kam. drobného drceného tl. do 10 cm</t>
  </si>
  <si>
    <t>m2</t>
  </si>
  <si>
    <t>3</t>
  </si>
  <si>
    <t>451578112R00</t>
  </si>
  <si>
    <t>Dno drenáž. rýhy zpevněné štěrkopískem tl. do 25cm</t>
  </si>
  <si>
    <t>m</t>
  </si>
  <si>
    <t>56</t>
  </si>
  <si>
    <t>Podkladní vrstvy komunikací, letišť a ploch</t>
  </si>
  <si>
    <t>4</t>
  </si>
  <si>
    <t>564251111R00</t>
  </si>
  <si>
    <t>Podklad ze štěrkopísku po zhutnění tloušťky 15 cm</t>
  </si>
  <si>
    <t>5</t>
  </si>
  <si>
    <t>564261111R00</t>
  </si>
  <si>
    <t>Podklad ze štěrkopísku po zhutnění tloušťky 20 cm - voz</t>
  </si>
  <si>
    <t>6</t>
  </si>
  <si>
    <t>564651111R00</t>
  </si>
  <si>
    <t>Podklad z kameniva drceného 63-125 mm, tl. 15 cm - voz</t>
  </si>
  <si>
    <t>7</t>
  </si>
  <si>
    <t>564751111R00</t>
  </si>
  <si>
    <t>Podklad z kameniva drceného vel.32-63 mm,tl. 15 cm</t>
  </si>
  <si>
    <t>8</t>
  </si>
  <si>
    <t>565161111R00</t>
  </si>
  <si>
    <t>Podklad kamen. obal. asfaltem , tl.8 cm</t>
  </si>
  <si>
    <t>57</t>
  </si>
  <si>
    <t>Kryty štěrkových a živičných komunikací a ploch</t>
  </si>
  <si>
    <t>9</t>
  </si>
  <si>
    <t>577132311R00</t>
  </si>
  <si>
    <t>Beton asfalt. ABJ,ABS,ABH tř.3 nad 3 m, tl. 4 cm</t>
  </si>
  <si>
    <t>59</t>
  </si>
  <si>
    <t>Dlažby pozemních komunikací a ploch</t>
  </si>
  <si>
    <t>10</t>
  </si>
  <si>
    <t>59245020</t>
  </si>
  <si>
    <t>Dlažba zámková 6 cm přírodní</t>
  </si>
  <si>
    <t>11</t>
  </si>
  <si>
    <t>Dlažba zámková relief 6 cm</t>
  </si>
  <si>
    <t>59245030</t>
  </si>
  <si>
    <t>Dlažba zámková 8 cm přírodní</t>
  </si>
  <si>
    <t>13</t>
  </si>
  <si>
    <t>59245031</t>
  </si>
  <si>
    <t>Dlažba zámková relief 8cm</t>
  </si>
  <si>
    <t>14</t>
  </si>
  <si>
    <t>596215020R00</t>
  </si>
  <si>
    <t>Kladení zámkové dlažby tl. 6 cm do drtě tl. 3 cm</t>
  </si>
  <si>
    <t>15</t>
  </si>
  <si>
    <t>596215040R00</t>
  </si>
  <si>
    <t>Kladení zámkové dlažby tl. 8 cm do drtě tl. 3 cm</t>
  </si>
  <si>
    <t>81</t>
  </si>
  <si>
    <t>Potrubí z trub betonových</t>
  </si>
  <si>
    <t>16</t>
  </si>
  <si>
    <t>811497111R00</t>
  </si>
  <si>
    <t>Propustek z trub beton., DN 600</t>
  </si>
  <si>
    <t>88</t>
  </si>
  <si>
    <t>Potrubí z drenážek</t>
  </si>
  <si>
    <t>17</t>
  </si>
  <si>
    <t>881267111R00</t>
  </si>
  <si>
    <t>Drenážní potrubí z PVC DN 100</t>
  </si>
  <si>
    <t>89</t>
  </si>
  <si>
    <t>Ostatní konstrukce</t>
  </si>
  <si>
    <t>18</t>
  </si>
  <si>
    <t>895941111R00</t>
  </si>
  <si>
    <t>Zřízení vpusti uliční z dílců typ UV - 50 normální</t>
  </si>
  <si>
    <t>kus</t>
  </si>
  <si>
    <t>19</t>
  </si>
  <si>
    <t>899203111RT2</t>
  </si>
  <si>
    <t>Osazení mříží litinových s rámem do 150 kg</t>
  </si>
  <si>
    <t>91</t>
  </si>
  <si>
    <t>Doplňující konstrukce a práce pozemních komunikací, letišť a ploch</t>
  </si>
  <si>
    <t>20</t>
  </si>
  <si>
    <t>59217504</t>
  </si>
  <si>
    <t>Obrubník Best MONO lI přírodní 100x15/12x25 cm</t>
  </si>
  <si>
    <t>21</t>
  </si>
  <si>
    <t>59217509</t>
  </si>
  <si>
    <t>Obrubník Best LINEA I přírodní 50x8x25 cm</t>
  </si>
  <si>
    <t>22</t>
  </si>
  <si>
    <t>914001111R00</t>
  </si>
  <si>
    <t>Montáž svislých dopr.značek na sloupky, konzoly</t>
  </si>
  <si>
    <t>23</t>
  </si>
  <si>
    <t>915721111R00</t>
  </si>
  <si>
    <t>Vodorovné značení střík.barvou stopčar,zeber atd.</t>
  </si>
  <si>
    <t>24</t>
  </si>
  <si>
    <t>916561111RT4</t>
  </si>
  <si>
    <t>Osazení záhon.obrubníků do lože z B 12,5 s opěrou</t>
  </si>
  <si>
    <t>25</t>
  </si>
  <si>
    <t>917832111R00</t>
  </si>
  <si>
    <t>Osazení stojat. obrub. bet. bez opěry,lože z B12,5</t>
  </si>
  <si>
    <t>26</t>
  </si>
  <si>
    <t>919511112R00</t>
  </si>
  <si>
    <t>Čela propustku z lomového kamene, krycí deska ŽB</t>
  </si>
  <si>
    <t>27</t>
  </si>
  <si>
    <t>919735113R00</t>
  </si>
  <si>
    <t>Řezání stávajícího živičného krytu tl. 10 - 15 cm</t>
  </si>
  <si>
    <t>H22</t>
  </si>
  <si>
    <t>Komunikace pozemní a letiště</t>
  </si>
  <si>
    <t>28</t>
  </si>
  <si>
    <t>998223011R00</t>
  </si>
  <si>
    <t>Přesun hmot, pozemní komunikace, kryt dlážděný</t>
  </si>
  <si>
    <t>t</t>
  </si>
  <si>
    <t>29</t>
  </si>
  <si>
    <t>998225111R00</t>
  </si>
  <si>
    <t>Přesun hmot, pozemní komunikace, kryt živičný</t>
  </si>
  <si>
    <t>Celkem: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</si>
  <si>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</si>
  <si>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</si>
  <si>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</si>
  <si>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</si>
  <si>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</si>
  <si>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</si>
  <si>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</si>
  <si>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</si>
  <si>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</si>
  <si>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</si>
  <si>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</si>
  <si>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</si>
  <si>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</si>
  <si>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</si>
  <si>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</si>
  <si>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</si>
  <si>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</si>
  <si>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</si>
  <si>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</si>
  <si>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</si>
  <si>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</si>
  <si>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</si>
  <si>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</si>
  <si>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</si>
  <si>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</si>
  <si>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</si>
  <si>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</si>
  <si>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</si>
  <si>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</si>
  <si>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</si>
  <si>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14%</t>
  </si>
  <si>
    <t>DPH 14%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</si>
  <si>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</si>
  <si>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</si>
  <si>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</si>
  <si>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</si>
  <si>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</si>
  <si>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</si>
  <si>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</si>
  <si>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</si>
  <si>
    <t>SO06-ROZVODY VO - ZMĚNA Č.1</t>
  </si>
  <si>
    <t>PŘÍPRAVA ÚZEMÍ PRO RODINNÉ DOMY</t>
  </si>
  <si>
    <t xml:space="preserve">STRUPČICE - LOKALITA III.POD TRATÍ </t>
  </si>
  <si>
    <t>1. D O D Á V K A - ROZVADĚČE</t>
  </si>
  <si>
    <t xml:space="preserve">P O P I S   P O L O Ž K Y </t>
  </si>
  <si>
    <t>ks(m)</t>
  </si>
  <si>
    <t>Kč/ks(m)</t>
  </si>
  <si>
    <t>Kč</t>
  </si>
  <si>
    <t>RVO S1+100 6xVÝVOD, 25A/3f HL.JISTIČ,40AgG POJISTKY, VČ.PODSTAVCE</t>
  </si>
  <si>
    <t>A ZÁKLADU,VYZBROJENÝ (DCK HOLOUBKOV)</t>
  </si>
  <si>
    <t xml:space="preserve">ROZVADĚČE CELKEM                                                                                               </t>
  </si>
  <si>
    <t>2. M A T E R I Á L</t>
  </si>
  <si>
    <t>ČP</t>
  </si>
  <si>
    <t>SIEMENS SITECO 5NA392 2-1 MS01 SON 70W</t>
  </si>
  <si>
    <t>Sodíková výbojka SON(T-plus) 70W</t>
  </si>
  <si>
    <t>žár. zinkovaný bezpaticový stožár s výškou světel. bodu 5m KOOPERATIVA KL 5,0-133/60</t>
  </si>
  <si>
    <t>elektrovýzbroj stožáru</t>
  </si>
  <si>
    <t>kabelová koncovka pro plastový kabel do 4x16 mm2</t>
  </si>
  <si>
    <t>CYKY 4Bx10</t>
  </si>
  <si>
    <t>CYKY 3Cx1,5</t>
  </si>
  <si>
    <t>FeZn 30/4</t>
  </si>
  <si>
    <t>SR02</t>
  </si>
  <si>
    <t>antikorózní nátěr (kg)</t>
  </si>
  <si>
    <t>chránička DVR 110</t>
  </si>
  <si>
    <t>zákrytová deska PVC T4 (1000x300mm)</t>
  </si>
  <si>
    <t xml:space="preserve">výstražná fólie </t>
  </si>
  <si>
    <t>betonový základ pro stožár do 6m</t>
  </si>
  <si>
    <t>písek (m3)</t>
  </si>
  <si>
    <t>beton (m3)</t>
  </si>
  <si>
    <t xml:space="preserve">NOSNÝ MATERIÁL </t>
  </si>
  <si>
    <t>PODRUŽNÝ MATERIÁL - 5% Z NOSNÉHO MATERIÁLU</t>
  </si>
  <si>
    <t xml:space="preserve">M A T E R I Á L  C E L K E M </t>
  </si>
  <si>
    <t>3. Z E M N Í  P R Á C E</t>
  </si>
  <si>
    <t>kabel ve volném terénu 350/900mm(výkop,zához) (m)</t>
  </si>
  <si>
    <t>kabel v komunikaci 500/1200mm(výkop, zához)</t>
  </si>
  <si>
    <t>odvoz zeminy včetně naložení do vzd.1km (m3)</t>
  </si>
  <si>
    <t>vytyčení trati</t>
  </si>
  <si>
    <t>jáma pro stožár do 6m</t>
  </si>
  <si>
    <t>jáma pro pilíř</t>
  </si>
  <si>
    <t xml:space="preserve">Z E M N Í    P R Á C E   C E L K E M  </t>
  </si>
  <si>
    <t>4. R E V I Z E , P R O T O K O L Y , M Ě Ř E N Í</t>
  </si>
  <si>
    <t>ks</t>
  </si>
  <si>
    <t>Kč/ks</t>
  </si>
  <si>
    <t xml:space="preserve">celková prohlídka a vyhotovení revizní zprávy </t>
  </si>
  <si>
    <t>5. E L E K T R O M O N T Á Ž N Í    P R Á C E</t>
  </si>
  <si>
    <t>RVO</t>
  </si>
  <si>
    <t>kabel NN</t>
  </si>
  <si>
    <t>montáž stožáru VO ocel do 6m</t>
  </si>
  <si>
    <t>montáž stožárové rozvodnice</t>
  </si>
  <si>
    <t>montáž svítidla na stožár</t>
  </si>
  <si>
    <t xml:space="preserve">montáž kabelové koncovky </t>
  </si>
  <si>
    <t>svorka uzemňovací SR02</t>
  </si>
  <si>
    <t>připojení stožáru na zemnící pásek</t>
  </si>
  <si>
    <t>ukončení vodičů do 16mm2</t>
  </si>
  <si>
    <t>výstražná folie</t>
  </si>
  <si>
    <t>zákrytová deska</t>
  </si>
  <si>
    <t>DEMONTÁŽE</t>
  </si>
  <si>
    <t>demontáž svítidla stávajícího</t>
  </si>
  <si>
    <t>demontáž stožáru stávajícího</t>
  </si>
  <si>
    <t>bourání betonového základu stávajícího</t>
  </si>
  <si>
    <t>HZS</t>
  </si>
  <si>
    <t>autojeřáb</t>
  </si>
  <si>
    <t>montážní plošina</t>
  </si>
  <si>
    <t xml:space="preserve">E L E K T R O M O N T Á Ž N Í   P R Á C E   C E L K E M  </t>
  </si>
  <si>
    <t>R E K A P I T U L A C E</t>
  </si>
  <si>
    <t>1.DODÁVKA</t>
  </si>
  <si>
    <t xml:space="preserve">2.MATERIÁL </t>
  </si>
  <si>
    <t>3.ZEMNÍ PRÁCE</t>
  </si>
  <si>
    <t>4.REVIZE,PROTOKOLY,MĚŘENÍ</t>
  </si>
  <si>
    <t>5.ELEKTROMONTÁŽNÍ PRÁCE</t>
  </si>
  <si>
    <t>C E L K E M   B E Z   D P H</t>
  </si>
  <si>
    <t>Pozn.</t>
  </si>
  <si>
    <t xml:space="preserve">Výše uvedený materiál byl vypracován při projektu pro stavební povolení pro </t>
  </si>
  <si>
    <t>orientační stanovení nákladů.</t>
  </si>
  <si>
    <t>SO.05. plynovod</t>
  </si>
  <si>
    <t>Povrchové úpravy terénu</t>
  </si>
  <si>
    <t>180402111R00</t>
  </si>
  <si>
    <t>Založení trávníku parkového výsevem v rovině</t>
  </si>
  <si>
    <t>181301112R00</t>
  </si>
  <si>
    <t>Rozprostření ornice, rovina, tl.10-15 cm,nad 500m2</t>
  </si>
  <si>
    <t>184004313R00</t>
  </si>
  <si>
    <t>Výsadba sazenic stromů do 1,5 m, jamka D 50/hl. 50</t>
  </si>
  <si>
    <t>766</t>
  </si>
  <si>
    <t>Konstrukce truhlářské</t>
  </si>
  <si>
    <t>766001026VD</t>
  </si>
  <si>
    <t>Parková lavička</t>
  </si>
  <si>
    <t>76601VD</t>
  </si>
  <si>
    <t>Vybavení dětského hřiště</t>
  </si>
  <si>
    <t>kpl</t>
  </si>
  <si>
    <t>III - pod tratí - změna č.1.</t>
  </si>
  <si>
    <t>SO.02. vodovod</t>
  </si>
  <si>
    <t>Hloubené vykopávky</t>
  </si>
  <si>
    <t>132201102R00</t>
  </si>
  <si>
    <t>Hloubení rýh šířky do 60 cm v hor.3 nad 100 m3</t>
  </si>
  <si>
    <t>132201109R00</t>
  </si>
  <si>
    <t>Příplatek za lepivost - hloubení rýh 60 cm v hor.3</t>
  </si>
  <si>
    <t>Konstrukce ze zemin</t>
  </si>
  <si>
    <t>174101101R00</t>
  </si>
  <si>
    <t>Zásyp jam, rýh, šachet se zhutněním</t>
  </si>
  <si>
    <t>451575111R00</t>
  </si>
  <si>
    <t>Podkladní vrstva tl. do 25 cm ze štěrkopísku</t>
  </si>
  <si>
    <t>451573111R00</t>
  </si>
  <si>
    <t>Obsyp potrubí pískový</t>
  </si>
  <si>
    <t>87</t>
  </si>
  <si>
    <t>Potrubí z trub z plastických hmot, skleněných a čedičových</t>
  </si>
  <si>
    <t>871161121R00</t>
  </si>
  <si>
    <t>Montáž a dodávka trubek PE 100 d 32 mm</t>
  </si>
  <si>
    <t>871181121R00</t>
  </si>
  <si>
    <t>Montáž a dodávka trubek SDR 11 d 50 mm</t>
  </si>
  <si>
    <t>871251121R00</t>
  </si>
  <si>
    <t>Montáž a dodávka trubek SDR 11, d110 mm</t>
  </si>
  <si>
    <t>891247211R00</t>
  </si>
  <si>
    <t>Montáž hydrantů nadzemních DN 80</t>
  </si>
  <si>
    <t>891241111R00</t>
  </si>
  <si>
    <t>Montáž vodovodních šoupátek ve výkopu DN 80</t>
  </si>
  <si>
    <t>892241111R00</t>
  </si>
  <si>
    <t>Tlaková zkouška vodovodního potrubí</t>
  </si>
  <si>
    <t>893111111R00</t>
  </si>
  <si>
    <t>Šachta vodoměrná ASIO AS-VODO D+M</t>
  </si>
  <si>
    <t>Výstražná folie</t>
  </si>
  <si>
    <t>891247111R00</t>
  </si>
  <si>
    <t>Montáž hydrantů podzemních DN 80</t>
  </si>
  <si>
    <t>H27</t>
  </si>
  <si>
    <t>Vedení trubní dálková a přípojná</t>
  </si>
  <si>
    <t>998276101R00</t>
  </si>
  <si>
    <t>Přesun hmot, trubní vedení plastová, otevř. výkop</t>
  </si>
  <si>
    <t>SO.03. splašková kanalizace</t>
  </si>
  <si>
    <t>III - Pod tratí - změna č.1.</t>
  </si>
  <si>
    <t>132201203R00</t>
  </si>
  <si>
    <t>Hloubení rýh šířky do 200 cm v hor.3 do 10000 m3</t>
  </si>
  <si>
    <t>132201209R00</t>
  </si>
  <si>
    <t>Příplatek za lepivost - hloubení rýh 200cm v hor.3</t>
  </si>
  <si>
    <t>Roubení</t>
  </si>
  <si>
    <t>151101102R00</t>
  </si>
  <si>
    <t>Pažení a rozepření stěn rýh - příložné - hl. do 4m</t>
  </si>
  <si>
    <t>Obsyp potrubí ze štěrkopísku</t>
  </si>
  <si>
    <t>871353121RT2</t>
  </si>
  <si>
    <t>Montáž a dodávka trub z tvrdého PVC,  DN 200</t>
  </si>
  <si>
    <t>871373121RT2</t>
  </si>
  <si>
    <t>Montáž a dodávka trub z tvrdého PVC,  DN 300</t>
  </si>
  <si>
    <t>871313121RT2</t>
  </si>
  <si>
    <t>Montáža dodávka  trub z tvrdého PVC,  DN 150</t>
  </si>
  <si>
    <t>871371111R00</t>
  </si>
  <si>
    <t>Montáž a dodávka trub z tvrdého PVC  DN 250</t>
  </si>
  <si>
    <t>894410020RAC</t>
  </si>
  <si>
    <t>Šachta z betonových dílců pro DN 300</t>
  </si>
  <si>
    <t>894432112R00</t>
  </si>
  <si>
    <t>Plastové revizní šachty prům.630mm,</t>
  </si>
  <si>
    <t>894211111R00</t>
  </si>
  <si>
    <t>Šachty z betonu revizní DN 1000</t>
  </si>
  <si>
    <t>892581111R00</t>
  </si>
  <si>
    <t>Zkouška těsnosti kanalizace DN do 300, vodou</t>
  </si>
  <si>
    <t>998271301R00</t>
  </si>
  <si>
    <t>Přesun hmot pro kanalizace betonové, otevř. výkop</t>
  </si>
  <si>
    <t>III - Pod tratí změna č.1.</t>
  </si>
  <si>
    <t>SO.04. dešťová kanalizace</t>
  </si>
  <si>
    <t>597101111R00</t>
  </si>
  <si>
    <t>Montáž odvodňovacího žlabu - vč. žlabovky</t>
  </si>
  <si>
    <t>811371111R00</t>
  </si>
  <si>
    <t>Montáž a dodávka potrubí z trub beton.  DN 300</t>
  </si>
  <si>
    <t>Montáž a dodávka trub z PP Pragma SN 8 DN 300</t>
  </si>
  <si>
    <t>871373121R00</t>
  </si>
  <si>
    <t>Montáž trub a dodávka z  PP Pragma SN 8 DN 250</t>
  </si>
  <si>
    <t>871313121R00</t>
  </si>
  <si>
    <t>Montáž a dodávka trub Pragma SN 8, DN 150</t>
  </si>
  <si>
    <t>Montáž trubek PE 100 SDR 11 ve výkopu 32 mm</t>
  </si>
  <si>
    <t>871211121R00</t>
  </si>
  <si>
    <t>Montáž trubekPE 100 SDR 11 ve výkopu 63 mm</t>
  </si>
  <si>
    <t>892573111R00</t>
  </si>
  <si>
    <t>Revize plynovodu</t>
  </si>
  <si>
    <t>sada</t>
  </si>
  <si>
    <t>893112111R00</t>
  </si>
  <si>
    <t>Pilířky s HUP</t>
  </si>
  <si>
    <t>H01</t>
  </si>
  <si>
    <t>Budovy občanské výstavby</t>
  </si>
  <si>
    <t>998011001R00</t>
  </si>
  <si>
    <t>Přesun hmot pro budovy zděné výšky do 6 m</t>
  </si>
  <si>
    <t>Celkem cena za lokalitu (s DPH 20%)</t>
  </si>
  <si>
    <t>Celkem DPH 20%</t>
  </si>
  <si>
    <t>SO.07.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</si>
</sst>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_ ;\-#,##0.00\ "/>
    <numFmt numFmtId="167" formatCode="#,##0\ &quot;Kč&quot;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24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6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44" fontId="17" fillId="0" borderId="0" xfId="38" applyFont="1" applyAlignment="1">
      <alignment/>
    </xf>
    <xf numFmtId="44" fontId="0" fillId="0" borderId="0" xfId="38" applyFont="1" applyAlignment="1">
      <alignment/>
    </xf>
    <xf numFmtId="8" fontId="0" fillId="0" borderId="0" xfId="38" applyNumberFormat="1" applyFont="1" applyAlignment="1">
      <alignment/>
    </xf>
    <xf numFmtId="44" fontId="15" fillId="0" borderId="0" xfId="38" applyFont="1" applyAlignment="1">
      <alignment/>
    </xf>
    <xf numFmtId="49" fontId="23" fillId="0" borderId="10" xfId="46" applyNumberFormat="1" applyFont="1" applyFill="1" applyBorder="1" applyAlignment="1" applyProtection="1">
      <alignment horizontal="center" vertical="center"/>
      <protection/>
    </xf>
    <xf numFmtId="0" fontId="23" fillId="0" borderId="10" xfId="46" applyNumberFormat="1" applyFont="1" applyFill="1" applyBorder="1" applyAlignment="1" applyProtection="1">
      <alignment horizontal="center" vertical="center"/>
      <protection/>
    </xf>
    <xf numFmtId="0" fontId="22" fillId="0" borderId="0" xfId="46">
      <alignment vertical="center"/>
      <protection/>
    </xf>
    <xf numFmtId="49" fontId="24" fillId="0" borderId="11" xfId="46" applyNumberFormat="1" applyFont="1" applyFill="1" applyBorder="1" applyAlignment="1" applyProtection="1">
      <alignment horizontal="left" vertical="center"/>
      <protection/>
    </xf>
    <xf numFmtId="0" fontId="24" fillId="0" borderId="12" xfId="46" applyNumberFormat="1" applyFont="1" applyFill="1" applyBorder="1" applyAlignment="1" applyProtection="1">
      <alignment horizontal="left" vertical="center"/>
      <protection/>
    </xf>
    <xf numFmtId="49" fontId="25" fillId="0" borderId="12" xfId="46" applyNumberFormat="1" applyFont="1" applyFill="1" applyBorder="1" applyAlignment="1" applyProtection="1">
      <alignment horizontal="left" vertical="center"/>
      <protection/>
    </xf>
    <xf numFmtId="49" fontId="24" fillId="0" borderId="12" xfId="46" applyNumberFormat="1" applyFont="1" applyFill="1" applyBorder="1" applyAlignment="1" applyProtection="1">
      <alignment horizontal="left" vertical="center"/>
      <protection/>
    </xf>
    <xf numFmtId="0" fontId="24" fillId="0" borderId="13" xfId="46" applyNumberFormat="1" applyFont="1" applyFill="1" applyBorder="1" applyAlignment="1" applyProtection="1">
      <alignment horizontal="left" vertical="center"/>
      <protection/>
    </xf>
    <xf numFmtId="0" fontId="22" fillId="0" borderId="14" xfId="46" applyNumberFormat="1" applyFont="1" applyFill="1" applyBorder="1" applyAlignment="1" applyProtection="1">
      <alignment vertical="center"/>
      <protection/>
    </xf>
    <xf numFmtId="0" fontId="24" fillId="0" borderId="14" xfId="46" applyNumberFormat="1" applyFont="1" applyFill="1" applyBorder="1" applyAlignment="1" applyProtection="1">
      <alignment horizontal="left" vertical="center"/>
      <protection/>
    </xf>
    <xf numFmtId="0" fontId="24" fillId="0" borderId="0" xfId="46" applyNumberFormat="1" applyFont="1" applyFill="1" applyBorder="1" applyAlignment="1" applyProtection="1">
      <alignment horizontal="left" vertical="center"/>
      <protection/>
    </xf>
    <xf numFmtId="0" fontId="25" fillId="0" borderId="0" xfId="46" applyNumberFormat="1" applyFont="1" applyFill="1" applyBorder="1" applyAlignment="1" applyProtection="1">
      <alignment horizontal="left" vertical="center"/>
      <protection/>
    </xf>
    <xf numFmtId="0" fontId="24" fillId="0" borderId="15" xfId="46" applyNumberFormat="1" applyFont="1" applyFill="1" applyBorder="1" applyAlignment="1" applyProtection="1">
      <alignment horizontal="left" vertical="center"/>
      <protection/>
    </xf>
    <xf numFmtId="49" fontId="24" fillId="0" borderId="14" xfId="46" applyNumberFormat="1" applyFont="1" applyFill="1" applyBorder="1" applyAlignment="1" applyProtection="1">
      <alignment horizontal="left" vertical="center"/>
      <protection/>
    </xf>
    <xf numFmtId="49" fontId="24" fillId="0" borderId="0" xfId="46" applyNumberFormat="1" applyFont="1" applyFill="1" applyBorder="1" applyAlignment="1" applyProtection="1">
      <alignment horizontal="left" vertical="center"/>
      <protection/>
    </xf>
    <xf numFmtId="14" fontId="24" fillId="0" borderId="0" xfId="46" applyNumberFormat="1" applyFont="1" applyFill="1" applyBorder="1" applyAlignment="1" applyProtection="1">
      <alignment horizontal="left" vertical="center"/>
      <protection/>
    </xf>
    <xf numFmtId="0" fontId="24" fillId="0" borderId="16" xfId="46" applyNumberFormat="1" applyFont="1" applyFill="1" applyBorder="1" applyAlignment="1" applyProtection="1">
      <alignment horizontal="left" vertical="center"/>
      <protection/>
    </xf>
    <xf numFmtId="0" fontId="24" fillId="0" borderId="17" xfId="46" applyNumberFormat="1" applyFont="1" applyFill="1" applyBorder="1" applyAlignment="1" applyProtection="1">
      <alignment horizontal="left" vertical="center"/>
      <protection/>
    </xf>
    <xf numFmtId="0" fontId="24" fillId="0" borderId="18" xfId="46" applyNumberFormat="1" applyFont="1" applyFill="1" applyBorder="1" applyAlignment="1" applyProtection="1">
      <alignment horizontal="left" vertical="center"/>
      <protection/>
    </xf>
    <xf numFmtId="49" fontId="24" fillId="0" borderId="19" xfId="46" applyNumberFormat="1" applyFont="1" applyFill="1" applyBorder="1" applyAlignment="1" applyProtection="1">
      <alignment horizontal="left" vertical="center"/>
      <protection/>
    </xf>
    <xf numFmtId="49" fontId="24" fillId="0" borderId="20" xfId="46" applyNumberFormat="1" applyFont="1" applyFill="1" applyBorder="1" applyAlignment="1" applyProtection="1">
      <alignment horizontal="left" vertical="center"/>
      <protection/>
    </xf>
    <xf numFmtId="49" fontId="25" fillId="0" borderId="21" xfId="46" applyNumberFormat="1" applyFont="1" applyFill="1" applyBorder="1" applyAlignment="1" applyProtection="1">
      <alignment horizontal="center" vertical="center"/>
      <protection/>
    </xf>
    <xf numFmtId="49" fontId="25" fillId="0" borderId="22" xfId="46" applyNumberFormat="1" applyFont="1" applyFill="1" applyBorder="1" applyAlignment="1" applyProtection="1">
      <alignment horizontal="center" vertical="center"/>
      <protection/>
    </xf>
    <xf numFmtId="0" fontId="25" fillId="0" borderId="23" xfId="46" applyNumberFormat="1" applyFont="1" applyFill="1" applyBorder="1" applyAlignment="1" applyProtection="1">
      <alignment horizontal="center" vertical="center"/>
      <protection/>
    </xf>
    <xf numFmtId="0" fontId="25" fillId="0" borderId="24" xfId="46" applyNumberFormat="1" applyFont="1" applyFill="1" applyBorder="1" applyAlignment="1" applyProtection="1">
      <alignment horizontal="center" vertical="center"/>
      <protection/>
    </xf>
    <xf numFmtId="0" fontId="22" fillId="0" borderId="25" xfId="46" applyNumberFormat="1" applyFont="1" applyFill="1" applyBorder="1" applyAlignment="1" applyProtection="1">
      <alignment vertical="center"/>
      <protection/>
    </xf>
    <xf numFmtId="49" fontId="25" fillId="0" borderId="26" xfId="46" applyNumberFormat="1" applyFont="1" applyFill="1" applyBorder="1" applyAlignment="1" applyProtection="1">
      <alignment horizontal="left" vertical="center"/>
      <protection/>
    </xf>
    <xf numFmtId="49" fontId="25" fillId="0" borderId="27" xfId="46" applyNumberFormat="1" applyFont="1" applyFill="1" applyBorder="1" applyAlignment="1" applyProtection="1">
      <alignment horizontal="left" vertical="center"/>
      <protection/>
    </xf>
    <xf numFmtId="49" fontId="25" fillId="0" borderId="27" xfId="46" applyNumberFormat="1" applyFont="1" applyFill="1" applyBorder="1" applyAlignment="1" applyProtection="1">
      <alignment horizontal="center" vertical="center"/>
      <protection/>
    </xf>
    <xf numFmtId="49" fontId="25" fillId="0" borderId="28" xfId="46" applyNumberFormat="1" applyFont="1" applyFill="1" applyBorder="1" applyAlignment="1" applyProtection="1">
      <alignment horizontal="right" vertical="center"/>
      <protection/>
    </xf>
    <xf numFmtId="49" fontId="25" fillId="0" borderId="29" xfId="46" applyNumberFormat="1" applyFont="1" applyFill="1" applyBorder="1" applyAlignment="1" applyProtection="1">
      <alignment horizontal="center" vertical="center"/>
      <protection/>
    </xf>
    <xf numFmtId="49" fontId="25" fillId="0" borderId="30" xfId="46" applyNumberFormat="1" applyFont="1" applyFill="1" applyBorder="1" applyAlignment="1" applyProtection="1">
      <alignment horizontal="center" vertical="center"/>
      <protection/>
    </xf>
    <xf numFmtId="49" fontId="25" fillId="0" borderId="31" xfId="46" applyNumberFormat="1" applyFont="1" applyFill="1" applyBorder="1" applyAlignment="1" applyProtection="1">
      <alignment horizontal="center" vertical="center"/>
      <protection/>
    </xf>
    <xf numFmtId="49" fontId="24" fillId="24" borderId="32" xfId="46" applyNumberFormat="1" applyFont="1" applyFill="1" applyBorder="1" applyAlignment="1" applyProtection="1">
      <alignment horizontal="left" vertical="center"/>
      <protection/>
    </xf>
    <xf numFmtId="49" fontId="25" fillId="24" borderId="32" xfId="46" applyNumberFormat="1" applyFont="1" applyFill="1" applyBorder="1" applyAlignment="1" applyProtection="1">
      <alignment horizontal="left" vertical="center"/>
      <protection/>
    </xf>
    <xf numFmtId="49" fontId="25" fillId="24" borderId="32" xfId="46" applyNumberFormat="1" applyFont="1" applyFill="1" applyBorder="1" applyAlignment="1" applyProtection="1">
      <alignment horizontal="left" vertical="center"/>
      <protection/>
    </xf>
    <xf numFmtId="0" fontId="25" fillId="24" borderId="32" xfId="46" applyNumberFormat="1" applyFont="1" applyFill="1" applyBorder="1" applyAlignment="1" applyProtection="1">
      <alignment horizontal="left" vertical="center"/>
      <protection/>
    </xf>
    <xf numFmtId="4" fontId="25" fillId="24" borderId="32" xfId="46" applyNumberFormat="1" applyFont="1" applyFill="1" applyBorder="1" applyAlignment="1" applyProtection="1">
      <alignment horizontal="right" vertical="center"/>
      <protection/>
    </xf>
    <xf numFmtId="49" fontId="25" fillId="24" borderId="32" xfId="46" applyNumberFormat="1" applyFont="1" applyFill="1" applyBorder="1" applyAlignment="1" applyProtection="1">
      <alignment horizontal="right" vertical="center"/>
      <protection/>
    </xf>
    <xf numFmtId="49" fontId="24" fillId="0" borderId="0" xfId="46" applyNumberFormat="1" applyFont="1" applyFill="1" applyBorder="1" applyAlignment="1" applyProtection="1">
      <alignment horizontal="left" vertical="center"/>
      <protection/>
    </xf>
    <xf numFmtId="4" fontId="24" fillId="0" borderId="0" xfId="46" applyNumberFormat="1" applyFont="1" applyFill="1" applyBorder="1" applyAlignment="1" applyProtection="1">
      <alignment horizontal="right" vertical="center"/>
      <protection/>
    </xf>
    <xf numFmtId="49" fontId="24" fillId="24" borderId="0" xfId="46" applyNumberFormat="1" applyFont="1" applyFill="1" applyBorder="1" applyAlignment="1" applyProtection="1">
      <alignment horizontal="left" vertical="center"/>
      <protection/>
    </xf>
    <xf numFmtId="49" fontId="25" fillId="24" borderId="0" xfId="46" applyNumberFormat="1" applyFont="1" applyFill="1" applyBorder="1" applyAlignment="1" applyProtection="1">
      <alignment horizontal="left" vertical="center"/>
      <protection/>
    </xf>
    <xf numFmtId="49" fontId="25" fillId="24" borderId="0" xfId="46" applyNumberFormat="1" applyFont="1" applyFill="1" applyBorder="1" applyAlignment="1" applyProtection="1">
      <alignment horizontal="left" vertical="center"/>
      <protection/>
    </xf>
    <xf numFmtId="0" fontId="25" fillId="24" borderId="0" xfId="46" applyNumberFormat="1" applyFont="1" applyFill="1" applyBorder="1" applyAlignment="1" applyProtection="1">
      <alignment horizontal="left" vertical="center"/>
      <protection/>
    </xf>
    <xf numFmtId="4" fontId="25" fillId="24" borderId="0" xfId="46" applyNumberFormat="1" applyFont="1" applyFill="1" applyBorder="1" applyAlignment="1" applyProtection="1">
      <alignment horizontal="right" vertical="center"/>
      <protection/>
    </xf>
    <xf numFmtId="49" fontId="25" fillId="24" borderId="0" xfId="46" applyNumberFormat="1" applyFont="1" applyFill="1" applyBorder="1" applyAlignment="1" applyProtection="1">
      <alignment horizontal="right" vertical="center"/>
      <protection/>
    </xf>
    <xf numFmtId="49" fontId="24" fillId="0" borderId="10" xfId="46" applyNumberFormat="1" applyFont="1" applyFill="1" applyBorder="1" applyAlignment="1" applyProtection="1">
      <alignment horizontal="left" vertical="center"/>
      <protection/>
    </xf>
    <xf numFmtId="4" fontId="24" fillId="0" borderId="10" xfId="46" applyNumberFormat="1" applyFont="1" applyFill="1" applyBorder="1" applyAlignment="1" applyProtection="1">
      <alignment horizontal="right" vertical="center"/>
      <protection/>
    </xf>
    <xf numFmtId="0" fontId="24" fillId="0" borderId="12" xfId="46" applyNumberFormat="1" applyFont="1" applyFill="1" applyBorder="1" applyAlignment="1" applyProtection="1">
      <alignment vertical="center"/>
      <protection/>
    </xf>
    <xf numFmtId="0" fontId="25" fillId="0" borderId="12" xfId="46" applyNumberFormat="1" applyFont="1" applyFill="1" applyBorder="1" applyAlignment="1" applyProtection="1">
      <alignment horizontal="left" vertical="center"/>
      <protection/>
    </xf>
    <xf numFmtId="4" fontId="25" fillId="0" borderId="12" xfId="46" applyNumberFormat="1" applyFont="1" applyFill="1" applyBorder="1" applyAlignment="1" applyProtection="1">
      <alignment horizontal="right" vertical="center"/>
      <protection/>
    </xf>
    <xf numFmtId="0" fontId="24" fillId="0" borderId="0" xfId="46" applyFont="1">
      <alignment vertical="center"/>
      <protection/>
    </xf>
    <xf numFmtId="49" fontId="26" fillId="0" borderId="10" xfId="46" applyNumberFormat="1" applyFont="1" applyFill="1" applyBorder="1" applyAlignment="1" applyProtection="1">
      <alignment horizontal="center" vertical="center"/>
      <protection/>
    </xf>
    <xf numFmtId="0" fontId="26" fillId="0" borderId="10" xfId="46" applyNumberFormat="1" applyFont="1" applyFill="1" applyBorder="1" applyAlignment="1" applyProtection="1">
      <alignment horizontal="center" vertical="center"/>
      <protection/>
    </xf>
    <xf numFmtId="49" fontId="22" fillId="0" borderId="11" xfId="46" applyNumberFormat="1" applyFont="1" applyFill="1" applyBorder="1" applyAlignment="1" applyProtection="1">
      <alignment horizontal="left" vertical="center"/>
      <protection/>
    </xf>
    <xf numFmtId="0" fontId="22" fillId="0" borderId="12" xfId="46" applyNumberFormat="1" applyFont="1" applyFill="1" applyBorder="1" applyAlignment="1" applyProtection="1">
      <alignment horizontal="left" vertical="center"/>
      <protection/>
    </xf>
    <xf numFmtId="49" fontId="27" fillId="0" borderId="12" xfId="46" applyNumberFormat="1" applyFont="1" applyFill="1" applyBorder="1" applyAlignment="1" applyProtection="1">
      <alignment horizontal="left" vertical="center"/>
      <protection/>
    </xf>
    <xf numFmtId="0" fontId="27" fillId="0" borderId="12" xfId="46" applyNumberFormat="1" applyFont="1" applyFill="1" applyBorder="1" applyAlignment="1" applyProtection="1">
      <alignment horizontal="left" vertical="center"/>
      <protection/>
    </xf>
    <xf numFmtId="49" fontId="22" fillId="0" borderId="12" xfId="46" applyNumberFormat="1" applyFont="1" applyFill="1" applyBorder="1" applyAlignment="1" applyProtection="1">
      <alignment horizontal="left" vertical="center"/>
      <protection/>
    </xf>
    <xf numFmtId="49" fontId="22" fillId="0" borderId="13" xfId="46" applyNumberFormat="1" applyFont="1" applyFill="1" applyBorder="1" applyAlignment="1" applyProtection="1">
      <alignment horizontal="left" vertical="center"/>
      <protection/>
    </xf>
    <xf numFmtId="0" fontId="22" fillId="0" borderId="14" xfId="46" applyNumberFormat="1" applyFont="1" applyFill="1" applyBorder="1" applyAlignment="1" applyProtection="1">
      <alignment horizontal="left" vertical="center"/>
      <protection/>
    </xf>
    <xf numFmtId="0" fontId="22" fillId="0" borderId="0" xfId="46" applyNumberFormat="1" applyFont="1" applyFill="1" applyBorder="1" applyAlignment="1" applyProtection="1">
      <alignment horizontal="left" vertical="center"/>
      <protection/>
    </xf>
    <xf numFmtId="0" fontId="27" fillId="0" borderId="0" xfId="46" applyNumberFormat="1" applyFont="1" applyFill="1" applyBorder="1" applyAlignment="1" applyProtection="1">
      <alignment horizontal="left" vertical="center"/>
      <protection/>
    </xf>
    <xf numFmtId="0" fontId="22" fillId="0" borderId="15" xfId="46" applyNumberFormat="1" applyFont="1" applyFill="1" applyBorder="1" applyAlignment="1" applyProtection="1">
      <alignment horizontal="left" vertical="center"/>
      <protection/>
    </xf>
    <xf numFmtId="49" fontId="22" fillId="0" borderId="14" xfId="46" applyNumberFormat="1" applyFont="1" applyFill="1" applyBorder="1" applyAlignment="1" applyProtection="1">
      <alignment horizontal="left" vertical="center"/>
      <protection/>
    </xf>
    <xf numFmtId="49" fontId="22" fillId="0" borderId="0" xfId="46" applyNumberFormat="1" applyFont="1" applyFill="1" applyBorder="1" applyAlignment="1" applyProtection="1">
      <alignment horizontal="left" vertical="center"/>
      <protection/>
    </xf>
    <xf numFmtId="49" fontId="22" fillId="0" borderId="15" xfId="46" applyNumberFormat="1" applyFont="1" applyFill="1" applyBorder="1" applyAlignment="1" applyProtection="1">
      <alignment horizontal="left" vertical="center"/>
      <protection/>
    </xf>
    <xf numFmtId="14" fontId="22" fillId="0" borderId="0" xfId="46" applyNumberFormat="1" applyFont="1" applyFill="1" applyBorder="1" applyAlignment="1" applyProtection="1">
      <alignment horizontal="left" vertical="center"/>
      <protection/>
    </xf>
    <xf numFmtId="14" fontId="22" fillId="0" borderId="15" xfId="46" applyNumberFormat="1" applyFont="1" applyFill="1" applyBorder="1" applyAlignment="1" applyProtection="1">
      <alignment horizontal="left" vertical="center"/>
      <protection/>
    </xf>
    <xf numFmtId="0" fontId="22" fillId="0" borderId="33" xfId="46" applyNumberFormat="1" applyFont="1" applyFill="1" applyBorder="1" applyAlignment="1" applyProtection="1">
      <alignment horizontal="left" vertical="center"/>
      <protection/>
    </xf>
    <xf numFmtId="0" fontId="22" fillId="0" borderId="10" xfId="46" applyNumberFormat="1" applyFont="1" applyFill="1" applyBorder="1" applyAlignment="1" applyProtection="1">
      <alignment horizontal="left" vertical="center"/>
      <protection/>
    </xf>
    <xf numFmtId="0" fontId="22" fillId="0" borderId="34" xfId="46" applyNumberFormat="1" applyFont="1" applyFill="1" applyBorder="1" applyAlignment="1" applyProtection="1">
      <alignment horizontal="left" vertical="center"/>
      <protection/>
    </xf>
    <xf numFmtId="49" fontId="28" fillId="0" borderId="35" xfId="46" applyNumberFormat="1" applyFont="1" applyFill="1" applyBorder="1" applyAlignment="1" applyProtection="1">
      <alignment horizontal="center" vertical="center"/>
      <protection/>
    </xf>
    <xf numFmtId="0" fontId="28" fillId="0" borderId="35" xfId="46" applyNumberFormat="1" applyFont="1" applyFill="1" applyBorder="1" applyAlignment="1" applyProtection="1">
      <alignment horizontal="center" vertical="center"/>
      <protection/>
    </xf>
    <xf numFmtId="49" fontId="29" fillId="24" borderId="36" xfId="46" applyNumberFormat="1" applyFont="1" applyFill="1" applyBorder="1" applyAlignment="1" applyProtection="1">
      <alignment horizontal="center" vertical="center"/>
      <protection/>
    </xf>
    <xf numFmtId="49" fontId="30" fillId="0" borderId="37" xfId="46" applyNumberFormat="1" applyFont="1" applyFill="1" applyBorder="1" applyAlignment="1" applyProtection="1">
      <alignment horizontal="left" vertical="center"/>
      <protection/>
    </xf>
    <xf numFmtId="0" fontId="30" fillId="0" borderId="38" xfId="46" applyNumberFormat="1" applyFont="1" applyFill="1" applyBorder="1" applyAlignment="1" applyProtection="1">
      <alignment horizontal="left" vertical="center"/>
      <protection/>
    </xf>
    <xf numFmtId="49" fontId="31" fillId="0" borderId="39" xfId="46" applyNumberFormat="1" applyFont="1" applyFill="1" applyBorder="1" applyAlignment="1" applyProtection="1">
      <alignment horizontal="left" vertical="center"/>
      <protection/>
    </xf>
    <xf numFmtId="49" fontId="32" fillId="0" borderId="36" xfId="46" applyNumberFormat="1" applyFont="1" applyFill="1" applyBorder="1" applyAlignment="1" applyProtection="1">
      <alignment horizontal="left" vertical="center"/>
      <protection/>
    </xf>
    <xf numFmtId="4" fontId="32" fillId="0" borderId="36" xfId="46" applyNumberFormat="1" applyFont="1" applyFill="1" applyBorder="1" applyAlignment="1" applyProtection="1">
      <alignment horizontal="right" vertical="center"/>
      <protection/>
    </xf>
    <xf numFmtId="49" fontId="32" fillId="0" borderId="37" xfId="46" applyNumberFormat="1" applyFont="1" applyFill="1" applyBorder="1" applyAlignment="1" applyProtection="1">
      <alignment horizontal="left" vertical="center"/>
      <protection/>
    </xf>
    <xf numFmtId="0" fontId="32" fillId="0" borderId="38" xfId="46" applyNumberFormat="1" applyFont="1" applyFill="1" applyBorder="1" applyAlignment="1" applyProtection="1">
      <alignment horizontal="left" vertical="center"/>
      <protection/>
    </xf>
    <xf numFmtId="49" fontId="31" fillId="0" borderId="40" xfId="46" applyNumberFormat="1" applyFont="1" applyFill="1" applyBorder="1" applyAlignment="1" applyProtection="1">
      <alignment horizontal="left" vertical="center"/>
      <protection/>
    </xf>
    <xf numFmtId="49" fontId="32" fillId="0" borderId="36" xfId="46" applyNumberFormat="1" applyFont="1" applyFill="1" applyBorder="1" applyAlignment="1" applyProtection="1">
      <alignment horizontal="right" vertical="center"/>
      <protection/>
    </xf>
    <xf numFmtId="49" fontId="31" fillId="0" borderId="37" xfId="46" applyNumberFormat="1" applyFont="1" applyFill="1" applyBorder="1" applyAlignment="1" applyProtection="1">
      <alignment horizontal="left" vertical="center"/>
      <protection/>
    </xf>
    <xf numFmtId="0" fontId="31" fillId="0" borderId="38" xfId="46" applyNumberFormat="1" applyFont="1" applyFill="1" applyBorder="1" applyAlignment="1" applyProtection="1">
      <alignment horizontal="left" vertical="center"/>
      <protection/>
    </xf>
    <xf numFmtId="0" fontId="22" fillId="0" borderId="35" xfId="46" applyNumberFormat="1" applyFont="1" applyFill="1" applyBorder="1" applyAlignment="1" applyProtection="1">
      <alignment vertical="center"/>
      <protection/>
    </xf>
    <xf numFmtId="0" fontId="22" fillId="0" borderId="12" xfId="46" applyNumberFormat="1" applyFont="1" applyFill="1" applyBorder="1" applyAlignment="1" applyProtection="1">
      <alignment vertical="center"/>
      <protection/>
    </xf>
    <xf numFmtId="49" fontId="31" fillId="24" borderId="37" xfId="46" applyNumberFormat="1" applyFont="1" applyFill="1" applyBorder="1" applyAlignment="1" applyProtection="1">
      <alignment horizontal="left" vertical="center"/>
      <protection/>
    </xf>
    <xf numFmtId="0" fontId="31" fillId="24" borderId="35" xfId="46" applyNumberFormat="1" applyFont="1" applyFill="1" applyBorder="1" applyAlignment="1" applyProtection="1">
      <alignment horizontal="left" vertical="center"/>
      <protection/>
    </xf>
    <xf numFmtId="4" fontId="31" fillId="24" borderId="38" xfId="46" applyNumberFormat="1" applyFont="1" applyFill="1" applyBorder="1" applyAlignment="1" applyProtection="1">
      <alignment horizontal="right" vertical="center"/>
      <protection/>
    </xf>
    <xf numFmtId="0" fontId="22" fillId="0" borderId="33" xfId="46" applyNumberFormat="1" applyFont="1" applyFill="1" applyBorder="1" applyAlignment="1" applyProtection="1">
      <alignment vertical="center"/>
      <protection/>
    </xf>
    <xf numFmtId="0" fontId="22" fillId="0" borderId="10" xfId="46" applyNumberFormat="1" applyFont="1" applyFill="1" applyBorder="1" applyAlignment="1" applyProtection="1">
      <alignment vertical="center"/>
      <protection/>
    </xf>
    <xf numFmtId="0" fontId="22" fillId="0" borderId="41" xfId="46" applyNumberFormat="1" applyFont="1" applyFill="1" applyBorder="1" applyAlignment="1" applyProtection="1">
      <alignment vertical="center"/>
      <protection/>
    </xf>
    <xf numFmtId="49" fontId="32" fillId="0" borderId="42" xfId="46" applyNumberFormat="1" applyFont="1" applyFill="1" applyBorder="1" applyAlignment="1" applyProtection="1">
      <alignment horizontal="left" vertical="center"/>
      <protection/>
    </xf>
    <xf numFmtId="0" fontId="32" fillId="0" borderId="32" xfId="46" applyNumberFormat="1" applyFont="1" applyFill="1" applyBorder="1" applyAlignment="1" applyProtection="1">
      <alignment horizontal="left" vertical="center"/>
      <protection/>
    </xf>
    <xf numFmtId="0" fontId="32" fillId="0" borderId="43" xfId="46" applyNumberFormat="1" applyFont="1" applyFill="1" applyBorder="1" applyAlignment="1" applyProtection="1">
      <alignment horizontal="left" vertical="center"/>
      <protection/>
    </xf>
    <xf numFmtId="49" fontId="32" fillId="0" borderId="25" xfId="46" applyNumberFormat="1" applyFont="1" applyFill="1" applyBorder="1" applyAlignment="1" applyProtection="1">
      <alignment horizontal="left" vertical="center"/>
      <protection/>
    </xf>
    <xf numFmtId="0" fontId="32" fillId="0" borderId="0" xfId="46" applyNumberFormat="1" applyFont="1" applyFill="1" applyBorder="1" applyAlignment="1" applyProtection="1">
      <alignment horizontal="left" vertical="center"/>
      <protection/>
    </xf>
    <xf numFmtId="0" fontId="32" fillId="0" borderId="44" xfId="46" applyNumberFormat="1" applyFont="1" applyFill="1" applyBorder="1" applyAlignment="1" applyProtection="1">
      <alignment horizontal="left" vertical="center"/>
      <protection/>
    </xf>
    <xf numFmtId="49" fontId="32" fillId="0" borderId="45" xfId="46" applyNumberFormat="1" applyFont="1" applyFill="1" applyBorder="1" applyAlignment="1" applyProtection="1">
      <alignment horizontal="left" vertical="center"/>
      <protection/>
    </xf>
    <xf numFmtId="0" fontId="32" fillId="0" borderId="17" xfId="46" applyNumberFormat="1" applyFont="1" applyFill="1" applyBorder="1" applyAlignment="1" applyProtection="1">
      <alignment horizontal="left" vertical="center"/>
      <protection/>
    </xf>
    <xf numFmtId="0" fontId="32" fillId="0" borderId="46" xfId="46" applyNumberFormat="1" applyFont="1" applyFill="1" applyBorder="1" applyAlignment="1" applyProtection="1">
      <alignment horizontal="left" vertical="center"/>
      <protection/>
    </xf>
    <xf numFmtId="0" fontId="22" fillId="0" borderId="32" xfId="46" applyNumberFormat="1" applyFont="1" applyFill="1" applyBorder="1" applyAlignment="1" applyProtection="1">
      <alignment vertical="center"/>
      <protection/>
    </xf>
    <xf numFmtId="0" fontId="33" fillId="25" borderId="47" xfId="47" applyFont="1" applyFill="1" applyBorder="1" applyAlignment="1">
      <alignment/>
      <protection/>
    </xf>
    <xf numFmtId="0" fontId="21" fillId="25" borderId="48" xfId="47" applyFill="1" applyBorder="1" applyAlignment="1">
      <alignment/>
      <protection/>
    </xf>
    <xf numFmtId="0" fontId="21" fillId="25" borderId="48" xfId="47" applyFill="1" applyBorder="1">
      <alignment/>
      <protection/>
    </xf>
    <xf numFmtId="0" fontId="21" fillId="25" borderId="49" xfId="47" applyFill="1" applyBorder="1">
      <alignment/>
      <protection/>
    </xf>
    <xf numFmtId="0" fontId="21" fillId="0" borderId="0" xfId="47" applyBorder="1">
      <alignment/>
      <protection/>
    </xf>
    <xf numFmtId="0" fontId="21" fillId="0" borderId="0" xfId="47">
      <alignment/>
      <protection/>
    </xf>
    <xf numFmtId="0" fontId="34" fillId="25" borderId="47" xfId="47" applyFont="1" applyFill="1" applyBorder="1" applyAlignment="1">
      <alignment/>
      <protection/>
    </xf>
    <xf numFmtId="0" fontId="35" fillId="25" borderId="48" xfId="47" applyFont="1" applyFill="1" applyBorder="1" applyAlignment="1">
      <alignment/>
      <protection/>
    </xf>
    <xf numFmtId="0" fontId="21" fillId="0" borderId="0" xfId="47" applyFill="1" applyBorder="1">
      <alignment/>
      <protection/>
    </xf>
    <xf numFmtId="0" fontId="36" fillId="7" borderId="47" xfId="47" applyFont="1" applyFill="1" applyBorder="1" applyAlignment="1">
      <alignment/>
      <protection/>
    </xf>
    <xf numFmtId="0" fontId="21" fillId="0" borderId="49" xfId="47" applyBorder="1" applyAlignment="1">
      <alignment/>
      <protection/>
    </xf>
    <xf numFmtId="0" fontId="37" fillId="0" borderId="0" xfId="47" applyFont="1" applyFill="1" applyBorder="1">
      <alignment/>
      <protection/>
    </xf>
    <xf numFmtId="0" fontId="37" fillId="0" borderId="0" xfId="47" applyFont="1" applyBorder="1">
      <alignment/>
      <protection/>
    </xf>
    <xf numFmtId="0" fontId="36" fillId="0" borderId="0" xfId="47" applyFont="1" applyFill="1" applyBorder="1" applyAlignment="1">
      <alignment/>
      <protection/>
    </xf>
    <xf numFmtId="0" fontId="21" fillId="0" borderId="0" xfId="47" applyFill="1" applyBorder="1" applyAlignment="1">
      <alignment/>
      <protection/>
    </xf>
    <xf numFmtId="43" fontId="36" fillId="17" borderId="50" xfId="47" applyNumberFormat="1" applyFont="1" applyFill="1" applyBorder="1" applyAlignment="1">
      <alignment horizontal="center"/>
      <protection/>
    </xf>
    <xf numFmtId="0" fontId="36" fillId="17" borderId="50" xfId="47" applyNumberFormat="1" applyFont="1" applyFill="1" applyBorder="1" applyAlignment="1">
      <alignment horizontal="center"/>
      <protection/>
    </xf>
    <xf numFmtId="2" fontId="36" fillId="17" borderId="50" xfId="47" applyNumberFormat="1" applyFont="1" applyFill="1" applyBorder="1" applyAlignment="1">
      <alignment horizontal="center" vertical="center"/>
      <protection/>
    </xf>
    <xf numFmtId="0" fontId="37" fillId="0" borderId="36" xfId="47" applyNumberFormat="1" applyFont="1" applyBorder="1" applyAlignment="1">
      <alignment/>
      <protection/>
    </xf>
    <xf numFmtId="0" fontId="37" fillId="0" borderId="36" xfId="47" applyNumberFormat="1" applyFont="1" applyBorder="1" applyAlignment="1">
      <alignment horizontal="center"/>
      <protection/>
    </xf>
    <xf numFmtId="4" fontId="38" fillId="0" borderId="0" xfId="47" applyNumberFormat="1" applyFont="1" applyBorder="1" applyAlignment="1">
      <alignment vertical="center"/>
      <protection/>
    </xf>
    <xf numFmtId="4" fontId="38" fillId="0" borderId="36" xfId="47" applyNumberFormat="1" applyFont="1" applyBorder="1" applyAlignment="1">
      <alignment vertical="center"/>
      <protection/>
    </xf>
    <xf numFmtId="0" fontId="36" fillId="17" borderId="51" xfId="47" applyFont="1" applyFill="1" applyBorder="1">
      <alignment/>
      <protection/>
    </xf>
    <xf numFmtId="0" fontId="36" fillId="17" borderId="52" xfId="47" applyFont="1" applyFill="1" applyBorder="1">
      <alignment/>
      <protection/>
    </xf>
    <xf numFmtId="4" fontId="36" fillId="17" borderId="53" xfId="47" applyNumberFormat="1" applyFont="1" applyFill="1" applyBorder="1">
      <alignment/>
      <protection/>
    </xf>
    <xf numFmtId="0" fontId="21" fillId="0" borderId="0" xfId="47" applyNumberFormat="1">
      <alignment/>
      <protection/>
    </xf>
    <xf numFmtId="0" fontId="38" fillId="17" borderId="36" xfId="47" applyNumberFormat="1" applyFont="1" applyFill="1" applyBorder="1" applyAlignment="1">
      <alignment horizontal="center"/>
      <protection/>
    </xf>
    <xf numFmtId="43" fontId="38" fillId="17" borderId="36" xfId="47" applyNumberFormat="1" applyFont="1" applyFill="1" applyBorder="1" applyAlignment="1">
      <alignment horizontal="center"/>
      <protection/>
    </xf>
    <xf numFmtId="2" fontId="38" fillId="17" borderId="36" xfId="47" applyNumberFormat="1" applyFont="1" applyFill="1" applyBorder="1" applyAlignment="1">
      <alignment horizontal="center" vertical="center"/>
      <protection/>
    </xf>
    <xf numFmtId="0" fontId="38" fillId="0" borderId="0" xfId="47" applyFont="1" applyBorder="1">
      <alignment/>
      <protection/>
    </xf>
    <xf numFmtId="166" fontId="39" fillId="0" borderId="54" xfId="47" applyNumberFormat="1" applyFont="1" applyBorder="1">
      <alignment/>
      <protection/>
    </xf>
    <xf numFmtId="0" fontId="37" fillId="0" borderId="0" xfId="47" applyNumberFormat="1" applyFont="1" applyBorder="1">
      <alignment/>
      <protection/>
    </xf>
    <xf numFmtId="43" fontId="38" fillId="0" borderId="36" xfId="47" applyNumberFormat="1" applyFont="1" applyBorder="1">
      <alignment/>
      <protection/>
    </xf>
    <xf numFmtId="0" fontId="38" fillId="0" borderId="36" xfId="47" applyNumberFormat="1" applyFont="1" applyBorder="1" applyAlignment="1">
      <alignment horizontal="center"/>
      <protection/>
    </xf>
    <xf numFmtId="43" fontId="38" fillId="25" borderId="36" xfId="47" applyNumberFormat="1" applyFont="1" applyFill="1" applyBorder="1">
      <alignment/>
      <protection/>
    </xf>
    <xf numFmtId="0" fontId="36" fillId="0" borderId="55" xfId="47" applyFont="1" applyBorder="1">
      <alignment/>
      <protection/>
    </xf>
    <xf numFmtId="0" fontId="37" fillId="0" borderId="56" xfId="47" applyFont="1" applyBorder="1">
      <alignment/>
      <protection/>
    </xf>
    <xf numFmtId="4" fontId="37" fillId="0" borderId="50" xfId="47" applyNumberFormat="1" applyFont="1" applyBorder="1" applyAlignment="1">
      <alignment vertical="center"/>
      <protection/>
    </xf>
    <xf numFmtId="0" fontId="36" fillId="17" borderId="47" xfId="47" applyFont="1" applyFill="1" applyBorder="1">
      <alignment/>
      <protection/>
    </xf>
    <xf numFmtId="0" fontId="37" fillId="17" borderId="48" xfId="47" applyFont="1" applyFill="1" applyBorder="1">
      <alignment/>
      <protection/>
    </xf>
    <xf numFmtId="4" fontId="36" fillId="17" borderId="54" xfId="47" applyNumberFormat="1" applyFont="1" applyFill="1" applyBorder="1" applyAlignment="1">
      <alignment vertical="center"/>
      <protection/>
    </xf>
    <xf numFmtId="0" fontId="38" fillId="0" borderId="0" xfId="47" applyNumberFormat="1" applyFont="1" applyBorder="1">
      <alignment/>
      <protection/>
    </xf>
    <xf numFmtId="43" fontId="38" fillId="0" borderId="0" xfId="47" applyNumberFormat="1" applyFont="1" applyBorder="1">
      <alignment/>
      <protection/>
    </xf>
    <xf numFmtId="0" fontId="38" fillId="0" borderId="0" xfId="47" applyNumberFormat="1" applyFont="1" applyBorder="1" applyAlignment="1">
      <alignment horizontal="center"/>
      <protection/>
    </xf>
    <xf numFmtId="49" fontId="38" fillId="0" borderId="0" xfId="47" applyNumberFormat="1" applyFont="1" applyBorder="1" applyAlignment="1">
      <alignment horizontal="left"/>
      <protection/>
    </xf>
    <xf numFmtId="4" fontId="36" fillId="17" borderId="36" xfId="47" applyNumberFormat="1" applyFont="1" applyFill="1" applyBorder="1" applyAlignment="1">
      <alignment vertical="center"/>
      <protection/>
    </xf>
    <xf numFmtId="49" fontId="38" fillId="0" borderId="57" xfId="47" applyNumberFormat="1" applyFont="1" applyBorder="1" applyAlignment="1">
      <alignment horizontal="left"/>
      <protection/>
    </xf>
    <xf numFmtId="43" fontId="38" fillId="0" borderId="57" xfId="47" applyNumberFormat="1" applyFont="1" applyBorder="1">
      <alignment/>
      <protection/>
    </xf>
    <xf numFmtId="0" fontId="38" fillId="0" borderId="57" xfId="47" applyNumberFormat="1" applyFont="1" applyBorder="1" applyAlignment="1">
      <alignment horizontal="center"/>
      <protection/>
    </xf>
    <xf numFmtId="4" fontId="38" fillId="0" borderId="57" xfId="47" applyNumberFormat="1" applyFont="1" applyBorder="1" applyAlignment="1">
      <alignment vertical="center"/>
      <protection/>
    </xf>
    <xf numFmtId="0" fontId="36" fillId="7" borderId="49" xfId="47" applyFont="1" applyFill="1" applyBorder="1" applyAlignment="1">
      <alignment/>
      <protection/>
    </xf>
    <xf numFmtId="0" fontId="38" fillId="17" borderId="49" xfId="47" applyNumberFormat="1" applyFont="1" applyFill="1" applyBorder="1" applyAlignment="1">
      <alignment horizontal="center"/>
      <protection/>
    </xf>
    <xf numFmtId="0" fontId="38" fillId="0" borderId="58" xfId="47" applyNumberFormat="1" applyFont="1" applyBorder="1" applyAlignment="1">
      <alignment horizontal="center"/>
      <protection/>
    </xf>
    <xf numFmtId="4" fontId="40" fillId="0" borderId="0" xfId="47" applyNumberFormat="1" applyFont="1" applyBorder="1" applyAlignment="1">
      <alignment vertical="center"/>
      <protection/>
    </xf>
    <xf numFmtId="43" fontId="41" fillId="0" borderId="36" xfId="47" applyNumberFormat="1" applyFont="1" applyBorder="1">
      <alignment/>
      <protection/>
    </xf>
    <xf numFmtId="0" fontId="38" fillId="0" borderId="49" xfId="47" applyNumberFormat="1" applyFont="1" applyBorder="1" applyAlignment="1">
      <alignment horizontal="center"/>
      <protection/>
    </xf>
    <xf numFmtId="0" fontId="38" fillId="25" borderId="58" xfId="47" applyNumberFormat="1" applyFont="1" applyFill="1" applyBorder="1" applyAlignment="1">
      <alignment horizontal="center"/>
      <protection/>
    </xf>
    <xf numFmtId="0" fontId="36" fillId="17" borderId="36" xfId="47" applyFont="1" applyFill="1" applyBorder="1">
      <alignment/>
      <protection/>
    </xf>
    <xf numFmtId="43" fontId="38" fillId="0" borderId="36" xfId="47" applyNumberFormat="1" applyFont="1" applyFill="1" applyBorder="1">
      <alignment/>
      <protection/>
    </xf>
    <xf numFmtId="0" fontId="38" fillId="0" borderId="49" xfId="47" applyNumberFormat="1" applyFont="1" applyFill="1" applyBorder="1" applyAlignment="1">
      <alignment horizontal="center"/>
      <protection/>
    </xf>
    <xf numFmtId="0" fontId="38" fillId="0" borderId="0" xfId="47" applyFont="1" applyFill="1" applyBorder="1">
      <alignment/>
      <protection/>
    </xf>
    <xf numFmtId="4" fontId="38" fillId="0" borderId="0" xfId="47" applyNumberFormat="1" applyFont="1" applyFill="1" applyBorder="1" applyAlignment="1">
      <alignment vertical="center"/>
      <protection/>
    </xf>
    <xf numFmtId="167" fontId="36" fillId="17" borderId="36" xfId="47" applyNumberFormat="1" applyFont="1" applyFill="1" applyBorder="1" applyAlignment="1">
      <alignment vertical="center"/>
      <protection/>
    </xf>
    <xf numFmtId="43" fontId="36" fillId="0" borderId="0" xfId="47" applyNumberFormat="1" applyFont="1" applyBorder="1">
      <alignment/>
      <protection/>
    </xf>
    <xf numFmtId="43" fontId="37" fillId="0" borderId="0" xfId="47" applyNumberFormat="1" applyFont="1" applyBorder="1">
      <alignment/>
      <protection/>
    </xf>
    <xf numFmtId="49" fontId="26" fillId="0" borderId="10" xfId="47" applyNumberFormat="1" applyFont="1" applyFill="1" applyBorder="1" applyAlignment="1" applyProtection="1">
      <alignment horizontal="center" vertical="center"/>
      <protection/>
    </xf>
    <xf numFmtId="0" fontId="26" fillId="0" borderId="10" xfId="47" applyNumberFormat="1" applyFont="1" applyFill="1" applyBorder="1" applyAlignment="1" applyProtection="1">
      <alignment horizontal="center" vertical="center"/>
      <protection/>
    </xf>
    <xf numFmtId="49" fontId="22" fillId="0" borderId="11" xfId="47" applyNumberFormat="1" applyFont="1" applyFill="1" applyBorder="1" applyAlignment="1" applyProtection="1">
      <alignment horizontal="left" vertical="center"/>
      <protection/>
    </xf>
    <xf numFmtId="0" fontId="22" fillId="0" borderId="12" xfId="47" applyNumberFormat="1" applyFont="1" applyFill="1" applyBorder="1" applyAlignment="1" applyProtection="1">
      <alignment horizontal="left" vertical="center"/>
      <protection/>
    </xf>
    <xf numFmtId="49" fontId="27" fillId="0" borderId="12" xfId="47" applyNumberFormat="1" applyFont="1" applyFill="1" applyBorder="1" applyAlignment="1" applyProtection="1">
      <alignment horizontal="left" vertical="center"/>
      <protection/>
    </xf>
    <xf numFmtId="0" fontId="27" fillId="0" borderId="12" xfId="47" applyNumberFormat="1" applyFont="1" applyFill="1" applyBorder="1" applyAlignment="1" applyProtection="1">
      <alignment horizontal="left" vertical="center"/>
      <protection/>
    </xf>
    <xf numFmtId="49" fontId="22" fillId="0" borderId="12" xfId="47" applyNumberFormat="1" applyFont="1" applyFill="1" applyBorder="1" applyAlignment="1" applyProtection="1">
      <alignment horizontal="left" vertical="center"/>
      <protection/>
    </xf>
    <xf numFmtId="49" fontId="22" fillId="0" borderId="13" xfId="47" applyNumberFormat="1" applyFont="1" applyFill="1" applyBorder="1" applyAlignment="1" applyProtection="1">
      <alignment horizontal="left" vertical="center"/>
      <protection/>
    </xf>
    <xf numFmtId="0" fontId="22" fillId="0" borderId="14" xfId="47" applyNumberFormat="1" applyFont="1" applyFill="1" applyBorder="1" applyAlignment="1" applyProtection="1">
      <alignment horizontal="left" vertical="center"/>
      <protection/>
    </xf>
    <xf numFmtId="0" fontId="22" fillId="0" borderId="0" xfId="47" applyNumberFormat="1" applyFont="1" applyFill="1" applyBorder="1" applyAlignment="1" applyProtection="1">
      <alignment horizontal="left" vertical="center"/>
      <protection/>
    </xf>
    <xf numFmtId="0" fontId="27" fillId="0" borderId="0" xfId="47" applyNumberFormat="1" applyFont="1" applyFill="1" applyBorder="1" applyAlignment="1" applyProtection="1">
      <alignment horizontal="left" vertical="center"/>
      <protection/>
    </xf>
    <xf numFmtId="0" fontId="22" fillId="0" borderId="15" xfId="47" applyNumberFormat="1" applyFont="1" applyFill="1" applyBorder="1" applyAlignment="1" applyProtection="1">
      <alignment horizontal="left" vertical="center"/>
      <protection/>
    </xf>
    <xf numFmtId="49" fontId="22" fillId="0" borderId="14" xfId="47" applyNumberFormat="1" applyFont="1" applyFill="1" applyBorder="1" applyAlignment="1" applyProtection="1">
      <alignment horizontal="left" vertical="center"/>
      <protection/>
    </xf>
    <xf numFmtId="49" fontId="22" fillId="0" borderId="0" xfId="47" applyNumberFormat="1" applyFont="1" applyFill="1" applyBorder="1" applyAlignment="1" applyProtection="1">
      <alignment horizontal="left" vertical="center"/>
      <protection/>
    </xf>
    <xf numFmtId="49" fontId="22" fillId="0" borderId="15" xfId="47" applyNumberFormat="1" applyFont="1" applyFill="1" applyBorder="1" applyAlignment="1" applyProtection="1">
      <alignment horizontal="left" vertical="center"/>
      <protection/>
    </xf>
    <xf numFmtId="14" fontId="22" fillId="0" borderId="0" xfId="47" applyNumberFormat="1" applyFont="1" applyFill="1" applyBorder="1" applyAlignment="1" applyProtection="1">
      <alignment horizontal="left" vertical="center"/>
      <protection/>
    </xf>
    <xf numFmtId="14" fontId="22" fillId="0" borderId="15" xfId="47" applyNumberFormat="1" applyFont="1" applyFill="1" applyBorder="1" applyAlignment="1" applyProtection="1">
      <alignment horizontal="left" vertical="center"/>
      <protection/>
    </xf>
    <xf numFmtId="0" fontId="22" fillId="0" borderId="33" xfId="47" applyNumberFormat="1" applyFont="1" applyFill="1" applyBorder="1" applyAlignment="1" applyProtection="1">
      <alignment horizontal="left" vertical="center"/>
      <protection/>
    </xf>
    <xf numFmtId="0" fontId="22" fillId="0" borderId="10" xfId="47" applyNumberFormat="1" applyFont="1" applyFill="1" applyBorder="1" applyAlignment="1" applyProtection="1">
      <alignment horizontal="left" vertical="center"/>
      <protection/>
    </xf>
    <xf numFmtId="0" fontId="22" fillId="0" borderId="34" xfId="47" applyNumberFormat="1" applyFont="1" applyFill="1" applyBorder="1" applyAlignment="1" applyProtection="1">
      <alignment horizontal="left" vertical="center"/>
      <protection/>
    </xf>
    <xf numFmtId="49" fontId="28" fillId="0" borderId="35" xfId="47" applyNumberFormat="1" applyFont="1" applyFill="1" applyBorder="1" applyAlignment="1" applyProtection="1">
      <alignment horizontal="center" vertical="center"/>
      <protection/>
    </xf>
    <xf numFmtId="0" fontId="28" fillId="0" borderId="35" xfId="47" applyNumberFormat="1" applyFont="1" applyFill="1" applyBorder="1" applyAlignment="1" applyProtection="1">
      <alignment horizontal="center" vertical="center"/>
      <protection/>
    </xf>
    <xf numFmtId="49" fontId="29" fillId="24" borderId="36" xfId="47" applyNumberFormat="1" applyFont="1" applyFill="1" applyBorder="1" applyAlignment="1" applyProtection="1">
      <alignment horizontal="center" vertical="center"/>
      <protection/>
    </xf>
    <xf numFmtId="49" fontId="30" fillId="0" borderId="37" xfId="47" applyNumberFormat="1" applyFont="1" applyFill="1" applyBorder="1" applyAlignment="1" applyProtection="1">
      <alignment horizontal="left" vertical="center"/>
      <protection/>
    </xf>
    <xf numFmtId="0" fontId="30" fillId="0" borderId="38" xfId="47" applyNumberFormat="1" applyFont="1" applyFill="1" applyBorder="1" applyAlignment="1" applyProtection="1">
      <alignment horizontal="left" vertical="center"/>
      <protection/>
    </xf>
    <xf numFmtId="49" fontId="31" fillId="0" borderId="39" xfId="47" applyNumberFormat="1" applyFont="1" applyFill="1" applyBorder="1" applyAlignment="1" applyProtection="1">
      <alignment horizontal="left" vertical="center"/>
      <protection/>
    </xf>
    <xf numFmtId="49" fontId="32" fillId="0" borderId="36" xfId="47" applyNumberFormat="1" applyFont="1" applyFill="1" applyBorder="1" applyAlignment="1" applyProtection="1">
      <alignment horizontal="left" vertical="center"/>
      <protection/>
    </xf>
    <xf numFmtId="4" fontId="32" fillId="0" borderId="36" xfId="47" applyNumberFormat="1" applyFont="1" applyFill="1" applyBorder="1" applyAlignment="1" applyProtection="1">
      <alignment horizontal="right" vertical="center"/>
      <protection/>
    </xf>
    <xf numFmtId="49" fontId="32" fillId="0" borderId="37" xfId="47" applyNumberFormat="1" applyFont="1" applyFill="1" applyBorder="1" applyAlignment="1" applyProtection="1">
      <alignment horizontal="left" vertical="center"/>
      <protection/>
    </xf>
    <xf numFmtId="0" fontId="32" fillId="0" borderId="38" xfId="47" applyNumberFormat="1" applyFont="1" applyFill="1" applyBorder="1" applyAlignment="1" applyProtection="1">
      <alignment horizontal="left" vertical="center"/>
      <protection/>
    </xf>
    <xf numFmtId="49" fontId="31" fillId="0" borderId="40" xfId="47" applyNumberFormat="1" applyFont="1" applyFill="1" applyBorder="1" applyAlignment="1" applyProtection="1">
      <alignment horizontal="left" vertical="center"/>
      <protection/>
    </xf>
    <xf numFmtId="49" fontId="32" fillId="0" borderId="36" xfId="47" applyNumberFormat="1" applyFont="1" applyFill="1" applyBorder="1" applyAlignment="1" applyProtection="1">
      <alignment horizontal="right" vertical="center"/>
      <protection/>
    </xf>
    <xf numFmtId="49" fontId="31" fillId="0" borderId="37" xfId="47" applyNumberFormat="1" applyFont="1" applyFill="1" applyBorder="1" applyAlignment="1" applyProtection="1">
      <alignment horizontal="left" vertical="center"/>
      <protection/>
    </xf>
    <xf numFmtId="0" fontId="31" fillId="0" borderId="38" xfId="47" applyNumberFormat="1" applyFont="1" applyFill="1" applyBorder="1" applyAlignment="1" applyProtection="1">
      <alignment horizontal="left" vertical="center"/>
      <protection/>
    </xf>
    <xf numFmtId="0" fontId="22" fillId="0" borderId="35" xfId="47" applyNumberFormat="1" applyFont="1" applyFill="1" applyBorder="1" applyAlignment="1" applyProtection="1">
      <alignment vertical="center"/>
      <protection/>
    </xf>
    <xf numFmtId="0" fontId="22" fillId="0" borderId="12" xfId="47" applyNumberFormat="1" applyFont="1" applyFill="1" applyBorder="1" applyAlignment="1" applyProtection="1">
      <alignment vertical="center"/>
      <protection/>
    </xf>
    <xf numFmtId="49" fontId="31" fillId="24" borderId="37" xfId="47" applyNumberFormat="1" applyFont="1" applyFill="1" applyBorder="1" applyAlignment="1" applyProtection="1">
      <alignment horizontal="left" vertical="center"/>
      <protection/>
    </xf>
    <xf numFmtId="0" fontId="31" fillId="24" borderId="35" xfId="47" applyNumberFormat="1" applyFont="1" applyFill="1" applyBorder="1" applyAlignment="1" applyProtection="1">
      <alignment horizontal="left" vertical="center"/>
      <protection/>
    </xf>
    <xf numFmtId="4" fontId="31" fillId="24" borderId="38" xfId="47" applyNumberFormat="1" applyFont="1" applyFill="1" applyBorder="1" applyAlignment="1" applyProtection="1">
      <alignment horizontal="right" vertical="center"/>
      <protection/>
    </xf>
    <xf numFmtId="0" fontId="22" fillId="0" borderId="33" xfId="47" applyNumberFormat="1" applyFont="1" applyFill="1" applyBorder="1" applyAlignment="1" applyProtection="1">
      <alignment vertical="center"/>
      <protection/>
    </xf>
    <xf numFmtId="0" fontId="22" fillId="0" borderId="10" xfId="47" applyNumberFormat="1" applyFont="1" applyFill="1" applyBorder="1" applyAlignment="1" applyProtection="1">
      <alignment vertical="center"/>
      <protection/>
    </xf>
    <xf numFmtId="0" fontId="22" fillId="0" borderId="41" xfId="47" applyNumberFormat="1" applyFont="1" applyFill="1" applyBorder="1" applyAlignment="1" applyProtection="1">
      <alignment vertical="center"/>
      <protection/>
    </xf>
    <xf numFmtId="49" fontId="32" fillId="0" borderId="42" xfId="47" applyNumberFormat="1" applyFont="1" applyFill="1" applyBorder="1" applyAlignment="1" applyProtection="1">
      <alignment horizontal="left" vertical="center"/>
      <protection/>
    </xf>
    <xf numFmtId="0" fontId="32" fillId="0" borderId="32" xfId="47" applyNumberFormat="1" applyFont="1" applyFill="1" applyBorder="1" applyAlignment="1" applyProtection="1">
      <alignment horizontal="left" vertical="center"/>
      <protection/>
    </xf>
    <xf numFmtId="0" fontId="32" fillId="0" borderId="43" xfId="47" applyNumberFormat="1" applyFont="1" applyFill="1" applyBorder="1" applyAlignment="1" applyProtection="1">
      <alignment horizontal="left" vertical="center"/>
      <protection/>
    </xf>
    <xf numFmtId="49" fontId="32" fillId="0" borderId="25" xfId="47" applyNumberFormat="1" applyFont="1" applyFill="1" applyBorder="1" applyAlignment="1" applyProtection="1">
      <alignment horizontal="left" vertical="center"/>
      <protection/>
    </xf>
    <xf numFmtId="0" fontId="32" fillId="0" borderId="0" xfId="47" applyNumberFormat="1" applyFont="1" applyFill="1" applyBorder="1" applyAlignment="1" applyProtection="1">
      <alignment horizontal="left" vertical="center"/>
      <protection/>
    </xf>
    <xf numFmtId="0" fontId="32" fillId="0" borderId="44" xfId="47" applyNumberFormat="1" applyFont="1" applyFill="1" applyBorder="1" applyAlignment="1" applyProtection="1">
      <alignment horizontal="left" vertical="center"/>
      <protection/>
    </xf>
    <xf numFmtId="49" fontId="32" fillId="0" borderId="45" xfId="47" applyNumberFormat="1" applyFont="1" applyFill="1" applyBorder="1" applyAlignment="1" applyProtection="1">
      <alignment horizontal="left" vertical="center"/>
      <protection/>
    </xf>
    <xf numFmtId="0" fontId="32" fillId="0" borderId="17" xfId="47" applyNumberFormat="1" applyFont="1" applyFill="1" applyBorder="1" applyAlignment="1" applyProtection="1">
      <alignment horizontal="left" vertical="center"/>
      <protection/>
    </xf>
    <xf numFmtId="0" fontId="32" fillId="0" borderId="46" xfId="47" applyNumberFormat="1" applyFont="1" applyFill="1" applyBorder="1" applyAlignment="1" applyProtection="1">
      <alignment horizontal="left" vertical="center"/>
      <protection/>
    </xf>
    <xf numFmtId="49" fontId="23" fillId="0" borderId="10" xfId="48" applyNumberFormat="1" applyFont="1" applyFill="1" applyBorder="1" applyAlignment="1" applyProtection="1">
      <alignment horizontal="center" vertical="center"/>
      <protection/>
    </xf>
    <xf numFmtId="0" fontId="23" fillId="0" borderId="10" xfId="48" applyNumberFormat="1" applyFont="1" applyFill="1" applyBorder="1" applyAlignment="1" applyProtection="1">
      <alignment horizontal="center" vertical="center"/>
      <protection/>
    </xf>
    <xf numFmtId="0" fontId="22" fillId="0" borderId="0" xfId="48">
      <alignment vertical="center"/>
      <protection/>
    </xf>
    <xf numFmtId="49" fontId="24" fillId="0" borderId="11" xfId="48" applyNumberFormat="1" applyFont="1" applyFill="1" applyBorder="1" applyAlignment="1" applyProtection="1">
      <alignment horizontal="left" vertical="center"/>
      <protection/>
    </xf>
    <xf numFmtId="0" fontId="24" fillId="0" borderId="12" xfId="48" applyNumberFormat="1" applyFont="1" applyFill="1" applyBorder="1" applyAlignment="1" applyProtection="1">
      <alignment horizontal="left" vertical="center"/>
      <protection/>
    </xf>
    <xf numFmtId="49" fontId="25" fillId="0" borderId="12" xfId="48" applyNumberFormat="1" applyFont="1" applyFill="1" applyBorder="1" applyAlignment="1" applyProtection="1">
      <alignment horizontal="left" vertical="center"/>
      <protection/>
    </xf>
    <xf numFmtId="49" fontId="24" fillId="0" borderId="12" xfId="48" applyNumberFormat="1" applyFont="1" applyFill="1" applyBorder="1" applyAlignment="1" applyProtection="1">
      <alignment horizontal="left" vertical="center"/>
      <protection/>
    </xf>
    <xf numFmtId="0" fontId="24" fillId="0" borderId="13" xfId="48" applyNumberFormat="1" applyFont="1" applyFill="1" applyBorder="1" applyAlignment="1" applyProtection="1">
      <alignment horizontal="left" vertical="center"/>
      <protection/>
    </xf>
    <xf numFmtId="0" fontId="22" fillId="0" borderId="14" xfId="48" applyNumberFormat="1" applyFont="1" applyFill="1" applyBorder="1" applyAlignment="1" applyProtection="1">
      <alignment vertical="center"/>
      <protection/>
    </xf>
    <xf numFmtId="0" fontId="24" fillId="0" borderId="14" xfId="48" applyNumberFormat="1" applyFont="1" applyFill="1" applyBorder="1" applyAlignment="1" applyProtection="1">
      <alignment horizontal="left" vertical="center"/>
      <protection/>
    </xf>
    <xf numFmtId="0" fontId="24" fillId="0" borderId="0" xfId="48" applyNumberFormat="1" applyFont="1" applyFill="1" applyBorder="1" applyAlignment="1" applyProtection="1">
      <alignment horizontal="left" vertical="center"/>
      <protection/>
    </xf>
    <xf numFmtId="0" fontId="25" fillId="0" borderId="0" xfId="48" applyNumberFormat="1" applyFont="1" applyFill="1" applyBorder="1" applyAlignment="1" applyProtection="1">
      <alignment horizontal="left" vertical="center"/>
      <protection/>
    </xf>
    <xf numFmtId="0" fontId="24" fillId="0" borderId="15" xfId="48" applyNumberFormat="1" applyFont="1" applyFill="1" applyBorder="1" applyAlignment="1" applyProtection="1">
      <alignment horizontal="left" vertical="center"/>
      <protection/>
    </xf>
    <xf numFmtId="49" fontId="24" fillId="0" borderId="14" xfId="48" applyNumberFormat="1" applyFont="1" applyFill="1" applyBorder="1" applyAlignment="1" applyProtection="1">
      <alignment horizontal="left" vertical="center"/>
      <protection/>
    </xf>
    <xf numFmtId="49" fontId="24" fillId="0" borderId="0" xfId="48" applyNumberFormat="1" applyFont="1" applyFill="1" applyBorder="1" applyAlignment="1" applyProtection="1">
      <alignment horizontal="left" vertical="center"/>
      <protection/>
    </xf>
    <xf numFmtId="14" fontId="24" fillId="0" borderId="0" xfId="48" applyNumberFormat="1" applyFont="1" applyFill="1" applyBorder="1" applyAlignment="1" applyProtection="1">
      <alignment horizontal="left" vertical="center"/>
      <protection/>
    </xf>
    <xf numFmtId="0" fontId="24" fillId="0" borderId="16" xfId="48" applyNumberFormat="1" applyFont="1" applyFill="1" applyBorder="1" applyAlignment="1" applyProtection="1">
      <alignment horizontal="left" vertical="center"/>
      <protection/>
    </xf>
    <xf numFmtId="0" fontId="24" fillId="0" borderId="17" xfId="48" applyNumberFormat="1" applyFont="1" applyFill="1" applyBorder="1" applyAlignment="1" applyProtection="1">
      <alignment horizontal="left" vertical="center"/>
      <protection/>
    </xf>
    <xf numFmtId="0" fontId="24" fillId="0" borderId="18" xfId="48" applyNumberFormat="1" applyFont="1" applyFill="1" applyBorder="1" applyAlignment="1" applyProtection="1">
      <alignment horizontal="left" vertical="center"/>
      <protection/>
    </xf>
    <xf numFmtId="49" fontId="24" fillId="0" borderId="19" xfId="48" applyNumberFormat="1" applyFont="1" applyFill="1" applyBorder="1" applyAlignment="1" applyProtection="1">
      <alignment horizontal="left" vertical="center"/>
      <protection/>
    </xf>
    <xf numFmtId="49" fontId="24" fillId="0" borderId="20" xfId="48" applyNumberFormat="1" applyFont="1" applyFill="1" applyBorder="1" applyAlignment="1" applyProtection="1">
      <alignment horizontal="left" vertical="center"/>
      <protection/>
    </xf>
    <xf numFmtId="49" fontId="25" fillId="0" borderId="21" xfId="48" applyNumberFormat="1" applyFont="1" applyFill="1" applyBorder="1" applyAlignment="1" applyProtection="1">
      <alignment horizontal="center" vertical="center"/>
      <protection/>
    </xf>
    <xf numFmtId="49" fontId="25" fillId="0" borderId="22" xfId="48" applyNumberFormat="1" applyFont="1" applyFill="1" applyBorder="1" applyAlignment="1" applyProtection="1">
      <alignment horizontal="center" vertical="center"/>
      <protection/>
    </xf>
    <xf numFmtId="0" fontId="25" fillId="0" borderId="23" xfId="48" applyNumberFormat="1" applyFont="1" applyFill="1" applyBorder="1" applyAlignment="1" applyProtection="1">
      <alignment horizontal="center" vertical="center"/>
      <protection/>
    </xf>
    <xf numFmtId="0" fontId="25" fillId="0" borderId="24" xfId="48" applyNumberFormat="1" applyFont="1" applyFill="1" applyBorder="1" applyAlignment="1" applyProtection="1">
      <alignment horizontal="center" vertical="center"/>
      <protection/>
    </xf>
    <xf numFmtId="0" fontId="22" fillId="0" borderId="25" xfId="48" applyNumberFormat="1" applyFont="1" applyFill="1" applyBorder="1" applyAlignment="1" applyProtection="1">
      <alignment vertical="center"/>
      <protection/>
    </xf>
    <xf numFmtId="49" fontId="25" fillId="0" borderId="26" xfId="48" applyNumberFormat="1" applyFont="1" applyFill="1" applyBorder="1" applyAlignment="1" applyProtection="1">
      <alignment horizontal="left" vertical="center"/>
      <protection/>
    </xf>
    <xf numFmtId="49" fontId="25" fillId="0" borderId="27" xfId="48" applyNumberFormat="1" applyFont="1" applyFill="1" applyBorder="1" applyAlignment="1" applyProtection="1">
      <alignment horizontal="left" vertical="center"/>
      <protection/>
    </xf>
    <xf numFmtId="49" fontId="25" fillId="0" borderId="27" xfId="48" applyNumberFormat="1" applyFont="1" applyFill="1" applyBorder="1" applyAlignment="1" applyProtection="1">
      <alignment horizontal="center" vertical="center"/>
      <protection/>
    </xf>
    <xf numFmtId="49" fontId="25" fillId="0" borderId="28" xfId="48" applyNumberFormat="1" applyFont="1" applyFill="1" applyBorder="1" applyAlignment="1" applyProtection="1">
      <alignment horizontal="right" vertical="center"/>
      <protection/>
    </xf>
    <xf numFmtId="49" fontId="25" fillId="0" borderId="29" xfId="48" applyNumberFormat="1" applyFont="1" applyFill="1" applyBorder="1" applyAlignment="1" applyProtection="1">
      <alignment horizontal="center" vertical="center"/>
      <protection/>
    </xf>
    <xf numFmtId="49" fontId="25" fillId="0" borderId="30" xfId="48" applyNumberFormat="1" applyFont="1" applyFill="1" applyBorder="1" applyAlignment="1" applyProtection="1">
      <alignment horizontal="center" vertical="center"/>
      <protection/>
    </xf>
    <xf numFmtId="49" fontId="25" fillId="0" borderId="31" xfId="48" applyNumberFormat="1" applyFont="1" applyFill="1" applyBorder="1" applyAlignment="1" applyProtection="1">
      <alignment horizontal="center" vertical="center"/>
      <protection/>
    </xf>
    <xf numFmtId="49" fontId="24" fillId="24" borderId="32" xfId="48" applyNumberFormat="1" applyFont="1" applyFill="1" applyBorder="1" applyAlignment="1" applyProtection="1">
      <alignment horizontal="left" vertical="center"/>
      <protection/>
    </xf>
    <xf numFmtId="49" fontId="25" fillId="24" borderId="32" xfId="48" applyNumberFormat="1" applyFont="1" applyFill="1" applyBorder="1" applyAlignment="1" applyProtection="1">
      <alignment horizontal="left" vertical="center"/>
      <protection/>
    </xf>
    <xf numFmtId="49" fontId="25" fillId="24" borderId="32" xfId="48" applyNumberFormat="1" applyFont="1" applyFill="1" applyBorder="1" applyAlignment="1" applyProtection="1">
      <alignment horizontal="left" vertical="center"/>
      <protection/>
    </xf>
    <xf numFmtId="0" fontId="25" fillId="24" borderId="32" xfId="48" applyNumberFormat="1" applyFont="1" applyFill="1" applyBorder="1" applyAlignment="1" applyProtection="1">
      <alignment horizontal="left" vertical="center"/>
      <protection/>
    </xf>
    <xf numFmtId="4" fontId="25" fillId="24" borderId="32" xfId="48" applyNumberFormat="1" applyFont="1" applyFill="1" applyBorder="1" applyAlignment="1" applyProtection="1">
      <alignment horizontal="right" vertical="center"/>
      <protection/>
    </xf>
    <xf numFmtId="49" fontId="25" fillId="24" borderId="32" xfId="48" applyNumberFormat="1" applyFont="1" applyFill="1" applyBorder="1" applyAlignment="1" applyProtection="1">
      <alignment horizontal="right" vertical="center"/>
      <protection/>
    </xf>
    <xf numFmtId="49" fontId="24" fillId="0" borderId="0" xfId="48" applyNumberFormat="1" applyFont="1" applyFill="1" applyBorder="1" applyAlignment="1" applyProtection="1">
      <alignment horizontal="left" vertical="center"/>
      <protection/>
    </xf>
    <xf numFmtId="4" fontId="24" fillId="0" borderId="0" xfId="48" applyNumberFormat="1" applyFont="1" applyFill="1" applyBorder="1" applyAlignment="1" applyProtection="1">
      <alignment horizontal="right" vertical="center"/>
      <protection/>
    </xf>
    <xf numFmtId="49" fontId="24" fillId="24" borderId="0" xfId="48" applyNumberFormat="1" applyFont="1" applyFill="1" applyBorder="1" applyAlignment="1" applyProtection="1">
      <alignment horizontal="left" vertical="center"/>
      <protection/>
    </xf>
    <xf numFmtId="49" fontId="25" fillId="24" borderId="0" xfId="48" applyNumberFormat="1" applyFont="1" applyFill="1" applyBorder="1" applyAlignment="1" applyProtection="1">
      <alignment horizontal="left" vertical="center"/>
      <protection/>
    </xf>
    <xf numFmtId="49" fontId="25" fillId="24" borderId="0" xfId="48" applyNumberFormat="1" applyFont="1" applyFill="1" applyBorder="1" applyAlignment="1" applyProtection="1">
      <alignment horizontal="left" vertical="center"/>
      <protection/>
    </xf>
    <xf numFmtId="0" fontId="25" fillId="24" borderId="0" xfId="48" applyNumberFormat="1" applyFont="1" applyFill="1" applyBorder="1" applyAlignment="1" applyProtection="1">
      <alignment horizontal="left" vertical="center"/>
      <protection/>
    </xf>
    <xf numFmtId="4" fontId="25" fillId="24" borderId="0" xfId="48" applyNumberFormat="1" applyFont="1" applyFill="1" applyBorder="1" applyAlignment="1" applyProtection="1">
      <alignment horizontal="right" vertical="center"/>
      <protection/>
    </xf>
    <xf numFmtId="49" fontId="25" fillId="24" borderId="0" xfId="48" applyNumberFormat="1" applyFont="1" applyFill="1" applyBorder="1" applyAlignment="1" applyProtection="1">
      <alignment horizontal="right" vertical="center"/>
      <protection/>
    </xf>
    <xf numFmtId="49" fontId="24" fillId="0" borderId="10" xfId="48" applyNumberFormat="1" applyFont="1" applyFill="1" applyBorder="1" applyAlignment="1" applyProtection="1">
      <alignment horizontal="left" vertical="center"/>
      <protection/>
    </xf>
    <xf numFmtId="4" fontId="24" fillId="0" borderId="10" xfId="48" applyNumberFormat="1" applyFont="1" applyFill="1" applyBorder="1" applyAlignment="1" applyProtection="1">
      <alignment horizontal="right" vertical="center"/>
      <protection/>
    </xf>
    <xf numFmtId="0" fontId="24" fillId="0" borderId="12" xfId="48" applyNumberFormat="1" applyFont="1" applyFill="1" applyBorder="1" applyAlignment="1" applyProtection="1">
      <alignment vertical="center"/>
      <protection/>
    </xf>
    <xf numFmtId="0" fontId="25" fillId="0" borderId="12" xfId="48" applyNumberFormat="1" applyFont="1" applyFill="1" applyBorder="1" applyAlignment="1" applyProtection="1">
      <alignment horizontal="left" vertical="center"/>
      <protection/>
    </xf>
    <xf numFmtId="4" fontId="25" fillId="0" borderId="12" xfId="48" applyNumberFormat="1" applyFont="1" applyFill="1" applyBorder="1" applyAlignment="1" applyProtection="1">
      <alignment horizontal="right" vertical="center"/>
      <protection/>
    </xf>
    <xf numFmtId="0" fontId="24" fillId="0" borderId="0" xfId="48" applyFont="1">
      <alignment vertical="center"/>
      <protection/>
    </xf>
    <xf numFmtId="49" fontId="26" fillId="0" borderId="10" xfId="48" applyNumberFormat="1" applyFont="1" applyFill="1" applyBorder="1" applyAlignment="1" applyProtection="1">
      <alignment horizontal="center" vertical="center"/>
      <protection/>
    </xf>
    <xf numFmtId="0" fontId="26" fillId="0" borderId="10" xfId="48" applyNumberFormat="1" applyFont="1" applyFill="1" applyBorder="1" applyAlignment="1" applyProtection="1">
      <alignment horizontal="center" vertical="center"/>
      <protection/>
    </xf>
    <xf numFmtId="49" fontId="22" fillId="0" borderId="11" xfId="48" applyNumberFormat="1" applyFont="1" applyFill="1" applyBorder="1" applyAlignment="1" applyProtection="1">
      <alignment horizontal="left" vertical="center"/>
      <protection/>
    </xf>
    <xf numFmtId="0" fontId="22" fillId="0" borderId="12" xfId="48" applyNumberFormat="1" applyFont="1" applyFill="1" applyBorder="1" applyAlignment="1" applyProtection="1">
      <alignment horizontal="left" vertical="center"/>
      <protection/>
    </xf>
    <xf numFmtId="49" fontId="27" fillId="0" borderId="12" xfId="48" applyNumberFormat="1" applyFont="1" applyFill="1" applyBorder="1" applyAlignment="1" applyProtection="1">
      <alignment horizontal="left" vertical="center"/>
      <protection/>
    </xf>
    <xf numFmtId="0" fontId="27" fillId="0" borderId="12" xfId="48" applyNumberFormat="1" applyFont="1" applyFill="1" applyBorder="1" applyAlignment="1" applyProtection="1">
      <alignment horizontal="left" vertical="center"/>
      <protection/>
    </xf>
    <xf numFmtId="49" fontId="22" fillId="0" borderId="12" xfId="48" applyNumberFormat="1" applyFont="1" applyFill="1" applyBorder="1" applyAlignment="1" applyProtection="1">
      <alignment horizontal="left" vertical="center"/>
      <protection/>
    </xf>
    <xf numFmtId="49" fontId="22" fillId="0" borderId="13" xfId="48" applyNumberFormat="1" applyFont="1" applyFill="1" applyBorder="1" applyAlignment="1" applyProtection="1">
      <alignment horizontal="left" vertical="center"/>
      <protection/>
    </xf>
    <xf numFmtId="0" fontId="22" fillId="0" borderId="14" xfId="48" applyNumberFormat="1" applyFont="1" applyFill="1" applyBorder="1" applyAlignment="1" applyProtection="1">
      <alignment horizontal="left" vertical="center"/>
      <protection/>
    </xf>
    <xf numFmtId="0" fontId="22" fillId="0" borderId="0" xfId="48" applyNumberFormat="1" applyFont="1" applyFill="1" applyBorder="1" applyAlignment="1" applyProtection="1">
      <alignment horizontal="left" vertical="center"/>
      <protection/>
    </xf>
    <xf numFmtId="0" fontId="27" fillId="0" borderId="0" xfId="48" applyNumberFormat="1" applyFont="1" applyFill="1" applyBorder="1" applyAlignment="1" applyProtection="1">
      <alignment horizontal="left" vertical="center"/>
      <protection/>
    </xf>
    <xf numFmtId="0" fontId="22" fillId="0" borderId="15" xfId="48" applyNumberFormat="1" applyFont="1" applyFill="1" applyBorder="1" applyAlignment="1" applyProtection="1">
      <alignment horizontal="left" vertical="center"/>
      <protection/>
    </xf>
    <xf numFmtId="49" fontId="22" fillId="0" borderId="14" xfId="48" applyNumberFormat="1" applyFont="1" applyFill="1" applyBorder="1" applyAlignment="1" applyProtection="1">
      <alignment horizontal="left" vertical="center"/>
      <protection/>
    </xf>
    <xf numFmtId="49" fontId="22" fillId="0" borderId="0" xfId="48" applyNumberFormat="1" applyFont="1" applyFill="1" applyBorder="1" applyAlignment="1" applyProtection="1">
      <alignment horizontal="left" vertical="center"/>
      <protection/>
    </xf>
    <xf numFmtId="49" fontId="22" fillId="0" borderId="15" xfId="48" applyNumberFormat="1" applyFont="1" applyFill="1" applyBorder="1" applyAlignment="1" applyProtection="1">
      <alignment horizontal="left" vertical="center"/>
      <protection/>
    </xf>
    <xf numFmtId="14" fontId="22" fillId="0" borderId="0" xfId="48" applyNumberFormat="1" applyFont="1" applyFill="1" applyBorder="1" applyAlignment="1" applyProtection="1">
      <alignment horizontal="left" vertical="center"/>
      <protection/>
    </xf>
    <xf numFmtId="14" fontId="22" fillId="0" borderId="15" xfId="48" applyNumberFormat="1" applyFont="1" applyFill="1" applyBorder="1" applyAlignment="1" applyProtection="1">
      <alignment horizontal="left" vertical="center"/>
      <protection/>
    </xf>
    <xf numFmtId="0" fontId="22" fillId="0" borderId="33" xfId="48" applyNumberFormat="1" applyFont="1" applyFill="1" applyBorder="1" applyAlignment="1" applyProtection="1">
      <alignment horizontal="left" vertical="center"/>
      <protection/>
    </xf>
    <xf numFmtId="0" fontId="22" fillId="0" borderId="10" xfId="48" applyNumberFormat="1" applyFont="1" applyFill="1" applyBorder="1" applyAlignment="1" applyProtection="1">
      <alignment horizontal="left" vertical="center"/>
      <protection/>
    </xf>
    <xf numFmtId="0" fontId="22" fillId="0" borderId="34" xfId="48" applyNumberFormat="1" applyFont="1" applyFill="1" applyBorder="1" applyAlignment="1" applyProtection="1">
      <alignment horizontal="left" vertical="center"/>
      <protection/>
    </xf>
    <xf numFmtId="49" fontId="28" fillId="0" borderId="35" xfId="48" applyNumberFormat="1" applyFont="1" applyFill="1" applyBorder="1" applyAlignment="1" applyProtection="1">
      <alignment horizontal="center" vertical="center"/>
      <protection/>
    </xf>
    <xf numFmtId="0" fontId="28" fillId="0" borderId="35" xfId="48" applyNumberFormat="1" applyFont="1" applyFill="1" applyBorder="1" applyAlignment="1" applyProtection="1">
      <alignment horizontal="center" vertical="center"/>
      <protection/>
    </xf>
    <xf numFmtId="49" fontId="29" fillId="24" borderId="36" xfId="48" applyNumberFormat="1" applyFont="1" applyFill="1" applyBorder="1" applyAlignment="1" applyProtection="1">
      <alignment horizontal="center" vertical="center"/>
      <protection/>
    </xf>
    <xf numFmtId="49" fontId="30" fillId="0" borderId="37" xfId="48" applyNumberFormat="1" applyFont="1" applyFill="1" applyBorder="1" applyAlignment="1" applyProtection="1">
      <alignment horizontal="left" vertical="center"/>
      <protection/>
    </xf>
    <xf numFmtId="0" fontId="30" fillId="0" borderId="38" xfId="48" applyNumberFormat="1" applyFont="1" applyFill="1" applyBorder="1" applyAlignment="1" applyProtection="1">
      <alignment horizontal="left" vertical="center"/>
      <protection/>
    </xf>
    <xf numFmtId="49" fontId="31" fillId="0" borderId="39" xfId="48" applyNumberFormat="1" applyFont="1" applyFill="1" applyBorder="1" applyAlignment="1" applyProtection="1">
      <alignment horizontal="left" vertical="center"/>
      <protection/>
    </xf>
    <xf numFmtId="49" fontId="32" fillId="0" borderId="36" xfId="48" applyNumberFormat="1" applyFont="1" applyFill="1" applyBorder="1" applyAlignment="1" applyProtection="1">
      <alignment horizontal="left" vertical="center"/>
      <protection/>
    </xf>
    <xf numFmtId="4" fontId="32" fillId="0" borderId="36" xfId="48" applyNumberFormat="1" applyFont="1" applyFill="1" applyBorder="1" applyAlignment="1" applyProtection="1">
      <alignment horizontal="right" vertical="center"/>
      <protection/>
    </xf>
    <xf numFmtId="49" fontId="32" fillId="0" borderId="37" xfId="48" applyNumberFormat="1" applyFont="1" applyFill="1" applyBorder="1" applyAlignment="1" applyProtection="1">
      <alignment horizontal="left" vertical="center"/>
      <protection/>
    </xf>
    <xf numFmtId="0" fontId="32" fillId="0" borderId="38" xfId="48" applyNumberFormat="1" applyFont="1" applyFill="1" applyBorder="1" applyAlignment="1" applyProtection="1">
      <alignment horizontal="left" vertical="center"/>
      <protection/>
    </xf>
    <xf numFmtId="49" fontId="31" fillId="0" borderId="40" xfId="48" applyNumberFormat="1" applyFont="1" applyFill="1" applyBorder="1" applyAlignment="1" applyProtection="1">
      <alignment horizontal="left" vertical="center"/>
      <protection/>
    </xf>
    <xf numFmtId="49" fontId="32" fillId="0" borderId="36" xfId="48" applyNumberFormat="1" applyFont="1" applyFill="1" applyBorder="1" applyAlignment="1" applyProtection="1">
      <alignment horizontal="right" vertical="center"/>
      <protection/>
    </xf>
    <xf numFmtId="49" fontId="31" fillId="0" borderId="37" xfId="48" applyNumberFormat="1" applyFont="1" applyFill="1" applyBorder="1" applyAlignment="1" applyProtection="1">
      <alignment horizontal="left" vertical="center"/>
      <protection/>
    </xf>
    <xf numFmtId="0" fontId="31" fillId="0" borderId="38" xfId="48" applyNumberFormat="1" applyFont="1" applyFill="1" applyBorder="1" applyAlignment="1" applyProtection="1">
      <alignment horizontal="left" vertical="center"/>
      <protection/>
    </xf>
    <xf numFmtId="0" fontId="22" fillId="0" borderId="35" xfId="48" applyNumberFormat="1" applyFont="1" applyFill="1" applyBorder="1" applyAlignment="1" applyProtection="1">
      <alignment vertical="center"/>
      <protection/>
    </xf>
    <xf numFmtId="0" fontId="22" fillId="0" borderId="12" xfId="48" applyNumberFormat="1" applyFont="1" applyFill="1" applyBorder="1" applyAlignment="1" applyProtection="1">
      <alignment vertical="center"/>
      <protection/>
    </xf>
    <xf numFmtId="49" fontId="31" fillId="24" borderId="37" xfId="48" applyNumberFormat="1" applyFont="1" applyFill="1" applyBorder="1" applyAlignment="1" applyProtection="1">
      <alignment horizontal="left" vertical="center"/>
      <protection/>
    </xf>
    <xf numFmtId="0" fontId="31" fillId="24" borderId="35" xfId="48" applyNumberFormat="1" applyFont="1" applyFill="1" applyBorder="1" applyAlignment="1" applyProtection="1">
      <alignment horizontal="left" vertical="center"/>
      <protection/>
    </xf>
    <xf numFmtId="4" fontId="31" fillId="24" borderId="38" xfId="48" applyNumberFormat="1" applyFont="1" applyFill="1" applyBorder="1" applyAlignment="1" applyProtection="1">
      <alignment horizontal="right" vertical="center"/>
      <protection/>
    </xf>
    <xf numFmtId="0" fontId="22" fillId="0" borderId="33" xfId="48" applyNumberFormat="1" applyFont="1" applyFill="1" applyBorder="1" applyAlignment="1" applyProtection="1">
      <alignment vertical="center"/>
      <protection/>
    </xf>
    <xf numFmtId="0" fontId="22" fillId="0" borderId="10" xfId="48" applyNumberFormat="1" applyFont="1" applyFill="1" applyBorder="1" applyAlignment="1" applyProtection="1">
      <alignment vertical="center"/>
      <protection/>
    </xf>
    <xf numFmtId="0" fontId="22" fillId="0" borderId="41" xfId="48" applyNumberFormat="1" applyFont="1" applyFill="1" applyBorder="1" applyAlignment="1" applyProtection="1">
      <alignment vertical="center"/>
      <protection/>
    </xf>
    <xf numFmtId="49" fontId="32" fillId="0" borderId="42" xfId="48" applyNumberFormat="1" applyFont="1" applyFill="1" applyBorder="1" applyAlignment="1" applyProtection="1">
      <alignment horizontal="left" vertical="center"/>
      <protection/>
    </xf>
    <xf numFmtId="0" fontId="32" fillId="0" borderId="32" xfId="48" applyNumberFormat="1" applyFont="1" applyFill="1" applyBorder="1" applyAlignment="1" applyProtection="1">
      <alignment horizontal="left" vertical="center"/>
      <protection/>
    </xf>
    <xf numFmtId="0" fontId="32" fillId="0" borderId="43" xfId="48" applyNumberFormat="1" applyFont="1" applyFill="1" applyBorder="1" applyAlignment="1" applyProtection="1">
      <alignment horizontal="left" vertical="center"/>
      <protection/>
    </xf>
    <xf numFmtId="49" fontId="32" fillId="0" borderId="25" xfId="48" applyNumberFormat="1" applyFont="1" applyFill="1" applyBorder="1" applyAlignment="1" applyProtection="1">
      <alignment horizontal="left" vertical="center"/>
      <protection/>
    </xf>
    <xf numFmtId="0" fontId="32" fillId="0" borderId="0" xfId="48" applyNumberFormat="1" applyFont="1" applyFill="1" applyBorder="1" applyAlignment="1" applyProtection="1">
      <alignment horizontal="left" vertical="center"/>
      <protection/>
    </xf>
    <xf numFmtId="0" fontId="32" fillId="0" borderId="44" xfId="48" applyNumberFormat="1" applyFont="1" applyFill="1" applyBorder="1" applyAlignment="1" applyProtection="1">
      <alignment horizontal="left" vertical="center"/>
      <protection/>
    </xf>
    <xf numFmtId="49" fontId="32" fillId="0" borderId="45" xfId="48" applyNumberFormat="1" applyFont="1" applyFill="1" applyBorder="1" applyAlignment="1" applyProtection="1">
      <alignment horizontal="left" vertical="center"/>
      <protection/>
    </xf>
    <xf numFmtId="0" fontId="32" fillId="0" borderId="17" xfId="48" applyNumberFormat="1" applyFont="1" applyFill="1" applyBorder="1" applyAlignment="1" applyProtection="1">
      <alignment horizontal="left" vertical="center"/>
      <protection/>
    </xf>
    <xf numFmtId="0" fontId="32" fillId="0" borderId="46" xfId="48" applyNumberFormat="1" applyFont="1" applyFill="1" applyBorder="1" applyAlignment="1" applyProtection="1">
      <alignment horizontal="left" vertical="center"/>
      <protection/>
    </xf>
    <xf numFmtId="0" fontId="22" fillId="0" borderId="32" xfId="48" applyNumberFormat="1" applyFont="1" applyFill="1" applyBorder="1" applyAlignment="1" applyProtection="1">
      <alignment vertical="center"/>
      <protection/>
    </xf>
    <xf numFmtId="49" fontId="23" fillId="0" borderId="10" xfId="49" applyNumberFormat="1" applyFont="1" applyFill="1" applyBorder="1" applyAlignment="1" applyProtection="1">
      <alignment horizontal="center" vertical="center"/>
      <protection/>
    </xf>
    <xf numFmtId="0" fontId="23" fillId="0" borderId="10" xfId="49" applyNumberFormat="1" applyFont="1" applyFill="1" applyBorder="1" applyAlignment="1" applyProtection="1">
      <alignment horizontal="center" vertical="center"/>
      <protection/>
    </xf>
    <xf numFmtId="0" fontId="22" fillId="0" borderId="0" xfId="49">
      <alignment vertical="center"/>
      <protection/>
    </xf>
    <xf numFmtId="49" fontId="24" fillId="0" borderId="11" xfId="49" applyNumberFormat="1" applyFont="1" applyFill="1" applyBorder="1" applyAlignment="1" applyProtection="1">
      <alignment horizontal="left" vertical="center"/>
      <protection/>
    </xf>
    <xf numFmtId="0" fontId="24" fillId="0" borderId="12" xfId="49" applyNumberFormat="1" applyFont="1" applyFill="1" applyBorder="1" applyAlignment="1" applyProtection="1">
      <alignment horizontal="left" vertical="center"/>
      <protection/>
    </xf>
    <xf numFmtId="49" fontId="25" fillId="0" borderId="12" xfId="49" applyNumberFormat="1" applyFont="1" applyFill="1" applyBorder="1" applyAlignment="1" applyProtection="1">
      <alignment horizontal="left" vertical="center"/>
      <protection/>
    </xf>
    <xf numFmtId="49" fontId="24" fillId="0" borderId="12" xfId="49" applyNumberFormat="1" applyFont="1" applyFill="1" applyBorder="1" applyAlignment="1" applyProtection="1">
      <alignment horizontal="left" vertical="center"/>
      <protection/>
    </xf>
    <xf numFmtId="0" fontId="24" fillId="0" borderId="13" xfId="49" applyNumberFormat="1" applyFont="1" applyFill="1" applyBorder="1" applyAlignment="1" applyProtection="1">
      <alignment horizontal="left" vertical="center"/>
      <protection/>
    </xf>
    <xf numFmtId="0" fontId="22" fillId="0" borderId="14" xfId="49" applyNumberFormat="1" applyFont="1" applyFill="1" applyBorder="1" applyAlignment="1" applyProtection="1">
      <alignment vertical="center"/>
      <protection/>
    </xf>
    <xf numFmtId="0" fontId="24" fillId="0" borderId="14" xfId="49" applyNumberFormat="1" applyFont="1" applyFill="1" applyBorder="1" applyAlignment="1" applyProtection="1">
      <alignment horizontal="left" vertical="center"/>
      <protection/>
    </xf>
    <xf numFmtId="0" fontId="24" fillId="0" borderId="0" xfId="49" applyNumberFormat="1" applyFont="1" applyFill="1" applyBorder="1" applyAlignment="1" applyProtection="1">
      <alignment horizontal="left" vertical="center"/>
      <protection/>
    </xf>
    <xf numFmtId="0" fontId="25" fillId="0" borderId="0" xfId="49" applyNumberFormat="1" applyFont="1" applyFill="1" applyBorder="1" applyAlignment="1" applyProtection="1">
      <alignment horizontal="left" vertical="center"/>
      <protection/>
    </xf>
    <xf numFmtId="0" fontId="24" fillId="0" borderId="15" xfId="49" applyNumberFormat="1" applyFont="1" applyFill="1" applyBorder="1" applyAlignment="1" applyProtection="1">
      <alignment horizontal="left" vertical="center"/>
      <protection/>
    </xf>
    <xf numFmtId="49" fontId="24" fillId="0" borderId="14" xfId="49" applyNumberFormat="1" applyFont="1" applyFill="1" applyBorder="1" applyAlignment="1" applyProtection="1">
      <alignment horizontal="left" vertical="center"/>
      <protection/>
    </xf>
    <xf numFmtId="49" fontId="24" fillId="0" borderId="0" xfId="49" applyNumberFormat="1" applyFont="1" applyFill="1" applyBorder="1" applyAlignment="1" applyProtection="1">
      <alignment horizontal="left" vertical="center"/>
      <protection/>
    </xf>
    <xf numFmtId="14" fontId="24" fillId="0" borderId="0" xfId="49" applyNumberFormat="1" applyFont="1" applyFill="1" applyBorder="1" applyAlignment="1" applyProtection="1">
      <alignment horizontal="left" vertical="center"/>
      <protection/>
    </xf>
    <xf numFmtId="0" fontId="24" fillId="0" borderId="16" xfId="49" applyNumberFormat="1" applyFont="1" applyFill="1" applyBorder="1" applyAlignment="1" applyProtection="1">
      <alignment horizontal="left" vertical="center"/>
      <protection/>
    </xf>
    <xf numFmtId="0" fontId="24" fillId="0" borderId="17" xfId="49" applyNumberFormat="1" applyFont="1" applyFill="1" applyBorder="1" applyAlignment="1" applyProtection="1">
      <alignment horizontal="left" vertical="center"/>
      <protection/>
    </xf>
    <xf numFmtId="0" fontId="24" fillId="0" borderId="18" xfId="49" applyNumberFormat="1" applyFont="1" applyFill="1" applyBorder="1" applyAlignment="1" applyProtection="1">
      <alignment horizontal="left" vertical="center"/>
      <protection/>
    </xf>
    <xf numFmtId="49" fontId="24" fillId="0" borderId="19" xfId="49" applyNumberFormat="1" applyFont="1" applyFill="1" applyBorder="1" applyAlignment="1" applyProtection="1">
      <alignment horizontal="left" vertical="center"/>
      <protection/>
    </xf>
    <xf numFmtId="49" fontId="24" fillId="0" borderId="20" xfId="49" applyNumberFormat="1" applyFont="1" applyFill="1" applyBorder="1" applyAlignment="1" applyProtection="1">
      <alignment horizontal="left" vertical="center"/>
      <protection/>
    </xf>
    <xf numFmtId="49" fontId="25" fillId="0" borderId="21" xfId="49" applyNumberFormat="1" applyFont="1" applyFill="1" applyBorder="1" applyAlignment="1" applyProtection="1">
      <alignment horizontal="center" vertical="center"/>
      <protection/>
    </xf>
    <xf numFmtId="49" fontId="25" fillId="0" borderId="22" xfId="49" applyNumberFormat="1" applyFont="1" applyFill="1" applyBorder="1" applyAlignment="1" applyProtection="1">
      <alignment horizontal="center" vertical="center"/>
      <protection/>
    </xf>
    <xf numFmtId="0" fontId="25" fillId="0" borderId="23" xfId="49" applyNumberFormat="1" applyFont="1" applyFill="1" applyBorder="1" applyAlignment="1" applyProtection="1">
      <alignment horizontal="center" vertical="center"/>
      <protection/>
    </xf>
    <xf numFmtId="0" fontId="25" fillId="0" borderId="24" xfId="49" applyNumberFormat="1" applyFont="1" applyFill="1" applyBorder="1" applyAlignment="1" applyProtection="1">
      <alignment horizontal="center" vertical="center"/>
      <protection/>
    </xf>
    <xf numFmtId="0" fontId="22" fillId="0" borderId="25" xfId="49" applyNumberFormat="1" applyFont="1" applyFill="1" applyBorder="1" applyAlignment="1" applyProtection="1">
      <alignment vertical="center"/>
      <protection/>
    </xf>
    <xf numFmtId="49" fontId="25" fillId="0" borderId="26" xfId="49" applyNumberFormat="1" applyFont="1" applyFill="1" applyBorder="1" applyAlignment="1" applyProtection="1">
      <alignment horizontal="left" vertical="center"/>
      <protection/>
    </xf>
    <xf numFmtId="49" fontId="25" fillId="0" borderId="27" xfId="49" applyNumberFormat="1" applyFont="1" applyFill="1" applyBorder="1" applyAlignment="1" applyProtection="1">
      <alignment horizontal="left" vertical="center"/>
      <protection/>
    </xf>
    <xf numFmtId="49" fontId="25" fillId="0" borderId="27" xfId="49" applyNumberFormat="1" applyFont="1" applyFill="1" applyBorder="1" applyAlignment="1" applyProtection="1">
      <alignment horizontal="center" vertical="center"/>
      <protection/>
    </xf>
    <xf numFmtId="49" fontId="25" fillId="0" borderId="28" xfId="49" applyNumberFormat="1" applyFont="1" applyFill="1" applyBorder="1" applyAlignment="1" applyProtection="1">
      <alignment horizontal="right" vertical="center"/>
      <protection/>
    </xf>
    <xf numFmtId="49" fontId="25" fillId="0" borderId="29" xfId="49" applyNumberFormat="1" applyFont="1" applyFill="1" applyBorder="1" applyAlignment="1" applyProtection="1">
      <alignment horizontal="center" vertical="center"/>
      <protection/>
    </xf>
    <xf numFmtId="49" fontId="25" fillId="0" borderId="30" xfId="49" applyNumberFormat="1" applyFont="1" applyFill="1" applyBorder="1" applyAlignment="1" applyProtection="1">
      <alignment horizontal="center" vertical="center"/>
      <protection/>
    </xf>
    <xf numFmtId="49" fontId="25" fillId="0" borderId="31" xfId="49" applyNumberFormat="1" applyFont="1" applyFill="1" applyBorder="1" applyAlignment="1" applyProtection="1">
      <alignment horizontal="center" vertical="center"/>
      <protection/>
    </xf>
    <xf numFmtId="49" fontId="24" fillId="24" borderId="32" xfId="49" applyNumberFormat="1" applyFont="1" applyFill="1" applyBorder="1" applyAlignment="1" applyProtection="1">
      <alignment horizontal="left" vertical="center"/>
      <protection/>
    </xf>
    <xf numFmtId="49" fontId="25" fillId="24" borderId="32" xfId="49" applyNumberFormat="1" applyFont="1" applyFill="1" applyBorder="1" applyAlignment="1" applyProtection="1">
      <alignment horizontal="left" vertical="center"/>
      <protection/>
    </xf>
    <xf numFmtId="49" fontId="25" fillId="24" borderId="32" xfId="49" applyNumberFormat="1" applyFont="1" applyFill="1" applyBorder="1" applyAlignment="1" applyProtection="1">
      <alignment horizontal="left" vertical="center"/>
      <protection/>
    </xf>
    <xf numFmtId="0" fontId="25" fillId="24" borderId="32" xfId="49" applyNumberFormat="1" applyFont="1" applyFill="1" applyBorder="1" applyAlignment="1" applyProtection="1">
      <alignment horizontal="left" vertical="center"/>
      <protection/>
    </xf>
    <xf numFmtId="4" fontId="25" fillId="24" borderId="32" xfId="49" applyNumberFormat="1" applyFont="1" applyFill="1" applyBorder="1" applyAlignment="1" applyProtection="1">
      <alignment horizontal="right" vertical="center"/>
      <protection/>
    </xf>
    <xf numFmtId="49" fontId="25" fillId="24" borderId="32" xfId="49" applyNumberFormat="1" applyFont="1" applyFill="1" applyBorder="1" applyAlignment="1" applyProtection="1">
      <alignment horizontal="right" vertical="center"/>
      <protection/>
    </xf>
    <xf numFmtId="49" fontId="24" fillId="0" borderId="0" xfId="49" applyNumberFormat="1" applyFont="1" applyFill="1" applyBorder="1" applyAlignment="1" applyProtection="1">
      <alignment horizontal="left" vertical="center"/>
      <protection/>
    </xf>
    <xf numFmtId="4" fontId="24" fillId="0" borderId="0" xfId="49" applyNumberFormat="1" applyFont="1" applyFill="1" applyBorder="1" applyAlignment="1" applyProtection="1">
      <alignment horizontal="right" vertical="center"/>
      <protection/>
    </xf>
    <xf numFmtId="49" fontId="24" fillId="24" borderId="0" xfId="49" applyNumberFormat="1" applyFont="1" applyFill="1" applyBorder="1" applyAlignment="1" applyProtection="1">
      <alignment horizontal="left" vertical="center"/>
      <protection/>
    </xf>
    <xf numFmtId="49" fontId="25" fillId="24" borderId="0" xfId="49" applyNumberFormat="1" applyFont="1" applyFill="1" applyBorder="1" applyAlignment="1" applyProtection="1">
      <alignment horizontal="left" vertical="center"/>
      <protection/>
    </xf>
    <xf numFmtId="49" fontId="25" fillId="24" borderId="0" xfId="49" applyNumberFormat="1" applyFont="1" applyFill="1" applyBorder="1" applyAlignment="1" applyProtection="1">
      <alignment horizontal="left" vertical="center"/>
      <protection/>
    </xf>
    <xf numFmtId="0" fontId="25" fillId="24" borderId="0" xfId="49" applyNumberFormat="1" applyFont="1" applyFill="1" applyBorder="1" applyAlignment="1" applyProtection="1">
      <alignment horizontal="left" vertical="center"/>
      <protection/>
    </xf>
    <xf numFmtId="4" fontId="25" fillId="24" borderId="0" xfId="49" applyNumberFormat="1" applyFont="1" applyFill="1" applyBorder="1" applyAlignment="1" applyProtection="1">
      <alignment horizontal="right" vertical="center"/>
      <protection/>
    </xf>
    <xf numFmtId="49" fontId="25" fillId="24" borderId="0" xfId="49" applyNumberFormat="1" applyFont="1" applyFill="1" applyBorder="1" applyAlignment="1" applyProtection="1">
      <alignment horizontal="right" vertical="center"/>
      <protection/>
    </xf>
    <xf numFmtId="49" fontId="24" fillId="0" borderId="10" xfId="49" applyNumberFormat="1" applyFont="1" applyFill="1" applyBorder="1" applyAlignment="1" applyProtection="1">
      <alignment horizontal="left" vertical="center"/>
      <protection/>
    </xf>
    <xf numFmtId="4" fontId="24" fillId="0" borderId="10" xfId="49" applyNumberFormat="1" applyFont="1" applyFill="1" applyBorder="1" applyAlignment="1" applyProtection="1">
      <alignment horizontal="right" vertical="center"/>
      <protection/>
    </xf>
    <xf numFmtId="0" fontId="24" fillId="0" borderId="12" xfId="49" applyNumberFormat="1" applyFont="1" applyFill="1" applyBorder="1" applyAlignment="1" applyProtection="1">
      <alignment vertical="center"/>
      <protection/>
    </xf>
    <xf numFmtId="0" fontId="25" fillId="0" borderId="12" xfId="49" applyNumberFormat="1" applyFont="1" applyFill="1" applyBorder="1" applyAlignment="1" applyProtection="1">
      <alignment horizontal="left" vertical="center"/>
      <protection/>
    </xf>
    <xf numFmtId="4" fontId="25" fillId="0" borderId="12" xfId="49" applyNumberFormat="1" applyFont="1" applyFill="1" applyBorder="1" applyAlignment="1" applyProtection="1">
      <alignment horizontal="right" vertical="center"/>
      <protection/>
    </xf>
    <xf numFmtId="0" fontId="24" fillId="0" borderId="0" xfId="49" applyFont="1">
      <alignment vertical="center"/>
      <protection/>
    </xf>
    <xf numFmtId="49" fontId="26" fillId="0" borderId="10" xfId="49" applyNumberFormat="1" applyFont="1" applyFill="1" applyBorder="1" applyAlignment="1" applyProtection="1">
      <alignment horizontal="center" vertical="center"/>
      <protection/>
    </xf>
    <xf numFmtId="0" fontId="26" fillId="0" borderId="10" xfId="49" applyNumberFormat="1" applyFont="1" applyFill="1" applyBorder="1" applyAlignment="1" applyProtection="1">
      <alignment horizontal="center" vertical="center"/>
      <protection/>
    </xf>
    <xf numFmtId="49" fontId="22" fillId="0" borderId="11" xfId="49" applyNumberFormat="1" applyFont="1" applyFill="1" applyBorder="1" applyAlignment="1" applyProtection="1">
      <alignment horizontal="left" vertical="center"/>
      <protection/>
    </xf>
    <xf numFmtId="0" fontId="22" fillId="0" borderId="12" xfId="49" applyNumberFormat="1" applyFont="1" applyFill="1" applyBorder="1" applyAlignment="1" applyProtection="1">
      <alignment horizontal="left" vertical="center"/>
      <protection/>
    </xf>
    <xf numFmtId="49" fontId="27" fillId="0" borderId="12" xfId="49" applyNumberFormat="1" applyFont="1" applyFill="1" applyBorder="1" applyAlignment="1" applyProtection="1">
      <alignment horizontal="left" vertical="center"/>
      <protection/>
    </xf>
    <xf numFmtId="0" fontId="27" fillId="0" borderId="12" xfId="49" applyNumberFormat="1" applyFont="1" applyFill="1" applyBorder="1" applyAlignment="1" applyProtection="1">
      <alignment horizontal="left" vertical="center"/>
      <protection/>
    </xf>
    <xf numFmtId="49" fontId="22" fillId="0" borderId="12" xfId="49" applyNumberFormat="1" applyFont="1" applyFill="1" applyBorder="1" applyAlignment="1" applyProtection="1">
      <alignment horizontal="left" vertical="center"/>
      <protection/>
    </xf>
    <xf numFmtId="49" fontId="22" fillId="0" borderId="13" xfId="49" applyNumberFormat="1" applyFont="1" applyFill="1" applyBorder="1" applyAlignment="1" applyProtection="1">
      <alignment horizontal="left" vertical="center"/>
      <protection/>
    </xf>
    <xf numFmtId="0" fontId="22" fillId="0" borderId="14" xfId="49" applyNumberFormat="1" applyFont="1" applyFill="1" applyBorder="1" applyAlignment="1" applyProtection="1">
      <alignment horizontal="left" vertical="center"/>
      <protection/>
    </xf>
    <xf numFmtId="0" fontId="22" fillId="0" borderId="0" xfId="49" applyNumberFormat="1" applyFont="1" applyFill="1" applyBorder="1" applyAlignment="1" applyProtection="1">
      <alignment horizontal="left" vertical="center"/>
      <protection/>
    </xf>
    <xf numFmtId="0" fontId="27" fillId="0" borderId="0" xfId="49" applyNumberFormat="1" applyFont="1" applyFill="1" applyBorder="1" applyAlignment="1" applyProtection="1">
      <alignment horizontal="left" vertical="center"/>
      <protection/>
    </xf>
    <xf numFmtId="0" fontId="22" fillId="0" borderId="15" xfId="49" applyNumberFormat="1" applyFont="1" applyFill="1" applyBorder="1" applyAlignment="1" applyProtection="1">
      <alignment horizontal="left" vertical="center"/>
      <protection/>
    </xf>
    <xf numFmtId="49" fontId="22" fillId="0" borderId="14" xfId="49" applyNumberFormat="1" applyFont="1" applyFill="1" applyBorder="1" applyAlignment="1" applyProtection="1">
      <alignment horizontal="left" vertical="center"/>
      <protection/>
    </xf>
    <xf numFmtId="49" fontId="22" fillId="0" borderId="0" xfId="49" applyNumberFormat="1" applyFont="1" applyFill="1" applyBorder="1" applyAlignment="1" applyProtection="1">
      <alignment horizontal="left" vertical="center"/>
      <protection/>
    </xf>
    <xf numFmtId="49" fontId="22" fillId="0" borderId="15" xfId="49" applyNumberFormat="1" applyFont="1" applyFill="1" applyBorder="1" applyAlignment="1" applyProtection="1">
      <alignment horizontal="left" vertical="center"/>
      <protection/>
    </xf>
    <xf numFmtId="14" fontId="22" fillId="0" borderId="0" xfId="49" applyNumberFormat="1" applyFont="1" applyFill="1" applyBorder="1" applyAlignment="1" applyProtection="1">
      <alignment horizontal="left" vertical="center"/>
      <protection/>
    </xf>
    <xf numFmtId="14" fontId="22" fillId="0" borderId="15" xfId="49" applyNumberFormat="1" applyFont="1" applyFill="1" applyBorder="1" applyAlignment="1" applyProtection="1">
      <alignment horizontal="left" vertical="center"/>
      <protection/>
    </xf>
    <xf numFmtId="0" fontId="22" fillId="0" borderId="33" xfId="49" applyNumberFormat="1" applyFont="1" applyFill="1" applyBorder="1" applyAlignment="1" applyProtection="1">
      <alignment horizontal="left" vertical="center"/>
      <protection/>
    </xf>
    <xf numFmtId="0" fontId="22" fillId="0" borderId="10" xfId="49" applyNumberFormat="1" applyFont="1" applyFill="1" applyBorder="1" applyAlignment="1" applyProtection="1">
      <alignment horizontal="left" vertical="center"/>
      <protection/>
    </xf>
    <xf numFmtId="0" fontId="22" fillId="0" borderId="34" xfId="49" applyNumberFormat="1" applyFont="1" applyFill="1" applyBorder="1" applyAlignment="1" applyProtection="1">
      <alignment horizontal="left" vertical="center"/>
      <protection/>
    </xf>
    <xf numFmtId="49" fontId="28" fillId="0" borderId="35" xfId="49" applyNumberFormat="1" applyFont="1" applyFill="1" applyBorder="1" applyAlignment="1" applyProtection="1">
      <alignment horizontal="center" vertical="center"/>
      <protection/>
    </xf>
    <xf numFmtId="0" fontId="28" fillId="0" borderId="35" xfId="49" applyNumberFormat="1" applyFont="1" applyFill="1" applyBorder="1" applyAlignment="1" applyProtection="1">
      <alignment horizontal="center" vertical="center"/>
      <protection/>
    </xf>
    <xf numFmtId="49" fontId="29" fillId="24" borderId="36" xfId="49" applyNumberFormat="1" applyFont="1" applyFill="1" applyBorder="1" applyAlignment="1" applyProtection="1">
      <alignment horizontal="center" vertical="center"/>
      <protection/>
    </xf>
    <xf numFmtId="49" fontId="30" fillId="0" borderId="37" xfId="49" applyNumberFormat="1" applyFont="1" applyFill="1" applyBorder="1" applyAlignment="1" applyProtection="1">
      <alignment horizontal="left" vertical="center"/>
      <protection/>
    </xf>
    <xf numFmtId="0" fontId="30" fillId="0" borderId="38" xfId="49" applyNumberFormat="1" applyFont="1" applyFill="1" applyBorder="1" applyAlignment="1" applyProtection="1">
      <alignment horizontal="left" vertical="center"/>
      <protection/>
    </xf>
    <xf numFmtId="49" fontId="31" fillId="0" borderId="39" xfId="49" applyNumberFormat="1" applyFont="1" applyFill="1" applyBorder="1" applyAlignment="1" applyProtection="1">
      <alignment horizontal="left" vertical="center"/>
      <protection/>
    </xf>
    <xf numFmtId="49" fontId="32" fillId="0" borderId="36" xfId="49" applyNumberFormat="1" applyFont="1" applyFill="1" applyBorder="1" applyAlignment="1" applyProtection="1">
      <alignment horizontal="left" vertical="center"/>
      <protection/>
    </xf>
    <xf numFmtId="4" fontId="32" fillId="0" borderId="36" xfId="49" applyNumberFormat="1" applyFont="1" applyFill="1" applyBorder="1" applyAlignment="1" applyProtection="1">
      <alignment horizontal="right" vertical="center"/>
      <protection/>
    </xf>
    <xf numFmtId="49" fontId="32" fillId="0" borderId="37" xfId="49" applyNumberFormat="1" applyFont="1" applyFill="1" applyBorder="1" applyAlignment="1" applyProtection="1">
      <alignment horizontal="left" vertical="center"/>
      <protection/>
    </xf>
    <xf numFmtId="0" fontId="32" fillId="0" borderId="38" xfId="49" applyNumberFormat="1" applyFont="1" applyFill="1" applyBorder="1" applyAlignment="1" applyProtection="1">
      <alignment horizontal="left" vertical="center"/>
      <protection/>
    </xf>
    <xf numFmtId="49" fontId="31" fillId="0" borderId="40" xfId="49" applyNumberFormat="1" applyFont="1" applyFill="1" applyBorder="1" applyAlignment="1" applyProtection="1">
      <alignment horizontal="left" vertical="center"/>
      <protection/>
    </xf>
    <xf numFmtId="49" fontId="32" fillId="0" borderId="36" xfId="49" applyNumberFormat="1" applyFont="1" applyFill="1" applyBorder="1" applyAlignment="1" applyProtection="1">
      <alignment horizontal="right" vertical="center"/>
      <protection/>
    </xf>
    <xf numFmtId="49" fontId="31" fillId="0" borderId="37" xfId="49" applyNumberFormat="1" applyFont="1" applyFill="1" applyBorder="1" applyAlignment="1" applyProtection="1">
      <alignment horizontal="left" vertical="center"/>
      <protection/>
    </xf>
    <xf numFmtId="0" fontId="31" fillId="0" borderId="38" xfId="49" applyNumberFormat="1" applyFont="1" applyFill="1" applyBorder="1" applyAlignment="1" applyProtection="1">
      <alignment horizontal="left" vertical="center"/>
      <protection/>
    </xf>
    <xf numFmtId="0" fontId="22" fillId="0" borderId="35" xfId="49" applyNumberFormat="1" applyFont="1" applyFill="1" applyBorder="1" applyAlignment="1" applyProtection="1">
      <alignment vertical="center"/>
      <protection/>
    </xf>
    <xf numFmtId="0" fontId="22" fillId="0" borderId="12" xfId="49" applyNumberFormat="1" applyFont="1" applyFill="1" applyBorder="1" applyAlignment="1" applyProtection="1">
      <alignment vertical="center"/>
      <protection/>
    </xf>
    <xf numFmtId="49" fontId="31" fillId="24" borderId="37" xfId="49" applyNumberFormat="1" applyFont="1" applyFill="1" applyBorder="1" applyAlignment="1" applyProtection="1">
      <alignment horizontal="left" vertical="center"/>
      <protection/>
    </xf>
    <xf numFmtId="0" fontId="31" fillId="24" borderId="35" xfId="49" applyNumberFormat="1" applyFont="1" applyFill="1" applyBorder="1" applyAlignment="1" applyProtection="1">
      <alignment horizontal="left" vertical="center"/>
      <protection/>
    </xf>
    <xf numFmtId="4" fontId="31" fillId="24" borderId="38" xfId="49" applyNumberFormat="1" applyFont="1" applyFill="1" applyBorder="1" applyAlignment="1" applyProtection="1">
      <alignment horizontal="right" vertical="center"/>
      <protection/>
    </xf>
    <xf numFmtId="0" fontId="22" fillId="0" borderId="33" xfId="49" applyNumberFormat="1" applyFont="1" applyFill="1" applyBorder="1" applyAlignment="1" applyProtection="1">
      <alignment vertical="center"/>
      <protection/>
    </xf>
    <xf numFmtId="0" fontId="22" fillId="0" borderId="10" xfId="49" applyNumberFormat="1" applyFont="1" applyFill="1" applyBorder="1" applyAlignment="1" applyProtection="1">
      <alignment vertical="center"/>
      <protection/>
    </xf>
    <xf numFmtId="0" fontId="22" fillId="0" borderId="41" xfId="49" applyNumberFormat="1" applyFont="1" applyFill="1" applyBorder="1" applyAlignment="1" applyProtection="1">
      <alignment vertical="center"/>
      <protection/>
    </xf>
    <xf numFmtId="49" fontId="32" fillId="0" borderId="42" xfId="49" applyNumberFormat="1" applyFont="1" applyFill="1" applyBorder="1" applyAlignment="1" applyProtection="1">
      <alignment horizontal="left" vertical="center"/>
      <protection/>
    </xf>
    <xf numFmtId="0" fontId="32" fillId="0" borderId="32" xfId="49" applyNumberFormat="1" applyFont="1" applyFill="1" applyBorder="1" applyAlignment="1" applyProtection="1">
      <alignment horizontal="left" vertical="center"/>
      <protection/>
    </xf>
    <xf numFmtId="0" fontId="32" fillId="0" borderId="43" xfId="49" applyNumberFormat="1" applyFont="1" applyFill="1" applyBorder="1" applyAlignment="1" applyProtection="1">
      <alignment horizontal="left" vertical="center"/>
      <protection/>
    </xf>
    <xf numFmtId="49" fontId="32" fillId="0" borderId="25" xfId="49" applyNumberFormat="1" applyFont="1" applyFill="1" applyBorder="1" applyAlignment="1" applyProtection="1">
      <alignment horizontal="left" vertical="center"/>
      <protection/>
    </xf>
    <xf numFmtId="0" fontId="32" fillId="0" borderId="0" xfId="49" applyNumberFormat="1" applyFont="1" applyFill="1" applyBorder="1" applyAlignment="1" applyProtection="1">
      <alignment horizontal="left" vertical="center"/>
      <protection/>
    </xf>
    <xf numFmtId="0" fontId="32" fillId="0" borderId="44" xfId="49" applyNumberFormat="1" applyFont="1" applyFill="1" applyBorder="1" applyAlignment="1" applyProtection="1">
      <alignment horizontal="left" vertical="center"/>
      <protection/>
    </xf>
    <xf numFmtId="49" fontId="32" fillId="0" borderId="45" xfId="49" applyNumberFormat="1" applyFont="1" applyFill="1" applyBorder="1" applyAlignment="1" applyProtection="1">
      <alignment horizontal="left" vertical="center"/>
      <protection/>
    </xf>
    <xf numFmtId="0" fontId="32" fillId="0" borderId="17" xfId="49" applyNumberFormat="1" applyFont="1" applyFill="1" applyBorder="1" applyAlignment="1" applyProtection="1">
      <alignment horizontal="left" vertical="center"/>
      <protection/>
    </xf>
    <xf numFmtId="0" fontId="32" fillId="0" borderId="46" xfId="49" applyNumberFormat="1" applyFont="1" applyFill="1" applyBorder="1" applyAlignment="1" applyProtection="1">
      <alignment horizontal="left" vertical="center"/>
      <protection/>
    </xf>
    <xf numFmtId="0" fontId="22" fillId="0" borderId="32" xfId="49" applyNumberFormat="1" applyFont="1" applyFill="1" applyBorder="1" applyAlignment="1" applyProtection="1">
      <alignment vertical="center"/>
      <protection/>
    </xf>
    <xf numFmtId="49" fontId="23" fillId="0" borderId="10" xfId="50" applyNumberFormat="1" applyFont="1" applyFill="1" applyBorder="1" applyAlignment="1" applyProtection="1">
      <alignment horizontal="center" vertical="center"/>
      <protection/>
    </xf>
    <xf numFmtId="0" fontId="23" fillId="0" borderId="10" xfId="50" applyNumberFormat="1" applyFont="1" applyFill="1" applyBorder="1" applyAlignment="1" applyProtection="1">
      <alignment horizontal="center" vertical="center"/>
      <protection/>
    </xf>
    <xf numFmtId="0" fontId="22" fillId="0" borderId="0" xfId="50">
      <alignment vertical="center"/>
      <protection/>
    </xf>
    <xf numFmtId="49" fontId="24" fillId="0" borderId="11" xfId="50" applyNumberFormat="1" applyFont="1" applyFill="1" applyBorder="1" applyAlignment="1" applyProtection="1">
      <alignment horizontal="left" vertical="center"/>
      <protection/>
    </xf>
    <xf numFmtId="0" fontId="24" fillId="0" borderId="12" xfId="50" applyNumberFormat="1" applyFont="1" applyFill="1" applyBorder="1" applyAlignment="1" applyProtection="1">
      <alignment horizontal="left" vertical="center"/>
      <protection/>
    </xf>
    <xf numFmtId="49" fontId="25" fillId="0" borderId="12" xfId="50" applyNumberFormat="1" applyFont="1" applyFill="1" applyBorder="1" applyAlignment="1" applyProtection="1">
      <alignment horizontal="left" vertical="center"/>
      <protection/>
    </xf>
    <xf numFmtId="49" fontId="24" fillId="0" borderId="12" xfId="50" applyNumberFormat="1" applyFont="1" applyFill="1" applyBorder="1" applyAlignment="1" applyProtection="1">
      <alignment horizontal="left" vertical="center"/>
      <protection/>
    </xf>
    <xf numFmtId="0" fontId="24" fillId="0" borderId="13" xfId="50" applyNumberFormat="1" applyFont="1" applyFill="1" applyBorder="1" applyAlignment="1" applyProtection="1">
      <alignment horizontal="left" vertical="center"/>
      <protection/>
    </xf>
    <xf numFmtId="0" fontId="22" fillId="0" borderId="14" xfId="50" applyNumberFormat="1" applyFont="1" applyFill="1" applyBorder="1" applyAlignment="1" applyProtection="1">
      <alignment vertical="center"/>
      <protection/>
    </xf>
    <xf numFmtId="0" fontId="24" fillId="0" borderId="14" xfId="50" applyNumberFormat="1" applyFont="1" applyFill="1" applyBorder="1" applyAlignment="1" applyProtection="1">
      <alignment horizontal="left" vertical="center"/>
      <protection/>
    </xf>
    <xf numFmtId="0" fontId="24" fillId="0" borderId="0" xfId="50" applyNumberFormat="1" applyFont="1" applyFill="1" applyBorder="1" applyAlignment="1" applyProtection="1">
      <alignment horizontal="left" vertical="center"/>
      <protection/>
    </xf>
    <xf numFmtId="0" fontId="25" fillId="0" borderId="0" xfId="50" applyNumberFormat="1" applyFont="1" applyFill="1" applyBorder="1" applyAlignment="1" applyProtection="1">
      <alignment horizontal="left" vertical="center"/>
      <protection/>
    </xf>
    <xf numFmtId="0" fontId="24" fillId="0" borderId="15" xfId="50" applyNumberFormat="1" applyFont="1" applyFill="1" applyBorder="1" applyAlignment="1" applyProtection="1">
      <alignment horizontal="left" vertical="center"/>
      <protection/>
    </xf>
    <xf numFmtId="49" fontId="24" fillId="0" borderId="14" xfId="50" applyNumberFormat="1" applyFont="1" applyFill="1" applyBorder="1" applyAlignment="1" applyProtection="1">
      <alignment horizontal="left" vertical="center"/>
      <protection/>
    </xf>
    <xf numFmtId="49" fontId="24" fillId="0" borderId="0" xfId="50" applyNumberFormat="1" applyFont="1" applyFill="1" applyBorder="1" applyAlignment="1" applyProtection="1">
      <alignment horizontal="left" vertical="center"/>
      <protection/>
    </xf>
    <xf numFmtId="14" fontId="24" fillId="0" borderId="0" xfId="50" applyNumberFormat="1" applyFont="1" applyFill="1" applyBorder="1" applyAlignment="1" applyProtection="1">
      <alignment horizontal="left" vertical="center"/>
      <protection/>
    </xf>
    <xf numFmtId="0" fontId="24" fillId="0" borderId="16" xfId="50" applyNumberFormat="1" applyFont="1" applyFill="1" applyBorder="1" applyAlignment="1" applyProtection="1">
      <alignment horizontal="left" vertical="center"/>
      <protection/>
    </xf>
    <xf numFmtId="0" fontId="24" fillId="0" borderId="17" xfId="50" applyNumberFormat="1" applyFont="1" applyFill="1" applyBorder="1" applyAlignment="1" applyProtection="1">
      <alignment horizontal="left" vertical="center"/>
      <protection/>
    </xf>
    <xf numFmtId="0" fontId="24" fillId="0" borderId="18" xfId="50" applyNumberFormat="1" applyFont="1" applyFill="1" applyBorder="1" applyAlignment="1" applyProtection="1">
      <alignment horizontal="left" vertical="center"/>
      <protection/>
    </xf>
    <xf numFmtId="49" fontId="24" fillId="0" borderId="19" xfId="50" applyNumberFormat="1" applyFont="1" applyFill="1" applyBorder="1" applyAlignment="1" applyProtection="1">
      <alignment horizontal="left" vertical="center"/>
      <protection/>
    </xf>
    <xf numFmtId="49" fontId="24" fillId="0" borderId="20" xfId="50" applyNumberFormat="1" applyFont="1" applyFill="1" applyBorder="1" applyAlignment="1" applyProtection="1">
      <alignment horizontal="left" vertical="center"/>
      <protection/>
    </xf>
    <xf numFmtId="49" fontId="25" fillId="0" borderId="21" xfId="50" applyNumberFormat="1" applyFont="1" applyFill="1" applyBorder="1" applyAlignment="1" applyProtection="1">
      <alignment horizontal="center" vertical="center"/>
      <protection/>
    </xf>
    <xf numFmtId="49" fontId="25" fillId="0" borderId="22" xfId="50" applyNumberFormat="1" applyFont="1" applyFill="1" applyBorder="1" applyAlignment="1" applyProtection="1">
      <alignment horizontal="center" vertical="center"/>
      <protection/>
    </xf>
    <xf numFmtId="0" fontId="25" fillId="0" borderId="23" xfId="50" applyNumberFormat="1" applyFont="1" applyFill="1" applyBorder="1" applyAlignment="1" applyProtection="1">
      <alignment horizontal="center" vertical="center"/>
      <protection/>
    </xf>
    <xf numFmtId="0" fontId="25" fillId="0" borderId="24" xfId="50" applyNumberFormat="1" applyFont="1" applyFill="1" applyBorder="1" applyAlignment="1" applyProtection="1">
      <alignment horizontal="center" vertical="center"/>
      <protection/>
    </xf>
    <xf numFmtId="0" fontId="22" fillId="0" borderId="25" xfId="50" applyNumberFormat="1" applyFont="1" applyFill="1" applyBorder="1" applyAlignment="1" applyProtection="1">
      <alignment vertical="center"/>
      <protection/>
    </xf>
    <xf numFmtId="49" fontId="25" fillId="0" borderId="26" xfId="50" applyNumberFormat="1" applyFont="1" applyFill="1" applyBorder="1" applyAlignment="1" applyProtection="1">
      <alignment horizontal="left" vertical="center"/>
      <protection/>
    </xf>
    <xf numFmtId="49" fontId="25" fillId="0" borderId="27" xfId="50" applyNumberFormat="1" applyFont="1" applyFill="1" applyBorder="1" applyAlignment="1" applyProtection="1">
      <alignment horizontal="left" vertical="center"/>
      <protection/>
    </xf>
    <xf numFmtId="49" fontId="25" fillId="0" borderId="27" xfId="50" applyNumberFormat="1" applyFont="1" applyFill="1" applyBorder="1" applyAlignment="1" applyProtection="1">
      <alignment horizontal="center" vertical="center"/>
      <protection/>
    </xf>
    <xf numFmtId="49" fontId="25" fillId="0" borderId="28" xfId="50" applyNumberFormat="1" applyFont="1" applyFill="1" applyBorder="1" applyAlignment="1" applyProtection="1">
      <alignment horizontal="right" vertical="center"/>
      <protection/>
    </xf>
    <xf numFmtId="49" fontId="25" fillId="0" borderId="29" xfId="50" applyNumberFormat="1" applyFont="1" applyFill="1" applyBorder="1" applyAlignment="1" applyProtection="1">
      <alignment horizontal="center" vertical="center"/>
      <protection/>
    </xf>
    <xf numFmtId="49" fontId="25" fillId="0" borderId="30" xfId="50" applyNumberFormat="1" applyFont="1" applyFill="1" applyBorder="1" applyAlignment="1" applyProtection="1">
      <alignment horizontal="center" vertical="center"/>
      <protection/>
    </xf>
    <xf numFmtId="49" fontId="25" fillId="0" borderId="31" xfId="50" applyNumberFormat="1" applyFont="1" applyFill="1" applyBorder="1" applyAlignment="1" applyProtection="1">
      <alignment horizontal="center" vertical="center"/>
      <protection/>
    </xf>
    <xf numFmtId="49" fontId="24" fillId="24" borderId="32" xfId="50" applyNumberFormat="1" applyFont="1" applyFill="1" applyBorder="1" applyAlignment="1" applyProtection="1">
      <alignment horizontal="left" vertical="center"/>
      <protection/>
    </xf>
    <xf numFmtId="49" fontId="25" fillId="24" borderId="32" xfId="50" applyNumberFormat="1" applyFont="1" applyFill="1" applyBorder="1" applyAlignment="1" applyProtection="1">
      <alignment horizontal="left" vertical="center"/>
      <protection/>
    </xf>
    <xf numFmtId="49" fontId="25" fillId="24" borderId="32" xfId="50" applyNumberFormat="1" applyFont="1" applyFill="1" applyBorder="1" applyAlignment="1" applyProtection="1">
      <alignment horizontal="left" vertical="center"/>
      <protection/>
    </xf>
    <xf numFmtId="0" fontId="25" fillId="24" borderId="32" xfId="50" applyNumberFormat="1" applyFont="1" applyFill="1" applyBorder="1" applyAlignment="1" applyProtection="1">
      <alignment horizontal="left" vertical="center"/>
      <protection/>
    </xf>
    <xf numFmtId="4" fontId="25" fillId="24" borderId="32" xfId="50" applyNumberFormat="1" applyFont="1" applyFill="1" applyBorder="1" applyAlignment="1" applyProtection="1">
      <alignment horizontal="right" vertical="center"/>
      <protection/>
    </xf>
    <xf numFmtId="49" fontId="25" fillId="24" borderId="32" xfId="50" applyNumberFormat="1" applyFont="1" applyFill="1" applyBorder="1" applyAlignment="1" applyProtection="1">
      <alignment horizontal="right" vertical="center"/>
      <protection/>
    </xf>
    <xf numFmtId="49" fontId="24" fillId="0" borderId="0" xfId="50" applyNumberFormat="1" applyFont="1" applyFill="1" applyBorder="1" applyAlignment="1" applyProtection="1">
      <alignment horizontal="left" vertical="center"/>
      <protection/>
    </xf>
    <xf numFmtId="4" fontId="24" fillId="0" borderId="0" xfId="50" applyNumberFormat="1" applyFont="1" applyFill="1" applyBorder="1" applyAlignment="1" applyProtection="1">
      <alignment horizontal="right" vertical="center"/>
      <protection/>
    </xf>
    <xf numFmtId="49" fontId="24" fillId="24" borderId="0" xfId="50" applyNumberFormat="1" applyFont="1" applyFill="1" applyBorder="1" applyAlignment="1" applyProtection="1">
      <alignment horizontal="left" vertical="center"/>
      <protection/>
    </xf>
    <xf numFmtId="49" fontId="25" fillId="24" borderId="0" xfId="50" applyNumberFormat="1" applyFont="1" applyFill="1" applyBorder="1" applyAlignment="1" applyProtection="1">
      <alignment horizontal="left" vertical="center"/>
      <protection/>
    </xf>
    <xf numFmtId="49" fontId="25" fillId="24" borderId="0" xfId="50" applyNumberFormat="1" applyFont="1" applyFill="1" applyBorder="1" applyAlignment="1" applyProtection="1">
      <alignment horizontal="left" vertical="center"/>
      <protection/>
    </xf>
    <xf numFmtId="0" fontId="25" fillId="24" borderId="0" xfId="50" applyNumberFormat="1" applyFont="1" applyFill="1" applyBorder="1" applyAlignment="1" applyProtection="1">
      <alignment horizontal="left" vertical="center"/>
      <protection/>
    </xf>
    <xf numFmtId="4" fontId="25" fillId="24" borderId="0" xfId="50" applyNumberFormat="1" applyFont="1" applyFill="1" applyBorder="1" applyAlignment="1" applyProtection="1">
      <alignment horizontal="right" vertical="center"/>
      <protection/>
    </xf>
    <xf numFmtId="49" fontId="25" fillId="24" borderId="0" xfId="50" applyNumberFormat="1" applyFont="1" applyFill="1" applyBorder="1" applyAlignment="1" applyProtection="1">
      <alignment horizontal="right" vertical="center"/>
      <protection/>
    </xf>
    <xf numFmtId="49" fontId="24" fillId="0" borderId="10" xfId="50" applyNumberFormat="1" applyFont="1" applyFill="1" applyBorder="1" applyAlignment="1" applyProtection="1">
      <alignment horizontal="left" vertical="center"/>
      <protection/>
    </xf>
    <xf numFmtId="4" fontId="24" fillId="0" borderId="10" xfId="50" applyNumberFormat="1" applyFont="1" applyFill="1" applyBorder="1" applyAlignment="1" applyProtection="1">
      <alignment horizontal="right" vertical="center"/>
      <protection/>
    </xf>
    <xf numFmtId="0" fontId="24" fillId="0" borderId="12" xfId="50" applyNumberFormat="1" applyFont="1" applyFill="1" applyBorder="1" applyAlignment="1" applyProtection="1">
      <alignment vertical="center"/>
      <protection/>
    </xf>
    <xf numFmtId="0" fontId="25" fillId="0" borderId="12" xfId="50" applyNumberFormat="1" applyFont="1" applyFill="1" applyBorder="1" applyAlignment="1" applyProtection="1">
      <alignment horizontal="left" vertical="center"/>
      <protection/>
    </xf>
    <xf numFmtId="4" fontId="25" fillId="0" borderId="12" xfId="50" applyNumberFormat="1" applyFont="1" applyFill="1" applyBorder="1" applyAlignment="1" applyProtection="1">
      <alignment horizontal="right" vertical="center"/>
      <protection/>
    </xf>
    <xf numFmtId="0" fontId="24" fillId="0" borderId="0" xfId="50" applyFont="1">
      <alignment vertical="center"/>
      <protection/>
    </xf>
    <xf numFmtId="49" fontId="26" fillId="0" borderId="10" xfId="50" applyNumberFormat="1" applyFont="1" applyFill="1" applyBorder="1" applyAlignment="1" applyProtection="1">
      <alignment horizontal="center" vertical="center"/>
      <protection/>
    </xf>
    <xf numFmtId="0" fontId="26" fillId="0" borderId="10" xfId="50" applyNumberFormat="1" applyFont="1" applyFill="1" applyBorder="1" applyAlignment="1" applyProtection="1">
      <alignment horizontal="center" vertical="center"/>
      <protection/>
    </xf>
    <xf numFmtId="49" fontId="22" fillId="0" borderId="11" xfId="50" applyNumberFormat="1" applyFont="1" applyFill="1" applyBorder="1" applyAlignment="1" applyProtection="1">
      <alignment horizontal="left" vertical="center"/>
      <protection/>
    </xf>
    <xf numFmtId="0" fontId="22" fillId="0" borderId="12" xfId="50" applyNumberFormat="1" applyFont="1" applyFill="1" applyBorder="1" applyAlignment="1" applyProtection="1">
      <alignment horizontal="left" vertical="center"/>
      <protection/>
    </xf>
    <xf numFmtId="49" fontId="27" fillId="0" borderId="12" xfId="50" applyNumberFormat="1" applyFont="1" applyFill="1" applyBorder="1" applyAlignment="1" applyProtection="1">
      <alignment horizontal="left" vertical="center"/>
      <protection/>
    </xf>
    <xf numFmtId="0" fontId="27" fillId="0" borderId="12" xfId="50" applyNumberFormat="1" applyFont="1" applyFill="1" applyBorder="1" applyAlignment="1" applyProtection="1">
      <alignment horizontal="left" vertical="center"/>
      <protection/>
    </xf>
    <xf numFmtId="49" fontId="22" fillId="0" borderId="12" xfId="50" applyNumberFormat="1" applyFont="1" applyFill="1" applyBorder="1" applyAlignment="1" applyProtection="1">
      <alignment horizontal="left" vertical="center"/>
      <protection/>
    </xf>
    <xf numFmtId="49" fontId="22" fillId="0" borderId="13" xfId="50" applyNumberFormat="1" applyFont="1" applyFill="1" applyBorder="1" applyAlignment="1" applyProtection="1">
      <alignment horizontal="left" vertical="center"/>
      <protection/>
    </xf>
    <xf numFmtId="0" fontId="22" fillId="0" borderId="14" xfId="50" applyNumberFormat="1" applyFont="1" applyFill="1" applyBorder="1" applyAlignment="1" applyProtection="1">
      <alignment horizontal="left" vertical="center"/>
      <protection/>
    </xf>
    <xf numFmtId="0" fontId="22" fillId="0" borderId="0" xfId="50" applyNumberFormat="1" applyFont="1" applyFill="1" applyBorder="1" applyAlignment="1" applyProtection="1">
      <alignment horizontal="left" vertical="center"/>
      <protection/>
    </xf>
    <xf numFmtId="0" fontId="27" fillId="0" borderId="0" xfId="50" applyNumberFormat="1" applyFont="1" applyFill="1" applyBorder="1" applyAlignment="1" applyProtection="1">
      <alignment horizontal="left" vertical="center"/>
      <protection/>
    </xf>
    <xf numFmtId="0" fontId="22" fillId="0" borderId="15" xfId="50" applyNumberFormat="1" applyFont="1" applyFill="1" applyBorder="1" applyAlignment="1" applyProtection="1">
      <alignment horizontal="left" vertical="center"/>
      <protection/>
    </xf>
    <xf numFmtId="49" fontId="22" fillId="0" borderId="14" xfId="50" applyNumberFormat="1" applyFont="1" applyFill="1" applyBorder="1" applyAlignment="1" applyProtection="1">
      <alignment horizontal="left" vertical="center"/>
      <protection/>
    </xf>
    <xf numFmtId="49" fontId="22" fillId="0" borderId="0" xfId="50" applyNumberFormat="1" applyFont="1" applyFill="1" applyBorder="1" applyAlignment="1" applyProtection="1">
      <alignment horizontal="left" vertical="center"/>
      <protection/>
    </xf>
    <xf numFmtId="49" fontId="22" fillId="0" borderId="15" xfId="50" applyNumberFormat="1" applyFont="1" applyFill="1" applyBorder="1" applyAlignment="1" applyProtection="1">
      <alignment horizontal="left" vertical="center"/>
      <protection/>
    </xf>
    <xf numFmtId="14" fontId="22" fillId="0" borderId="0" xfId="50" applyNumberFormat="1" applyFont="1" applyFill="1" applyBorder="1" applyAlignment="1" applyProtection="1">
      <alignment horizontal="left" vertical="center"/>
      <protection/>
    </xf>
    <xf numFmtId="14" fontId="22" fillId="0" borderId="15" xfId="50" applyNumberFormat="1" applyFont="1" applyFill="1" applyBorder="1" applyAlignment="1" applyProtection="1">
      <alignment horizontal="left" vertical="center"/>
      <protection/>
    </xf>
    <xf numFmtId="0" fontId="22" fillId="0" borderId="33" xfId="50" applyNumberFormat="1" applyFont="1" applyFill="1" applyBorder="1" applyAlignment="1" applyProtection="1">
      <alignment horizontal="left" vertical="center"/>
      <protection/>
    </xf>
    <xf numFmtId="0" fontId="22" fillId="0" borderId="10" xfId="50" applyNumberFormat="1" applyFont="1" applyFill="1" applyBorder="1" applyAlignment="1" applyProtection="1">
      <alignment horizontal="left" vertical="center"/>
      <protection/>
    </xf>
    <xf numFmtId="0" fontId="22" fillId="0" borderId="34" xfId="50" applyNumberFormat="1" applyFont="1" applyFill="1" applyBorder="1" applyAlignment="1" applyProtection="1">
      <alignment horizontal="left" vertical="center"/>
      <protection/>
    </xf>
    <xf numFmtId="49" fontId="28" fillId="0" borderId="35" xfId="50" applyNumberFormat="1" applyFont="1" applyFill="1" applyBorder="1" applyAlignment="1" applyProtection="1">
      <alignment horizontal="center" vertical="center"/>
      <protection/>
    </xf>
    <xf numFmtId="0" fontId="28" fillId="0" borderId="35" xfId="50" applyNumberFormat="1" applyFont="1" applyFill="1" applyBorder="1" applyAlignment="1" applyProtection="1">
      <alignment horizontal="center" vertical="center"/>
      <protection/>
    </xf>
    <xf numFmtId="49" fontId="29" fillId="24" borderId="36" xfId="50" applyNumberFormat="1" applyFont="1" applyFill="1" applyBorder="1" applyAlignment="1" applyProtection="1">
      <alignment horizontal="center" vertical="center"/>
      <protection/>
    </xf>
    <xf numFmtId="49" fontId="30" fillId="0" borderId="37" xfId="50" applyNumberFormat="1" applyFont="1" applyFill="1" applyBorder="1" applyAlignment="1" applyProtection="1">
      <alignment horizontal="left" vertical="center"/>
      <protection/>
    </xf>
    <xf numFmtId="0" fontId="30" fillId="0" borderId="38" xfId="50" applyNumberFormat="1" applyFont="1" applyFill="1" applyBorder="1" applyAlignment="1" applyProtection="1">
      <alignment horizontal="left" vertical="center"/>
      <protection/>
    </xf>
    <xf numFmtId="49" fontId="31" fillId="0" borderId="39" xfId="50" applyNumberFormat="1" applyFont="1" applyFill="1" applyBorder="1" applyAlignment="1" applyProtection="1">
      <alignment horizontal="left" vertical="center"/>
      <protection/>
    </xf>
    <xf numFmtId="49" fontId="32" fillId="0" borderId="36" xfId="50" applyNumberFormat="1" applyFont="1" applyFill="1" applyBorder="1" applyAlignment="1" applyProtection="1">
      <alignment horizontal="left" vertical="center"/>
      <protection/>
    </xf>
    <xf numFmtId="4" fontId="32" fillId="0" borderId="36" xfId="50" applyNumberFormat="1" applyFont="1" applyFill="1" applyBorder="1" applyAlignment="1" applyProtection="1">
      <alignment horizontal="right" vertical="center"/>
      <protection/>
    </xf>
    <xf numFmtId="49" fontId="32" fillId="0" borderId="37" xfId="50" applyNumberFormat="1" applyFont="1" applyFill="1" applyBorder="1" applyAlignment="1" applyProtection="1">
      <alignment horizontal="left" vertical="center"/>
      <protection/>
    </xf>
    <xf numFmtId="0" fontId="32" fillId="0" borderId="38" xfId="50" applyNumberFormat="1" applyFont="1" applyFill="1" applyBorder="1" applyAlignment="1" applyProtection="1">
      <alignment horizontal="left" vertical="center"/>
      <protection/>
    </xf>
    <xf numFmtId="49" fontId="31" fillId="0" borderId="40" xfId="50" applyNumberFormat="1" applyFont="1" applyFill="1" applyBorder="1" applyAlignment="1" applyProtection="1">
      <alignment horizontal="left" vertical="center"/>
      <protection/>
    </xf>
    <xf numFmtId="49" fontId="32" fillId="0" borderId="36" xfId="50" applyNumberFormat="1" applyFont="1" applyFill="1" applyBorder="1" applyAlignment="1" applyProtection="1">
      <alignment horizontal="right" vertical="center"/>
      <protection/>
    </xf>
    <xf numFmtId="49" fontId="31" fillId="0" borderId="37" xfId="50" applyNumberFormat="1" applyFont="1" applyFill="1" applyBorder="1" applyAlignment="1" applyProtection="1">
      <alignment horizontal="left" vertical="center"/>
      <protection/>
    </xf>
    <xf numFmtId="0" fontId="31" fillId="0" borderId="38" xfId="50" applyNumberFormat="1" applyFont="1" applyFill="1" applyBorder="1" applyAlignment="1" applyProtection="1">
      <alignment horizontal="left" vertical="center"/>
      <protection/>
    </xf>
    <xf numFmtId="0" fontId="22" fillId="0" borderId="35" xfId="50" applyNumberFormat="1" applyFont="1" applyFill="1" applyBorder="1" applyAlignment="1" applyProtection="1">
      <alignment vertical="center"/>
      <protection/>
    </xf>
    <xf numFmtId="0" fontId="22" fillId="0" borderId="12" xfId="50" applyNumberFormat="1" applyFont="1" applyFill="1" applyBorder="1" applyAlignment="1" applyProtection="1">
      <alignment vertical="center"/>
      <protection/>
    </xf>
    <xf numFmtId="49" fontId="31" fillId="24" borderId="37" xfId="50" applyNumberFormat="1" applyFont="1" applyFill="1" applyBorder="1" applyAlignment="1" applyProtection="1">
      <alignment horizontal="left" vertical="center"/>
      <protection/>
    </xf>
    <xf numFmtId="0" fontId="31" fillId="24" borderId="35" xfId="50" applyNumberFormat="1" applyFont="1" applyFill="1" applyBorder="1" applyAlignment="1" applyProtection="1">
      <alignment horizontal="left" vertical="center"/>
      <protection/>
    </xf>
    <xf numFmtId="4" fontId="31" fillId="24" borderId="38" xfId="50" applyNumberFormat="1" applyFont="1" applyFill="1" applyBorder="1" applyAlignment="1" applyProtection="1">
      <alignment horizontal="right" vertical="center"/>
      <protection/>
    </xf>
    <xf numFmtId="0" fontId="22" fillId="0" borderId="33" xfId="50" applyNumberFormat="1" applyFont="1" applyFill="1" applyBorder="1" applyAlignment="1" applyProtection="1">
      <alignment vertical="center"/>
      <protection/>
    </xf>
    <xf numFmtId="0" fontId="22" fillId="0" borderId="10" xfId="50" applyNumberFormat="1" applyFont="1" applyFill="1" applyBorder="1" applyAlignment="1" applyProtection="1">
      <alignment vertical="center"/>
      <protection/>
    </xf>
    <xf numFmtId="0" fontId="22" fillId="0" borderId="41" xfId="50" applyNumberFormat="1" applyFont="1" applyFill="1" applyBorder="1" applyAlignment="1" applyProtection="1">
      <alignment vertical="center"/>
      <protection/>
    </xf>
    <xf numFmtId="49" fontId="32" fillId="0" borderId="42" xfId="50" applyNumberFormat="1" applyFont="1" applyFill="1" applyBorder="1" applyAlignment="1" applyProtection="1">
      <alignment horizontal="left" vertical="center"/>
      <protection/>
    </xf>
    <xf numFmtId="0" fontId="32" fillId="0" borderId="32" xfId="50" applyNumberFormat="1" applyFont="1" applyFill="1" applyBorder="1" applyAlignment="1" applyProtection="1">
      <alignment horizontal="left" vertical="center"/>
      <protection/>
    </xf>
    <xf numFmtId="0" fontId="32" fillId="0" borderId="43" xfId="50" applyNumberFormat="1" applyFont="1" applyFill="1" applyBorder="1" applyAlignment="1" applyProtection="1">
      <alignment horizontal="left" vertical="center"/>
      <protection/>
    </xf>
    <xf numFmtId="49" fontId="32" fillId="0" borderId="25" xfId="50" applyNumberFormat="1" applyFont="1" applyFill="1" applyBorder="1" applyAlignment="1" applyProtection="1">
      <alignment horizontal="left" vertical="center"/>
      <protection/>
    </xf>
    <xf numFmtId="0" fontId="32" fillId="0" borderId="0" xfId="50" applyNumberFormat="1" applyFont="1" applyFill="1" applyBorder="1" applyAlignment="1" applyProtection="1">
      <alignment horizontal="left" vertical="center"/>
      <protection/>
    </xf>
    <xf numFmtId="0" fontId="32" fillId="0" borderId="44" xfId="50" applyNumberFormat="1" applyFont="1" applyFill="1" applyBorder="1" applyAlignment="1" applyProtection="1">
      <alignment horizontal="left" vertical="center"/>
      <protection/>
    </xf>
    <xf numFmtId="49" fontId="32" fillId="0" borderId="45" xfId="50" applyNumberFormat="1" applyFont="1" applyFill="1" applyBorder="1" applyAlignment="1" applyProtection="1">
      <alignment horizontal="left" vertical="center"/>
      <protection/>
    </xf>
    <xf numFmtId="0" fontId="32" fillId="0" borderId="17" xfId="50" applyNumberFormat="1" applyFont="1" applyFill="1" applyBorder="1" applyAlignment="1" applyProtection="1">
      <alignment horizontal="left" vertical="center"/>
      <protection/>
    </xf>
    <xf numFmtId="0" fontId="32" fillId="0" borderId="46" xfId="50" applyNumberFormat="1" applyFont="1" applyFill="1" applyBorder="1" applyAlignment="1" applyProtection="1">
      <alignment horizontal="left" vertical="center"/>
      <protection/>
    </xf>
    <xf numFmtId="0" fontId="22" fillId="0" borderId="32" xfId="50" applyNumberFormat="1" applyFont="1" applyFill="1" applyBorder="1" applyAlignment="1" applyProtection="1">
      <alignment vertical="center"/>
      <protection/>
    </xf>
    <xf numFmtId="49" fontId="23" fillId="0" borderId="10" xfId="51" applyNumberFormat="1" applyFont="1" applyFill="1" applyBorder="1" applyAlignment="1" applyProtection="1">
      <alignment horizontal="center" vertical="center"/>
      <protection/>
    </xf>
    <xf numFmtId="0" fontId="23" fillId="0" borderId="10" xfId="51" applyNumberFormat="1" applyFont="1" applyFill="1" applyBorder="1" applyAlignment="1" applyProtection="1">
      <alignment horizontal="center" vertical="center"/>
      <protection/>
    </xf>
    <xf numFmtId="0" fontId="22" fillId="0" borderId="0" xfId="51">
      <alignment vertical="center"/>
      <protection/>
    </xf>
    <xf numFmtId="49" fontId="24" fillId="0" borderId="11" xfId="51" applyNumberFormat="1" applyFont="1" applyFill="1" applyBorder="1" applyAlignment="1" applyProtection="1">
      <alignment horizontal="left" vertical="center"/>
      <protection/>
    </xf>
    <xf numFmtId="0" fontId="24" fillId="0" borderId="12" xfId="51" applyNumberFormat="1" applyFont="1" applyFill="1" applyBorder="1" applyAlignment="1" applyProtection="1">
      <alignment horizontal="left" vertical="center"/>
      <protection/>
    </xf>
    <xf numFmtId="49" fontId="25" fillId="0" borderId="12" xfId="51" applyNumberFormat="1" applyFont="1" applyFill="1" applyBorder="1" applyAlignment="1" applyProtection="1">
      <alignment horizontal="left" vertical="center"/>
      <protection/>
    </xf>
    <xf numFmtId="49" fontId="24" fillId="0" borderId="12" xfId="51" applyNumberFormat="1" applyFont="1" applyFill="1" applyBorder="1" applyAlignment="1" applyProtection="1">
      <alignment horizontal="left" vertical="center"/>
      <protection/>
    </xf>
    <xf numFmtId="0" fontId="24" fillId="0" borderId="13" xfId="51" applyNumberFormat="1" applyFont="1" applyFill="1" applyBorder="1" applyAlignment="1" applyProtection="1">
      <alignment horizontal="left" vertical="center"/>
      <protection/>
    </xf>
    <xf numFmtId="0" fontId="22" fillId="0" borderId="14" xfId="51" applyNumberFormat="1" applyFont="1" applyFill="1" applyBorder="1" applyAlignment="1" applyProtection="1">
      <alignment vertical="center"/>
      <protection/>
    </xf>
    <xf numFmtId="0" fontId="24" fillId="0" borderId="14" xfId="51" applyNumberFormat="1" applyFont="1" applyFill="1" applyBorder="1" applyAlignment="1" applyProtection="1">
      <alignment horizontal="left" vertical="center"/>
      <protection/>
    </xf>
    <xf numFmtId="0" fontId="24" fillId="0" borderId="0" xfId="51" applyNumberFormat="1" applyFont="1" applyFill="1" applyBorder="1" applyAlignment="1" applyProtection="1">
      <alignment horizontal="left" vertical="center"/>
      <protection/>
    </xf>
    <xf numFmtId="0" fontId="25" fillId="0" borderId="0" xfId="51" applyNumberFormat="1" applyFont="1" applyFill="1" applyBorder="1" applyAlignment="1" applyProtection="1">
      <alignment horizontal="left" vertical="center"/>
      <protection/>
    </xf>
    <xf numFmtId="0" fontId="24" fillId="0" borderId="15" xfId="51" applyNumberFormat="1" applyFont="1" applyFill="1" applyBorder="1" applyAlignment="1" applyProtection="1">
      <alignment horizontal="left" vertical="center"/>
      <protection/>
    </xf>
    <xf numFmtId="49" fontId="24" fillId="0" borderId="14" xfId="51" applyNumberFormat="1" applyFont="1" applyFill="1" applyBorder="1" applyAlignment="1" applyProtection="1">
      <alignment horizontal="left" vertical="center"/>
      <protection/>
    </xf>
    <xf numFmtId="49" fontId="24" fillId="0" borderId="0" xfId="51" applyNumberFormat="1" applyFont="1" applyFill="1" applyBorder="1" applyAlignment="1" applyProtection="1">
      <alignment horizontal="left" vertical="center"/>
      <protection/>
    </xf>
    <xf numFmtId="14" fontId="24" fillId="0" borderId="0" xfId="51" applyNumberFormat="1" applyFont="1" applyFill="1" applyBorder="1" applyAlignment="1" applyProtection="1">
      <alignment horizontal="left" vertical="center"/>
      <protection/>
    </xf>
    <xf numFmtId="0" fontId="24" fillId="0" borderId="16" xfId="51" applyNumberFormat="1" applyFont="1" applyFill="1" applyBorder="1" applyAlignment="1" applyProtection="1">
      <alignment horizontal="left" vertical="center"/>
      <protection/>
    </xf>
    <xf numFmtId="0" fontId="24" fillId="0" borderId="17" xfId="51" applyNumberFormat="1" applyFont="1" applyFill="1" applyBorder="1" applyAlignment="1" applyProtection="1">
      <alignment horizontal="left" vertical="center"/>
      <protection/>
    </xf>
    <xf numFmtId="0" fontId="24" fillId="0" borderId="18" xfId="51" applyNumberFormat="1" applyFont="1" applyFill="1" applyBorder="1" applyAlignment="1" applyProtection="1">
      <alignment horizontal="left" vertical="center"/>
      <protection/>
    </xf>
    <xf numFmtId="49" fontId="24" fillId="0" borderId="19" xfId="51" applyNumberFormat="1" applyFont="1" applyFill="1" applyBorder="1" applyAlignment="1" applyProtection="1">
      <alignment horizontal="left" vertical="center"/>
      <protection/>
    </xf>
    <xf numFmtId="49" fontId="24" fillId="0" borderId="20" xfId="51" applyNumberFormat="1" applyFont="1" applyFill="1" applyBorder="1" applyAlignment="1" applyProtection="1">
      <alignment horizontal="left" vertical="center"/>
      <protection/>
    </xf>
    <xf numFmtId="49" fontId="25" fillId="0" borderId="21" xfId="51" applyNumberFormat="1" applyFont="1" applyFill="1" applyBorder="1" applyAlignment="1" applyProtection="1">
      <alignment horizontal="center" vertical="center"/>
      <protection/>
    </xf>
    <xf numFmtId="49" fontId="25" fillId="0" borderId="22" xfId="51" applyNumberFormat="1" applyFont="1" applyFill="1" applyBorder="1" applyAlignment="1" applyProtection="1">
      <alignment horizontal="center" vertical="center"/>
      <protection/>
    </xf>
    <xf numFmtId="0" fontId="25" fillId="0" borderId="23" xfId="51" applyNumberFormat="1" applyFont="1" applyFill="1" applyBorder="1" applyAlignment="1" applyProtection="1">
      <alignment horizontal="center" vertical="center"/>
      <protection/>
    </xf>
    <xf numFmtId="0" fontId="25" fillId="0" borderId="24" xfId="51" applyNumberFormat="1" applyFont="1" applyFill="1" applyBorder="1" applyAlignment="1" applyProtection="1">
      <alignment horizontal="center" vertical="center"/>
      <protection/>
    </xf>
    <xf numFmtId="0" fontId="22" fillId="0" borderId="25" xfId="51" applyNumberFormat="1" applyFont="1" applyFill="1" applyBorder="1" applyAlignment="1" applyProtection="1">
      <alignment vertical="center"/>
      <protection/>
    </xf>
    <xf numFmtId="49" fontId="25" fillId="0" borderId="26" xfId="51" applyNumberFormat="1" applyFont="1" applyFill="1" applyBorder="1" applyAlignment="1" applyProtection="1">
      <alignment horizontal="left" vertical="center"/>
      <protection/>
    </xf>
    <xf numFmtId="49" fontId="25" fillId="0" borderId="27" xfId="51" applyNumberFormat="1" applyFont="1" applyFill="1" applyBorder="1" applyAlignment="1" applyProtection="1">
      <alignment horizontal="left" vertical="center"/>
      <protection/>
    </xf>
    <xf numFmtId="49" fontId="25" fillId="0" borderId="27" xfId="51" applyNumberFormat="1" applyFont="1" applyFill="1" applyBorder="1" applyAlignment="1" applyProtection="1">
      <alignment horizontal="center" vertical="center"/>
      <protection/>
    </xf>
    <xf numFmtId="49" fontId="25" fillId="0" borderId="28" xfId="51" applyNumberFormat="1" applyFont="1" applyFill="1" applyBorder="1" applyAlignment="1" applyProtection="1">
      <alignment horizontal="right" vertical="center"/>
      <protection/>
    </xf>
    <xf numFmtId="49" fontId="25" fillId="0" borderId="29" xfId="51" applyNumberFormat="1" applyFont="1" applyFill="1" applyBorder="1" applyAlignment="1" applyProtection="1">
      <alignment horizontal="center" vertical="center"/>
      <protection/>
    </xf>
    <xf numFmtId="49" fontId="25" fillId="0" borderId="30" xfId="51" applyNumberFormat="1" applyFont="1" applyFill="1" applyBorder="1" applyAlignment="1" applyProtection="1">
      <alignment horizontal="center" vertical="center"/>
      <protection/>
    </xf>
    <xf numFmtId="49" fontId="25" fillId="0" borderId="31" xfId="51" applyNumberFormat="1" applyFont="1" applyFill="1" applyBorder="1" applyAlignment="1" applyProtection="1">
      <alignment horizontal="center" vertical="center"/>
      <protection/>
    </xf>
    <xf numFmtId="49" fontId="24" fillId="24" borderId="32" xfId="51" applyNumberFormat="1" applyFont="1" applyFill="1" applyBorder="1" applyAlignment="1" applyProtection="1">
      <alignment horizontal="left" vertical="center"/>
      <protection/>
    </xf>
    <xf numFmtId="49" fontId="25" fillId="24" borderId="32" xfId="51" applyNumberFormat="1" applyFont="1" applyFill="1" applyBorder="1" applyAlignment="1" applyProtection="1">
      <alignment horizontal="left" vertical="center"/>
      <protection/>
    </xf>
    <xf numFmtId="49" fontId="25" fillId="24" borderId="32" xfId="51" applyNumberFormat="1" applyFont="1" applyFill="1" applyBorder="1" applyAlignment="1" applyProtection="1">
      <alignment horizontal="left" vertical="center"/>
      <protection/>
    </xf>
    <xf numFmtId="0" fontId="25" fillId="24" borderId="32" xfId="51" applyNumberFormat="1" applyFont="1" applyFill="1" applyBorder="1" applyAlignment="1" applyProtection="1">
      <alignment horizontal="left" vertical="center"/>
      <protection/>
    </xf>
    <xf numFmtId="4" fontId="25" fillId="24" borderId="32" xfId="51" applyNumberFormat="1" applyFont="1" applyFill="1" applyBorder="1" applyAlignment="1" applyProtection="1">
      <alignment horizontal="right" vertical="center"/>
      <protection/>
    </xf>
    <xf numFmtId="49" fontId="25" fillId="24" borderId="32" xfId="51" applyNumberFormat="1" applyFont="1" applyFill="1" applyBorder="1" applyAlignment="1" applyProtection="1">
      <alignment horizontal="right" vertical="center"/>
      <protection/>
    </xf>
    <xf numFmtId="49" fontId="24" fillId="0" borderId="0" xfId="51" applyNumberFormat="1" applyFont="1" applyFill="1" applyBorder="1" applyAlignment="1" applyProtection="1">
      <alignment horizontal="left" vertical="center"/>
      <protection/>
    </xf>
    <xf numFmtId="4" fontId="24" fillId="0" borderId="0" xfId="51" applyNumberFormat="1" applyFont="1" applyFill="1" applyBorder="1" applyAlignment="1" applyProtection="1">
      <alignment horizontal="right" vertical="center"/>
      <protection/>
    </xf>
    <xf numFmtId="49" fontId="24" fillId="24" borderId="0" xfId="51" applyNumberFormat="1" applyFont="1" applyFill="1" applyBorder="1" applyAlignment="1" applyProtection="1">
      <alignment horizontal="left" vertical="center"/>
      <protection/>
    </xf>
    <xf numFmtId="49" fontId="25" fillId="24" borderId="0" xfId="51" applyNumberFormat="1" applyFont="1" applyFill="1" applyBorder="1" applyAlignment="1" applyProtection="1">
      <alignment horizontal="left" vertical="center"/>
      <protection/>
    </xf>
    <xf numFmtId="49" fontId="25" fillId="24" borderId="0" xfId="51" applyNumberFormat="1" applyFont="1" applyFill="1" applyBorder="1" applyAlignment="1" applyProtection="1">
      <alignment horizontal="left" vertical="center"/>
      <protection/>
    </xf>
    <xf numFmtId="0" fontId="25" fillId="24" borderId="0" xfId="51" applyNumberFormat="1" applyFont="1" applyFill="1" applyBorder="1" applyAlignment="1" applyProtection="1">
      <alignment horizontal="left" vertical="center"/>
      <protection/>
    </xf>
    <xf numFmtId="4" fontId="25" fillId="24" borderId="0" xfId="51" applyNumberFormat="1" applyFont="1" applyFill="1" applyBorder="1" applyAlignment="1" applyProtection="1">
      <alignment horizontal="right" vertical="center"/>
      <protection/>
    </xf>
    <xf numFmtId="49" fontId="25" fillId="24" borderId="0" xfId="51" applyNumberFormat="1" applyFont="1" applyFill="1" applyBorder="1" applyAlignment="1" applyProtection="1">
      <alignment horizontal="right" vertical="center"/>
      <protection/>
    </xf>
    <xf numFmtId="49" fontId="24" fillId="0" borderId="10" xfId="51" applyNumberFormat="1" applyFont="1" applyFill="1" applyBorder="1" applyAlignment="1" applyProtection="1">
      <alignment horizontal="left" vertical="center"/>
      <protection/>
    </xf>
    <xf numFmtId="4" fontId="24" fillId="0" borderId="10" xfId="51" applyNumberFormat="1" applyFont="1" applyFill="1" applyBorder="1" applyAlignment="1" applyProtection="1">
      <alignment horizontal="right" vertical="center"/>
      <protection/>
    </xf>
    <xf numFmtId="0" fontId="24" fillId="0" borderId="12" xfId="51" applyNumberFormat="1" applyFont="1" applyFill="1" applyBorder="1" applyAlignment="1" applyProtection="1">
      <alignment vertical="center"/>
      <protection/>
    </xf>
    <xf numFmtId="0" fontId="25" fillId="0" borderId="12" xfId="51" applyNumberFormat="1" applyFont="1" applyFill="1" applyBorder="1" applyAlignment="1" applyProtection="1">
      <alignment horizontal="left" vertical="center"/>
      <protection/>
    </xf>
    <xf numFmtId="4" fontId="25" fillId="0" borderId="12" xfId="51" applyNumberFormat="1" applyFont="1" applyFill="1" applyBorder="1" applyAlignment="1" applyProtection="1">
      <alignment horizontal="right" vertical="center"/>
      <protection/>
    </xf>
    <xf numFmtId="0" fontId="24" fillId="0" borderId="0" xfId="51" applyFont="1">
      <alignment vertical="center"/>
      <protection/>
    </xf>
    <xf numFmtId="49" fontId="26" fillId="0" borderId="10" xfId="51" applyNumberFormat="1" applyFont="1" applyFill="1" applyBorder="1" applyAlignment="1" applyProtection="1">
      <alignment horizontal="center" vertical="center"/>
      <protection/>
    </xf>
    <xf numFmtId="0" fontId="26" fillId="0" borderId="10" xfId="51" applyNumberFormat="1" applyFont="1" applyFill="1" applyBorder="1" applyAlignment="1" applyProtection="1">
      <alignment horizontal="center" vertical="center"/>
      <protection/>
    </xf>
    <xf numFmtId="49" fontId="22" fillId="0" borderId="11" xfId="51" applyNumberFormat="1" applyFont="1" applyFill="1" applyBorder="1" applyAlignment="1" applyProtection="1">
      <alignment horizontal="left" vertical="center"/>
      <protection/>
    </xf>
    <xf numFmtId="0" fontId="22" fillId="0" borderId="12" xfId="51" applyNumberFormat="1" applyFont="1" applyFill="1" applyBorder="1" applyAlignment="1" applyProtection="1">
      <alignment horizontal="left" vertical="center"/>
      <protection/>
    </xf>
    <xf numFmtId="49" fontId="27" fillId="0" borderId="12" xfId="51" applyNumberFormat="1" applyFont="1" applyFill="1" applyBorder="1" applyAlignment="1" applyProtection="1">
      <alignment horizontal="left" vertical="center"/>
      <protection/>
    </xf>
    <xf numFmtId="0" fontId="27" fillId="0" borderId="12" xfId="51" applyNumberFormat="1" applyFont="1" applyFill="1" applyBorder="1" applyAlignment="1" applyProtection="1">
      <alignment horizontal="left" vertical="center"/>
      <protection/>
    </xf>
    <xf numFmtId="49" fontId="22" fillId="0" borderId="12" xfId="51" applyNumberFormat="1" applyFont="1" applyFill="1" applyBorder="1" applyAlignment="1" applyProtection="1">
      <alignment horizontal="left" vertical="center"/>
      <protection/>
    </xf>
    <xf numFmtId="49" fontId="22" fillId="0" borderId="13" xfId="51" applyNumberFormat="1" applyFont="1" applyFill="1" applyBorder="1" applyAlignment="1" applyProtection="1">
      <alignment horizontal="left" vertical="center"/>
      <protection/>
    </xf>
    <xf numFmtId="0" fontId="22" fillId="0" borderId="14" xfId="51" applyNumberFormat="1" applyFont="1" applyFill="1" applyBorder="1" applyAlignment="1" applyProtection="1">
      <alignment horizontal="left" vertical="center"/>
      <protection/>
    </xf>
    <xf numFmtId="0" fontId="22" fillId="0" borderId="0" xfId="51" applyNumberFormat="1" applyFont="1" applyFill="1" applyBorder="1" applyAlignment="1" applyProtection="1">
      <alignment horizontal="left" vertical="center"/>
      <protection/>
    </xf>
    <xf numFmtId="0" fontId="27" fillId="0" borderId="0" xfId="51" applyNumberFormat="1" applyFont="1" applyFill="1" applyBorder="1" applyAlignment="1" applyProtection="1">
      <alignment horizontal="left" vertical="center"/>
      <protection/>
    </xf>
    <xf numFmtId="0" fontId="22" fillId="0" borderId="15" xfId="51" applyNumberFormat="1" applyFont="1" applyFill="1" applyBorder="1" applyAlignment="1" applyProtection="1">
      <alignment horizontal="left" vertical="center"/>
      <protection/>
    </xf>
    <xf numFmtId="49" fontId="22" fillId="0" borderId="14" xfId="51" applyNumberFormat="1" applyFont="1" applyFill="1" applyBorder="1" applyAlignment="1" applyProtection="1">
      <alignment horizontal="left" vertical="center"/>
      <protection/>
    </xf>
    <xf numFmtId="49" fontId="22" fillId="0" borderId="0" xfId="51" applyNumberFormat="1" applyFont="1" applyFill="1" applyBorder="1" applyAlignment="1" applyProtection="1">
      <alignment horizontal="left" vertical="center"/>
      <protection/>
    </xf>
    <xf numFmtId="49" fontId="22" fillId="0" borderId="15" xfId="51" applyNumberFormat="1" applyFont="1" applyFill="1" applyBorder="1" applyAlignment="1" applyProtection="1">
      <alignment horizontal="left" vertical="center"/>
      <protection/>
    </xf>
    <xf numFmtId="14" fontId="22" fillId="0" borderId="0" xfId="51" applyNumberFormat="1" applyFont="1" applyFill="1" applyBorder="1" applyAlignment="1" applyProtection="1">
      <alignment horizontal="left" vertical="center"/>
      <protection/>
    </xf>
    <xf numFmtId="14" fontId="22" fillId="0" borderId="15" xfId="51" applyNumberFormat="1" applyFont="1" applyFill="1" applyBorder="1" applyAlignment="1" applyProtection="1">
      <alignment horizontal="left" vertical="center"/>
      <protection/>
    </xf>
    <xf numFmtId="0" fontId="22" fillId="0" borderId="33" xfId="51" applyNumberFormat="1" applyFont="1" applyFill="1" applyBorder="1" applyAlignment="1" applyProtection="1">
      <alignment horizontal="left" vertical="center"/>
      <protection/>
    </xf>
    <xf numFmtId="0" fontId="22" fillId="0" borderId="10" xfId="51" applyNumberFormat="1" applyFont="1" applyFill="1" applyBorder="1" applyAlignment="1" applyProtection="1">
      <alignment horizontal="left" vertical="center"/>
      <protection/>
    </xf>
    <xf numFmtId="0" fontId="22" fillId="0" borderId="34" xfId="51" applyNumberFormat="1" applyFont="1" applyFill="1" applyBorder="1" applyAlignment="1" applyProtection="1">
      <alignment horizontal="left" vertical="center"/>
      <protection/>
    </xf>
    <xf numFmtId="49" fontId="28" fillId="0" borderId="35" xfId="51" applyNumberFormat="1" applyFont="1" applyFill="1" applyBorder="1" applyAlignment="1" applyProtection="1">
      <alignment horizontal="center" vertical="center"/>
      <protection/>
    </xf>
    <xf numFmtId="0" fontId="28" fillId="0" borderId="35" xfId="51" applyNumberFormat="1" applyFont="1" applyFill="1" applyBorder="1" applyAlignment="1" applyProtection="1">
      <alignment horizontal="center" vertical="center"/>
      <protection/>
    </xf>
    <xf numFmtId="49" fontId="29" fillId="24" borderId="36" xfId="51" applyNumberFormat="1" applyFont="1" applyFill="1" applyBorder="1" applyAlignment="1" applyProtection="1">
      <alignment horizontal="center" vertical="center"/>
      <protection/>
    </xf>
    <xf numFmtId="49" fontId="30" fillId="0" borderId="37" xfId="51" applyNumberFormat="1" applyFont="1" applyFill="1" applyBorder="1" applyAlignment="1" applyProtection="1">
      <alignment horizontal="left" vertical="center"/>
      <protection/>
    </xf>
    <xf numFmtId="0" fontId="30" fillId="0" borderId="38" xfId="51" applyNumberFormat="1" applyFont="1" applyFill="1" applyBorder="1" applyAlignment="1" applyProtection="1">
      <alignment horizontal="left" vertical="center"/>
      <protection/>
    </xf>
    <xf numFmtId="49" fontId="31" fillId="0" borderId="39" xfId="51" applyNumberFormat="1" applyFont="1" applyFill="1" applyBorder="1" applyAlignment="1" applyProtection="1">
      <alignment horizontal="left" vertical="center"/>
      <protection/>
    </xf>
    <xf numFmtId="49" fontId="32" fillId="0" borderId="36" xfId="51" applyNumberFormat="1" applyFont="1" applyFill="1" applyBorder="1" applyAlignment="1" applyProtection="1">
      <alignment horizontal="left" vertical="center"/>
      <protection/>
    </xf>
    <xf numFmtId="4" fontId="32" fillId="0" borderId="36" xfId="51" applyNumberFormat="1" applyFont="1" applyFill="1" applyBorder="1" applyAlignment="1" applyProtection="1">
      <alignment horizontal="right" vertical="center"/>
      <protection/>
    </xf>
    <xf numFmtId="49" fontId="32" fillId="0" borderId="37" xfId="51" applyNumberFormat="1" applyFont="1" applyFill="1" applyBorder="1" applyAlignment="1" applyProtection="1">
      <alignment horizontal="left" vertical="center"/>
      <protection/>
    </xf>
    <xf numFmtId="0" fontId="32" fillId="0" borderId="38" xfId="51" applyNumberFormat="1" applyFont="1" applyFill="1" applyBorder="1" applyAlignment="1" applyProtection="1">
      <alignment horizontal="left" vertical="center"/>
      <protection/>
    </xf>
    <xf numFmtId="49" fontId="31" fillId="0" borderId="40" xfId="51" applyNumberFormat="1" applyFont="1" applyFill="1" applyBorder="1" applyAlignment="1" applyProtection="1">
      <alignment horizontal="left" vertical="center"/>
      <protection/>
    </xf>
    <xf numFmtId="49" fontId="32" fillId="0" borderId="36" xfId="51" applyNumberFormat="1" applyFont="1" applyFill="1" applyBorder="1" applyAlignment="1" applyProtection="1">
      <alignment horizontal="right" vertical="center"/>
      <protection/>
    </xf>
    <xf numFmtId="49" fontId="31" fillId="0" borderId="37" xfId="51" applyNumberFormat="1" applyFont="1" applyFill="1" applyBorder="1" applyAlignment="1" applyProtection="1">
      <alignment horizontal="left" vertical="center"/>
      <protection/>
    </xf>
    <xf numFmtId="0" fontId="31" fillId="0" borderId="38" xfId="51" applyNumberFormat="1" applyFont="1" applyFill="1" applyBorder="1" applyAlignment="1" applyProtection="1">
      <alignment horizontal="left" vertical="center"/>
      <protection/>
    </xf>
    <xf numFmtId="0" fontId="22" fillId="0" borderId="35" xfId="51" applyNumberFormat="1" applyFont="1" applyFill="1" applyBorder="1" applyAlignment="1" applyProtection="1">
      <alignment vertical="center"/>
      <protection/>
    </xf>
    <xf numFmtId="0" fontId="22" fillId="0" borderId="12" xfId="51" applyNumberFormat="1" applyFont="1" applyFill="1" applyBorder="1" applyAlignment="1" applyProtection="1">
      <alignment vertical="center"/>
      <protection/>
    </xf>
    <xf numFmtId="49" fontId="31" fillId="24" borderId="37" xfId="51" applyNumberFormat="1" applyFont="1" applyFill="1" applyBorder="1" applyAlignment="1" applyProtection="1">
      <alignment horizontal="left" vertical="center"/>
      <protection/>
    </xf>
    <xf numFmtId="0" fontId="31" fillId="24" borderId="35" xfId="51" applyNumberFormat="1" applyFont="1" applyFill="1" applyBorder="1" applyAlignment="1" applyProtection="1">
      <alignment horizontal="left" vertical="center"/>
      <protection/>
    </xf>
    <xf numFmtId="4" fontId="31" fillId="24" borderId="38" xfId="51" applyNumberFormat="1" applyFont="1" applyFill="1" applyBorder="1" applyAlignment="1" applyProtection="1">
      <alignment horizontal="right" vertical="center"/>
      <protection/>
    </xf>
    <xf numFmtId="0" fontId="22" fillId="0" borderId="33" xfId="51" applyNumberFormat="1" applyFont="1" applyFill="1" applyBorder="1" applyAlignment="1" applyProtection="1">
      <alignment vertical="center"/>
      <protection/>
    </xf>
    <xf numFmtId="0" fontId="22" fillId="0" borderId="10" xfId="51" applyNumberFormat="1" applyFont="1" applyFill="1" applyBorder="1" applyAlignment="1" applyProtection="1">
      <alignment vertical="center"/>
      <protection/>
    </xf>
    <xf numFmtId="0" fontId="22" fillId="0" borderId="41" xfId="51" applyNumberFormat="1" applyFont="1" applyFill="1" applyBorder="1" applyAlignment="1" applyProtection="1">
      <alignment vertical="center"/>
      <protection/>
    </xf>
    <xf numFmtId="49" fontId="32" fillId="0" borderId="42" xfId="51" applyNumberFormat="1" applyFont="1" applyFill="1" applyBorder="1" applyAlignment="1" applyProtection="1">
      <alignment horizontal="left" vertical="center"/>
      <protection/>
    </xf>
    <xf numFmtId="0" fontId="32" fillId="0" borderId="32" xfId="51" applyNumberFormat="1" applyFont="1" applyFill="1" applyBorder="1" applyAlignment="1" applyProtection="1">
      <alignment horizontal="left" vertical="center"/>
      <protection/>
    </xf>
    <xf numFmtId="0" fontId="32" fillId="0" borderId="43" xfId="51" applyNumberFormat="1" applyFont="1" applyFill="1" applyBorder="1" applyAlignment="1" applyProtection="1">
      <alignment horizontal="left" vertical="center"/>
      <protection/>
    </xf>
    <xf numFmtId="49" fontId="32" fillId="0" borderId="25" xfId="51" applyNumberFormat="1" applyFont="1" applyFill="1" applyBorder="1" applyAlignment="1" applyProtection="1">
      <alignment horizontal="left" vertical="center"/>
      <protection/>
    </xf>
    <xf numFmtId="0" fontId="32" fillId="0" borderId="0" xfId="51" applyNumberFormat="1" applyFont="1" applyFill="1" applyBorder="1" applyAlignment="1" applyProtection="1">
      <alignment horizontal="left" vertical="center"/>
      <protection/>
    </xf>
    <xf numFmtId="0" fontId="32" fillId="0" borderId="44" xfId="51" applyNumberFormat="1" applyFont="1" applyFill="1" applyBorder="1" applyAlignment="1" applyProtection="1">
      <alignment horizontal="left" vertical="center"/>
      <protection/>
    </xf>
    <xf numFmtId="49" fontId="32" fillId="0" borderId="45" xfId="51" applyNumberFormat="1" applyFont="1" applyFill="1" applyBorder="1" applyAlignment="1" applyProtection="1">
      <alignment horizontal="left" vertical="center"/>
      <protection/>
    </xf>
    <xf numFmtId="0" fontId="32" fillId="0" borderId="17" xfId="51" applyNumberFormat="1" applyFont="1" applyFill="1" applyBorder="1" applyAlignment="1" applyProtection="1">
      <alignment horizontal="left" vertical="center"/>
      <protection/>
    </xf>
    <xf numFmtId="0" fontId="32" fillId="0" borderId="46" xfId="51" applyNumberFormat="1" applyFont="1" applyFill="1" applyBorder="1" applyAlignment="1" applyProtection="1">
      <alignment horizontal="left" vertical="center"/>
      <protection/>
    </xf>
    <xf numFmtId="0" fontId="22" fillId="0" borderId="32" xfId="51" applyNumberFormat="1" applyFont="1" applyFill="1" applyBorder="1" applyAlignment="1" applyProtection="1">
      <alignment vertical="center"/>
      <protection/>
    </xf>
    <xf numFmtId="49" fontId="23" fillId="0" borderId="10" xfId="52" applyNumberFormat="1" applyFont="1" applyFill="1" applyBorder="1" applyAlignment="1" applyProtection="1">
      <alignment horizontal="center" vertical="center"/>
      <protection/>
    </xf>
    <xf numFmtId="0" fontId="23" fillId="0" borderId="10" xfId="52" applyNumberFormat="1" applyFont="1" applyFill="1" applyBorder="1" applyAlignment="1" applyProtection="1">
      <alignment horizontal="center" vertical="center"/>
      <protection/>
    </xf>
    <xf numFmtId="0" fontId="22" fillId="0" borderId="0" xfId="52">
      <alignment vertical="center"/>
      <protection/>
    </xf>
    <xf numFmtId="49" fontId="24" fillId="0" borderId="11" xfId="52" applyNumberFormat="1" applyFont="1" applyFill="1" applyBorder="1" applyAlignment="1" applyProtection="1">
      <alignment horizontal="left" vertical="center"/>
      <protection/>
    </xf>
    <xf numFmtId="0" fontId="24" fillId="0" borderId="12" xfId="52" applyNumberFormat="1" applyFont="1" applyFill="1" applyBorder="1" applyAlignment="1" applyProtection="1">
      <alignment horizontal="left" vertical="center"/>
      <protection/>
    </xf>
    <xf numFmtId="49" fontId="25" fillId="0" borderId="12" xfId="52" applyNumberFormat="1" applyFont="1" applyFill="1" applyBorder="1" applyAlignment="1" applyProtection="1">
      <alignment horizontal="left" vertical="center"/>
      <protection/>
    </xf>
    <xf numFmtId="49" fontId="24" fillId="0" borderId="12" xfId="52" applyNumberFormat="1" applyFont="1" applyFill="1" applyBorder="1" applyAlignment="1" applyProtection="1">
      <alignment horizontal="left" vertical="center"/>
      <protection/>
    </xf>
    <xf numFmtId="0" fontId="24" fillId="0" borderId="13" xfId="52" applyNumberFormat="1" applyFont="1" applyFill="1" applyBorder="1" applyAlignment="1" applyProtection="1">
      <alignment horizontal="left" vertical="center"/>
      <protection/>
    </xf>
    <xf numFmtId="0" fontId="22" fillId="0" borderId="14" xfId="52" applyNumberFormat="1" applyFont="1" applyFill="1" applyBorder="1" applyAlignment="1" applyProtection="1">
      <alignment vertical="center"/>
      <protection/>
    </xf>
    <xf numFmtId="0" fontId="24" fillId="0" borderId="14" xfId="52" applyNumberFormat="1" applyFont="1" applyFill="1" applyBorder="1" applyAlignment="1" applyProtection="1">
      <alignment horizontal="left" vertical="center"/>
      <protection/>
    </xf>
    <xf numFmtId="0" fontId="24" fillId="0" borderId="0" xfId="52" applyNumberFormat="1" applyFont="1" applyFill="1" applyBorder="1" applyAlignment="1" applyProtection="1">
      <alignment horizontal="left" vertical="center"/>
      <protection/>
    </xf>
    <xf numFmtId="0" fontId="25" fillId="0" borderId="0" xfId="52" applyNumberFormat="1" applyFont="1" applyFill="1" applyBorder="1" applyAlignment="1" applyProtection="1">
      <alignment horizontal="left" vertical="center"/>
      <protection/>
    </xf>
    <xf numFmtId="0" fontId="24" fillId="0" borderId="15" xfId="52" applyNumberFormat="1" applyFont="1" applyFill="1" applyBorder="1" applyAlignment="1" applyProtection="1">
      <alignment horizontal="left" vertical="center"/>
      <protection/>
    </xf>
    <xf numFmtId="49" fontId="24" fillId="0" borderId="14" xfId="52" applyNumberFormat="1" applyFont="1" applyFill="1" applyBorder="1" applyAlignment="1" applyProtection="1">
      <alignment horizontal="left" vertical="center"/>
      <protection/>
    </xf>
    <xf numFmtId="49" fontId="24" fillId="0" borderId="0" xfId="52" applyNumberFormat="1" applyFont="1" applyFill="1" applyBorder="1" applyAlignment="1" applyProtection="1">
      <alignment horizontal="left" vertical="center"/>
      <protection/>
    </xf>
    <xf numFmtId="14" fontId="24" fillId="0" borderId="0" xfId="52" applyNumberFormat="1" applyFont="1" applyFill="1" applyBorder="1" applyAlignment="1" applyProtection="1">
      <alignment horizontal="left" vertical="center"/>
      <protection/>
    </xf>
    <xf numFmtId="0" fontId="24" fillId="0" borderId="16" xfId="52" applyNumberFormat="1" applyFont="1" applyFill="1" applyBorder="1" applyAlignment="1" applyProtection="1">
      <alignment horizontal="left" vertical="center"/>
      <protection/>
    </xf>
    <xf numFmtId="0" fontId="24" fillId="0" borderId="17" xfId="52" applyNumberFormat="1" applyFont="1" applyFill="1" applyBorder="1" applyAlignment="1" applyProtection="1">
      <alignment horizontal="left" vertical="center"/>
      <protection/>
    </xf>
    <xf numFmtId="0" fontId="24" fillId="0" borderId="18" xfId="52" applyNumberFormat="1" applyFont="1" applyFill="1" applyBorder="1" applyAlignment="1" applyProtection="1">
      <alignment horizontal="left" vertical="center"/>
      <protection/>
    </xf>
    <xf numFmtId="49" fontId="24" fillId="0" borderId="19" xfId="52" applyNumberFormat="1" applyFont="1" applyFill="1" applyBorder="1" applyAlignment="1" applyProtection="1">
      <alignment horizontal="left" vertical="center"/>
      <protection/>
    </xf>
    <xf numFmtId="49" fontId="24" fillId="0" borderId="20" xfId="52" applyNumberFormat="1" applyFont="1" applyFill="1" applyBorder="1" applyAlignment="1" applyProtection="1">
      <alignment horizontal="left" vertical="center"/>
      <protection/>
    </xf>
    <xf numFmtId="49" fontId="25" fillId="0" borderId="21" xfId="52" applyNumberFormat="1" applyFont="1" applyFill="1" applyBorder="1" applyAlignment="1" applyProtection="1">
      <alignment horizontal="center" vertical="center"/>
      <protection/>
    </xf>
    <xf numFmtId="49" fontId="25" fillId="0" borderId="22" xfId="52" applyNumberFormat="1" applyFont="1" applyFill="1" applyBorder="1" applyAlignment="1" applyProtection="1">
      <alignment horizontal="center" vertical="center"/>
      <protection/>
    </xf>
    <xf numFmtId="0" fontId="25" fillId="0" borderId="23" xfId="52" applyNumberFormat="1" applyFont="1" applyFill="1" applyBorder="1" applyAlignment="1" applyProtection="1">
      <alignment horizontal="center" vertical="center"/>
      <protection/>
    </xf>
    <xf numFmtId="0" fontId="25" fillId="0" borderId="24" xfId="52" applyNumberFormat="1" applyFont="1" applyFill="1" applyBorder="1" applyAlignment="1" applyProtection="1">
      <alignment horizontal="center" vertical="center"/>
      <protection/>
    </xf>
    <xf numFmtId="0" fontId="22" fillId="0" borderId="25" xfId="52" applyNumberFormat="1" applyFont="1" applyFill="1" applyBorder="1" applyAlignment="1" applyProtection="1">
      <alignment vertical="center"/>
      <protection/>
    </xf>
    <xf numFmtId="49" fontId="25" fillId="0" borderId="26" xfId="52" applyNumberFormat="1" applyFont="1" applyFill="1" applyBorder="1" applyAlignment="1" applyProtection="1">
      <alignment horizontal="left" vertical="center"/>
      <protection/>
    </xf>
    <xf numFmtId="49" fontId="25" fillId="0" borderId="27" xfId="52" applyNumberFormat="1" applyFont="1" applyFill="1" applyBorder="1" applyAlignment="1" applyProtection="1">
      <alignment horizontal="left" vertical="center"/>
      <protection/>
    </xf>
    <xf numFmtId="49" fontId="25" fillId="0" borderId="27" xfId="52" applyNumberFormat="1" applyFont="1" applyFill="1" applyBorder="1" applyAlignment="1" applyProtection="1">
      <alignment horizontal="center" vertical="center"/>
      <protection/>
    </xf>
    <xf numFmtId="49" fontId="25" fillId="0" borderId="28" xfId="52" applyNumberFormat="1" applyFont="1" applyFill="1" applyBorder="1" applyAlignment="1" applyProtection="1">
      <alignment horizontal="right" vertical="center"/>
      <protection/>
    </xf>
    <xf numFmtId="49" fontId="25" fillId="0" borderId="29" xfId="52" applyNumberFormat="1" applyFont="1" applyFill="1" applyBorder="1" applyAlignment="1" applyProtection="1">
      <alignment horizontal="center" vertical="center"/>
      <protection/>
    </xf>
    <xf numFmtId="49" fontId="25" fillId="0" borderId="30" xfId="52" applyNumberFormat="1" applyFont="1" applyFill="1" applyBorder="1" applyAlignment="1" applyProtection="1">
      <alignment horizontal="center" vertical="center"/>
      <protection/>
    </xf>
    <xf numFmtId="49" fontId="25" fillId="0" borderId="31" xfId="52" applyNumberFormat="1" applyFont="1" applyFill="1" applyBorder="1" applyAlignment="1" applyProtection="1">
      <alignment horizontal="center" vertical="center"/>
      <protection/>
    </xf>
    <xf numFmtId="49" fontId="24" fillId="24" borderId="32" xfId="52" applyNumberFormat="1" applyFont="1" applyFill="1" applyBorder="1" applyAlignment="1" applyProtection="1">
      <alignment horizontal="left" vertical="center"/>
      <protection/>
    </xf>
    <xf numFmtId="49" fontId="25" fillId="24" borderId="32" xfId="52" applyNumberFormat="1" applyFont="1" applyFill="1" applyBorder="1" applyAlignment="1" applyProtection="1">
      <alignment horizontal="left" vertical="center"/>
      <protection/>
    </xf>
    <xf numFmtId="49" fontId="25" fillId="24" borderId="32" xfId="52" applyNumberFormat="1" applyFont="1" applyFill="1" applyBorder="1" applyAlignment="1" applyProtection="1">
      <alignment horizontal="left" vertical="center"/>
      <protection/>
    </xf>
    <xf numFmtId="0" fontId="25" fillId="24" borderId="32" xfId="52" applyNumberFormat="1" applyFont="1" applyFill="1" applyBorder="1" applyAlignment="1" applyProtection="1">
      <alignment horizontal="left" vertical="center"/>
      <protection/>
    </xf>
    <xf numFmtId="4" fontId="25" fillId="24" borderId="32" xfId="52" applyNumberFormat="1" applyFont="1" applyFill="1" applyBorder="1" applyAlignment="1" applyProtection="1">
      <alignment horizontal="right" vertical="center"/>
      <protection/>
    </xf>
    <xf numFmtId="49" fontId="25" fillId="24" borderId="32" xfId="52" applyNumberFormat="1" applyFont="1" applyFill="1" applyBorder="1" applyAlignment="1" applyProtection="1">
      <alignment horizontal="right" vertical="center"/>
      <protection/>
    </xf>
    <xf numFmtId="49" fontId="24" fillId="0" borderId="0" xfId="52" applyNumberFormat="1" applyFont="1" applyFill="1" applyBorder="1" applyAlignment="1" applyProtection="1">
      <alignment horizontal="left" vertical="center"/>
      <protection/>
    </xf>
    <xf numFmtId="4" fontId="24" fillId="0" borderId="0" xfId="52" applyNumberFormat="1" applyFont="1" applyFill="1" applyBorder="1" applyAlignment="1" applyProtection="1">
      <alignment horizontal="right" vertical="center"/>
      <protection/>
    </xf>
    <xf numFmtId="49" fontId="24" fillId="24" borderId="0" xfId="52" applyNumberFormat="1" applyFont="1" applyFill="1" applyBorder="1" applyAlignment="1" applyProtection="1">
      <alignment horizontal="left" vertical="center"/>
      <protection/>
    </xf>
    <xf numFmtId="49" fontId="25" fillId="24" borderId="0" xfId="52" applyNumberFormat="1" applyFont="1" applyFill="1" applyBorder="1" applyAlignment="1" applyProtection="1">
      <alignment horizontal="left" vertical="center"/>
      <protection/>
    </xf>
    <xf numFmtId="49" fontId="25" fillId="24" borderId="0" xfId="52" applyNumberFormat="1" applyFont="1" applyFill="1" applyBorder="1" applyAlignment="1" applyProtection="1">
      <alignment horizontal="left" vertical="center"/>
      <protection/>
    </xf>
    <xf numFmtId="0" fontId="25" fillId="24" borderId="0" xfId="52" applyNumberFormat="1" applyFont="1" applyFill="1" applyBorder="1" applyAlignment="1" applyProtection="1">
      <alignment horizontal="left" vertical="center"/>
      <protection/>
    </xf>
    <xf numFmtId="4" fontId="25" fillId="24" borderId="0" xfId="52" applyNumberFormat="1" applyFont="1" applyFill="1" applyBorder="1" applyAlignment="1" applyProtection="1">
      <alignment horizontal="right" vertical="center"/>
      <protection/>
    </xf>
    <xf numFmtId="49" fontId="25" fillId="24" borderId="0" xfId="52" applyNumberFormat="1" applyFont="1" applyFill="1" applyBorder="1" applyAlignment="1" applyProtection="1">
      <alignment horizontal="right" vertical="center"/>
      <protection/>
    </xf>
    <xf numFmtId="49" fontId="24" fillId="0" borderId="10" xfId="52" applyNumberFormat="1" applyFont="1" applyFill="1" applyBorder="1" applyAlignment="1" applyProtection="1">
      <alignment horizontal="left" vertical="center"/>
      <protection/>
    </xf>
    <xf numFmtId="4" fontId="24" fillId="0" borderId="10" xfId="52" applyNumberFormat="1" applyFont="1" applyFill="1" applyBorder="1" applyAlignment="1" applyProtection="1">
      <alignment horizontal="right" vertical="center"/>
      <protection/>
    </xf>
    <xf numFmtId="0" fontId="24" fillId="0" borderId="12" xfId="52" applyNumberFormat="1" applyFont="1" applyFill="1" applyBorder="1" applyAlignment="1" applyProtection="1">
      <alignment vertical="center"/>
      <protection/>
    </xf>
    <xf numFmtId="0" fontId="25" fillId="0" borderId="12" xfId="52" applyNumberFormat="1" applyFont="1" applyFill="1" applyBorder="1" applyAlignment="1" applyProtection="1">
      <alignment horizontal="left" vertical="center"/>
      <protection/>
    </xf>
    <xf numFmtId="4" fontId="25" fillId="0" borderId="12" xfId="52" applyNumberFormat="1" applyFont="1" applyFill="1" applyBorder="1" applyAlignment="1" applyProtection="1">
      <alignment horizontal="right" vertical="center"/>
      <protection/>
    </xf>
    <xf numFmtId="49" fontId="26" fillId="0" borderId="10" xfId="52" applyNumberFormat="1" applyFont="1" applyFill="1" applyBorder="1" applyAlignment="1" applyProtection="1">
      <alignment horizontal="center" vertical="center"/>
      <protection/>
    </xf>
    <xf numFmtId="0" fontId="26" fillId="0" borderId="10" xfId="52" applyNumberFormat="1" applyFont="1" applyFill="1" applyBorder="1" applyAlignment="1" applyProtection="1">
      <alignment horizontal="center" vertical="center"/>
      <protection/>
    </xf>
    <xf numFmtId="49" fontId="22" fillId="0" borderId="11" xfId="52" applyNumberFormat="1" applyFont="1" applyFill="1" applyBorder="1" applyAlignment="1" applyProtection="1">
      <alignment horizontal="left" vertical="center"/>
      <protection/>
    </xf>
    <xf numFmtId="0" fontId="22" fillId="0" borderId="12" xfId="52" applyNumberFormat="1" applyFont="1" applyFill="1" applyBorder="1" applyAlignment="1" applyProtection="1">
      <alignment horizontal="left" vertical="center"/>
      <protection/>
    </xf>
    <xf numFmtId="49" fontId="27" fillId="0" borderId="12" xfId="52" applyNumberFormat="1" applyFont="1" applyFill="1" applyBorder="1" applyAlignment="1" applyProtection="1">
      <alignment horizontal="left" vertical="center"/>
      <protection/>
    </xf>
    <xf numFmtId="0" fontId="27" fillId="0" borderId="12" xfId="52" applyNumberFormat="1" applyFont="1" applyFill="1" applyBorder="1" applyAlignment="1" applyProtection="1">
      <alignment horizontal="left" vertical="center"/>
      <protection/>
    </xf>
    <xf numFmtId="49" fontId="22" fillId="0" borderId="12" xfId="52" applyNumberFormat="1" applyFont="1" applyFill="1" applyBorder="1" applyAlignment="1" applyProtection="1">
      <alignment horizontal="left" vertical="center"/>
      <protection/>
    </xf>
    <xf numFmtId="49" fontId="22" fillId="0" borderId="13" xfId="52" applyNumberFormat="1" applyFont="1" applyFill="1" applyBorder="1" applyAlignment="1" applyProtection="1">
      <alignment horizontal="left" vertical="center"/>
      <protection/>
    </xf>
    <xf numFmtId="0" fontId="22" fillId="0" borderId="14" xfId="52" applyNumberFormat="1" applyFont="1" applyFill="1" applyBorder="1" applyAlignment="1" applyProtection="1">
      <alignment horizontal="left" vertical="center"/>
      <protection/>
    </xf>
    <xf numFmtId="0" fontId="22" fillId="0" borderId="0" xfId="52" applyNumberFormat="1" applyFont="1" applyFill="1" applyBorder="1" applyAlignment="1" applyProtection="1">
      <alignment horizontal="left" vertical="center"/>
      <protection/>
    </xf>
    <xf numFmtId="0" fontId="27" fillId="0" borderId="0" xfId="52" applyNumberFormat="1" applyFont="1" applyFill="1" applyBorder="1" applyAlignment="1" applyProtection="1">
      <alignment horizontal="left" vertical="center"/>
      <protection/>
    </xf>
    <xf numFmtId="0" fontId="22" fillId="0" borderId="15" xfId="52" applyNumberFormat="1" applyFont="1" applyFill="1" applyBorder="1" applyAlignment="1" applyProtection="1">
      <alignment horizontal="left" vertical="center"/>
      <protection/>
    </xf>
    <xf numFmtId="49" fontId="22" fillId="0" borderId="14" xfId="52" applyNumberFormat="1" applyFont="1" applyFill="1" applyBorder="1" applyAlignment="1" applyProtection="1">
      <alignment horizontal="left" vertical="center"/>
      <protection/>
    </xf>
    <xf numFmtId="49" fontId="22" fillId="0" borderId="0" xfId="52" applyNumberFormat="1" applyFont="1" applyFill="1" applyBorder="1" applyAlignment="1" applyProtection="1">
      <alignment horizontal="left" vertical="center"/>
      <protection/>
    </xf>
    <xf numFmtId="49" fontId="22" fillId="0" borderId="15" xfId="52" applyNumberFormat="1" applyFont="1" applyFill="1" applyBorder="1" applyAlignment="1" applyProtection="1">
      <alignment horizontal="left" vertical="center"/>
      <protection/>
    </xf>
    <xf numFmtId="14" fontId="22" fillId="0" borderId="0" xfId="52" applyNumberFormat="1" applyFont="1" applyFill="1" applyBorder="1" applyAlignment="1" applyProtection="1">
      <alignment horizontal="left" vertical="center"/>
      <protection/>
    </xf>
    <xf numFmtId="14" fontId="22" fillId="0" borderId="15" xfId="52" applyNumberFormat="1" applyFont="1" applyFill="1" applyBorder="1" applyAlignment="1" applyProtection="1">
      <alignment horizontal="left" vertical="center"/>
      <protection/>
    </xf>
    <xf numFmtId="0" fontId="22" fillId="0" borderId="33" xfId="52" applyNumberFormat="1" applyFont="1" applyFill="1" applyBorder="1" applyAlignment="1" applyProtection="1">
      <alignment horizontal="left" vertical="center"/>
      <protection/>
    </xf>
    <xf numFmtId="0" fontId="22" fillId="0" borderId="10" xfId="52" applyNumberFormat="1" applyFont="1" applyFill="1" applyBorder="1" applyAlignment="1" applyProtection="1">
      <alignment horizontal="left" vertical="center"/>
      <protection/>
    </xf>
    <xf numFmtId="0" fontId="22" fillId="0" borderId="34" xfId="52" applyNumberFormat="1" applyFont="1" applyFill="1" applyBorder="1" applyAlignment="1" applyProtection="1">
      <alignment horizontal="left" vertical="center"/>
      <protection/>
    </xf>
    <xf numFmtId="49" fontId="28" fillId="0" borderId="35" xfId="52" applyNumberFormat="1" applyFont="1" applyFill="1" applyBorder="1" applyAlignment="1" applyProtection="1">
      <alignment horizontal="center" vertical="center"/>
      <protection/>
    </xf>
    <xf numFmtId="0" fontId="28" fillId="0" borderId="35" xfId="52" applyNumberFormat="1" applyFont="1" applyFill="1" applyBorder="1" applyAlignment="1" applyProtection="1">
      <alignment horizontal="center" vertical="center"/>
      <protection/>
    </xf>
    <xf numFmtId="49" fontId="29" fillId="24" borderId="36" xfId="52" applyNumberFormat="1" applyFont="1" applyFill="1" applyBorder="1" applyAlignment="1" applyProtection="1">
      <alignment horizontal="center" vertical="center"/>
      <protection/>
    </xf>
    <xf numFmtId="49" fontId="30" fillId="0" borderId="37" xfId="52" applyNumberFormat="1" applyFont="1" applyFill="1" applyBorder="1" applyAlignment="1" applyProtection="1">
      <alignment horizontal="left" vertical="center"/>
      <protection/>
    </xf>
    <xf numFmtId="0" fontId="30" fillId="0" borderId="38" xfId="52" applyNumberFormat="1" applyFont="1" applyFill="1" applyBorder="1" applyAlignment="1" applyProtection="1">
      <alignment horizontal="left" vertical="center"/>
      <protection/>
    </xf>
    <xf numFmtId="49" fontId="31" fillId="0" borderId="39" xfId="52" applyNumberFormat="1" applyFont="1" applyFill="1" applyBorder="1" applyAlignment="1" applyProtection="1">
      <alignment horizontal="left" vertical="center"/>
      <protection/>
    </xf>
    <xf numFmtId="49" fontId="32" fillId="0" borderId="36" xfId="52" applyNumberFormat="1" applyFont="1" applyFill="1" applyBorder="1" applyAlignment="1" applyProtection="1">
      <alignment horizontal="left" vertical="center"/>
      <protection/>
    </xf>
    <xf numFmtId="4" fontId="32" fillId="0" borderId="36" xfId="52" applyNumberFormat="1" applyFont="1" applyFill="1" applyBorder="1" applyAlignment="1" applyProtection="1">
      <alignment horizontal="right" vertical="center"/>
      <protection/>
    </xf>
    <xf numFmtId="49" fontId="32" fillId="0" borderId="37" xfId="52" applyNumberFormat="1" applyFont="1" applyFill="1" applyBorder="1" applyAlignment="1" applyProtection="1">
      <alignment horizontal="left" vertical="center"/>
      <protection/>
    </xf>
    <xf numFmtId="0" fontId="32" fillId="0" borderId="38" xfId="52" applyNumberFormat="1" applyFont="1" applyFill="1" applyBorder="1" applyAlignment="1" applyProtection="1">
      <alignment horizontal="left" vertical="center"/>
      <protection/>
    </xf>
    <xf numFmtId="49" fontId="31" fillId="0" borderId="40" xfId="52" applyNumberFormat="1" applyFont="1" applyFill="1" applyBorder="1" applyAlignment="1" applyProtection="1">
      <alignment horizontal="left" vertical="center"/>
      <protection/>
    </xf>
    <xf numFmtId="49" fontId="32" fillId="0" borderId="36" xfId="52" applyNumberFormat="1" applyFont="1" applyFill="1" applyBorder="1" applyAlignment="1" applyProtection="1">
      <alignment horizontal="right" vertical="center"/>
      <protection/>
    </xf>
    <xf numFmtId="49" fontId="31" fillId="0" borderId="37" xfId="52" applyNumberFormat="1" applyFont="1" applyFill="1" applyBorder="1" applyAlignment="1" applyProtection="1">
      <alignment horizontal="left" vertical="center"/>
      <protection/>
    </xf>
    <xf numFmtId="0" fontId="31" fillId="0" borderId="38" xfId="52" applyNumberFormat="1" applyFont="1" applyFill="1" applyBorder="1" applyAlignment="1" applyProtection="1">
      <alignment horizontal="left" vertical="center"/>
      <protection/>
    </xf>
    <xf numFmtId="0" fontId="22" fillId="0" borderId="35" xfId="52" applyNumberFormat="1" applyFont="1" applyFill="1" applyBorder="1" applyAlignment="1" applyProtection="1">
      <alignment vertical="center"/>
      <protection/>
    </xf>
    <xf numFmtId="0" fontId="22" fillId="0" borderId="12" xfId="52" applyNumberFormat="1" applyFont="1" applyFill="1" applyBorder="1" applyAlignment="1" applyProtection="1">
      <alignment vertical="center"/>
      <protection/>
    </xf>
    <xf numFmtId="49" fontId="31" fillId="24" borderId="37" xfId="52" applyNumberFormat="1" applyFont="1" applyFill="1" applyBorder="1" applyAlignment="1" applyProtection="1">
      <alignment horizontal="left" vertical="center"/>
      <protection/>
    </xf>
    <xf numFmtId="0" fontId="31" fillId="24" borderId="35" xfId="52" applyNumberFormat="1" applyFont="1" applyFill="1" applyBorder="1" applyAlignment="1" applyProtection="1">
      <alignment horizontal="left" vertical="center"/>
      <protection/>
    </xf>
    <xf numFmtId="4" fontId="31" fillId="24" borderId="38" xfId="52" applyNumberFormat="1" applyFont="1" applyFill="1" applyBorder="1" applyAlignment="1" applyProtection="1">
      <alignment horizontal="right" vertical="center"/>
      <protection/>
    </xf>
    <xf numFmtId="0" fontId="22" fillId="0" borderId="33" xfId="52" applyNumberFormat="1" applyFont="1" applyFill="1" applyBorder="1" applyAlignment="1" applyProtection="1">
      <alignment vertical="center"/>
      <protection/>
    </xf>
    <xf numFmtId="0" fontId="22" fillId="0" borderId="10" xfId="52" applyNumberFormat="1" applyFont="1" applyFill="1" applyBorder="1" applyAlignment="1" applyProtection="1">
      <alignment vertical="center"/>
      <protection/>
    </xf>
    <xf numFmtId="0" fontId="22" fillId="0" borderId="41" xfId="52" applyNumberFormat="1" applyFont="1" applyFill="1" applyBorder="1" applyAlignment="1" applyProtection="1">
      <alignment vertical="center"/>
      <protection/>
    </xf>
    <xf numFmtId="49" fontId="32" fillId="0" borderId="42" xfId="52" applyNumberFormat="1" applyFont="1" applyFill="1" applyBorder="1" applyAlignment="1" applyProtection="1">
      <alignment horizontal="left" vertical="center"/>
      <protection/>
    </xf>
    <xf numFmtId="0" fontId="32" fillId="0" borderId="32" xfId="52" applyNumberFormat="1" applyFont="1" applyFill="1" applyBorder="1" applyAlignment="1" applyProtection="1">
      <alignment horizontal="left" vertical="center"/>
      <protection/>
    </xf>
    <xf numFmtId="0" fontId="32" fillId="0" borderId="43" xfId="52" applyNumberFormat="1" applyFont="1" applyFill="1" applyBorder="1" applyAlignment="1" applyProtection="1">
      <alignment horizontal="left" vertical="center"/>
      <protection/>
    </xf>
    <xf numFmtId="49" fontId="32" fillId="0" borderId="25" xfId="52" applyNumberFormat="1" applyFont="1" applyFill="1" applyBorder="1" applyAlignment="1" applyProtection="1">
      <alignment horizontal="left" vertical="center"/>
      <protection/>
    </xf>
    <xf numFmtId="0" fontId="32" fillId="0" borderId="0" xfId="52" applyNumberFormat="1" applyFont="1" applyFill="1" applyBorder="1" applyAlignment="1" applyProtection="1">
      <alignment horizontal="left" vertical="center"/>
      <protection/>
    </xf>
    <xf numFmtId="0" fontId="32" fillId="0" borderId="44" xfId="52" applyNumberFormat="1" applyFont="1" applyFill="1" applyBorder="1" applyAlignment="1" applyProtection="1">
      <alignment horizontal="left" vertical="center"/>
      <protection/>
    </xf>
    <xf numFmtId="49" fontId="32" fillId="0" borderId="45" xfId="52" applyNumberFormat="1" applyFont="1" applyFill="1" applyBorder="1" applyAlignment="1" applyProtection="1">
      <alignment horizontal="left" vertical="center"/>
      <protection/>
    </xf>
    <xf numFmtId="0" fontId="32" fillId="0" borderId="17" xfId="52" applyNumberFormat="1" applyFont="1" applyFill="1" applyBorder="1" applyAlignment="1" applyProtection="1">
      <alignment horizontal="left" vertical="center"/>
      <protection/>
    </xf>
    <xf numFmtId="0" fontId="32" fillId="0" borderId="46" xfId="52" applyNumberFormat="1" applyFont="1" applyFill="1" applyBorder="1" applyAlignment="1" applyProtection="1">
      <alignment horizontal="left" vertical="center"/>
      <protection/>
    </xf>
    <xf numFmtId="0" fontId="22" fillId="0" borderId="32" xfId="52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44" fontId="0" fillId="21" borderId="0" xfId="38" applyFont="1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44" fontId="0" fillId="27" borderId="0" xfId="38" applyFont="1" applyFill="1" applyAlignment="1">
      <alignment/>
    </xf>
    <xf numFmtId="8" fontId="0" fillId="26" borderId="0" xfId="38" applyNumberFormat="1" applyFont="1" applyFill="1" applyAlignment="1">
      <alignment/>
    </xf>
    <xf numFmtId="0" fontId="0" fillId="5" borderId="0" xfId="0" applyFill="1" applyAlignment="1">
      <alignment/>
    </xf>
    <xf numFmtId="44" fontId="0" fillId="5" borderId="0" xfId="38" applyFont="1" applyFill="1" applyAlignment="1">
      <alignment/>
    </xf>
    <xf numFmtId="0" fontId="0" fillId="16" borderId="0" xfId="0" applyFill="1" applyAlignment="1">
      <alignment/>
    </xf>
    <xf numFmtId="44" fontId="0" fillId="16" borderId="0" xfId="38" applyFont="1" applyFill="1" applyAlignment="1">
      <alignment/>
    </xf>
    <xf numFmtId="0" fontId="0" fillId="28" borderId="0" xfId="0" applyFill="1" applyAlignment="1">
      <alignment/>
    </xf>
    <xf numFmtId="44" fontId="0" fillId="28" borderId="0" xfId="38" applyFont="1" applyFill="1" applyAlignment="1">
      <alignment/>
    </xf>
    <xf numFmtId="0" fontId="0" fillId="4" borderId="0" xfId="0" applyFill="1" applyAlignment="1">
      <alignment/>
    </xf>
    <xf numFmtId="44" fontId="0" fillId="4" borderId="0" xfId="38" applyFont="1" applyFill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opie - OR - pod tratí Z1 - SO.01. Komunikace" xfId="46"/>
    <cellStyle name="normální_Kopie - OR - pod tratí Z1 - SO.01. Veřejné osvětlení" xfId="47"/>
    <cellStyle name="normální_Kopie - OR - pod tratí Z1 - SO.01.sadove upravy " xfId="48"/>
    <cellStyle name="normální_Kopie - OR - pod tratí Z1 - SO.02. Vodovod" xfId="49"/>
    <cellStyle name="normální_Kopie - OR - pod tratí Z1 - SO.03. Splašková kanalizace" xfId="50"/>
    <cellStyle name="normální_Kopie - OR - pod tratí Z1 - SO.04. Dešťová kanalizace" xfId="51"/>
    <cellStyle name="normální_Kopie - OR - pod tratí Z1 - SO.05. Plynovod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15" sqref="I15"/>
    </sheetView>
  </sheetViews>
  <sheetFormatPr defaultColWidth="9.140625" defaultRowHeight="15"/>
  <cols>
    <col min="6" max="6" width="22.7109375" style="6" bestFit="1" customWidth="1"/>
  </cols>
  <sheetData>
    <row r="1" spans="1:6" ht="27">
      <c r="A1" s="1" t="s">
        <v>0</v>
      </c>
      <c r="B1" s="1"/>
      <c r="C1" s="1"/>
      <c r="D1" s="1"/>
      <c r="E1" s="1"/>
      <c r="F1" s="5"/>
    </row>
    <row r="3" spans="1:5" ht="18.75">
      <c r="A3" s="2" t="s">
        <v>1</v>
      </c>
      <c r="B3" s="2" t="s">
        <v>2</v>
      </c>
      <c r="C3" s="2"/>
      <c r="D3" s="2"/>
      <c r="E3" s="2"/>
    </row>
    <row r="5" spans="2:3" ht="15.75">
      <c r="B5" s="4" t="s">
        <v>3</v>
      </c>
      <c r="C5" s="3" t="s">
        <v>18</v>
      </c>
    </row>
    <row r="7" spans="1:6" ht="15">
      <c r="A7" s="754" t="s">
        <v>12</v>
      </c>
      <c r="B7" s="754" t="s">
        <v>4</v>
      </c>
      <c r="C7" s="754"/>
      <c r="D7" s="754"/>
      <c r="E7" s="754"/>
      <c r="F7" s="755">
        <f>SUM('Krycí list rozpočtu'!C26)</f>
        <v>0</v>
      </c>
    </row>
    <row r="9" spans="1:6" ht="15">
      <c r="A9" s="760" t="s">
        <v>13</v>
      </c>
      <c r="B9" s="760" t="s">
        <v>7</v>
      </c>
      <c r="C9" s="760"/>
      <c r="D9" s="760"/>
      <c r="E9" s="760"/>
      <c r="F9" s="761">
        <f>SUM('Krycí list rozpočtu (4)'!C26)</f>
        <v>0</v>
      </c>
    </row>
    <row r="11" spans="1:6" ht="15">
      <c r="A11" s="762" t="s">
        <v>14</v>
      </c>
      <c r="B11" s="762" t="s">
        <v>5</v>
      </c>
      <c r="C11" s="762"/>
      <c r="D11" s="762"/>
      <c r="E11" s="762"/>
      <c r="F11" s="763">
        <f>SUM('Krycí list rozpočtu (5)'!C26)</f>
        <v>0</v>
      </c>
    </row>
    <row r="13" spans="1:6" ht="15">
      <c r="A13" s="764" t="s">
        <v>15</v>
      </c>
      <c r="B13" s="764" t="s">
        <v>6</v>
      </c>
      <c r="C13" s="764"/>
      <c r="D13" s="764"/>
      <c r="E13" s="764"/>
      <c r="F13" s="765">
        <f>SUM('Krycí list rozpočtu (6)'!C26)</f>
        <v>0</v>
      </c>
    </row>
    <row r="15" spans="1:6" ht="15">
      <c r="A15" s="766" t="s">
        <v>16</v>
      </c>
      <c r="B15" s="766" t="s">
        <v>8</v>
      </c>
      <c r="C15" s="766"/>
      <c r="D15" s="766"/>
      <c r="E15" s="766"/>
      <c r="F15" s="767">
        <f>SUM('Krycí list rozpočtu (7)'!C26)</f>
        <v>0</v>
      </c>
    </row>
    <row r="17" spans="1:6" ht="15">
      <c r="A17" s="756" t="s">
        <v>17</v>
      </c>
      <c r="B17" s="756" t="s">
        <v>10</v>
      </c>
      <c r="C17" s="756"/>
      <c r="D17" s="756"/>
      <c r="E17" s="756"/>
      <c r="F17" s="759">
        <f>SUM('Krycí list rozpočtu (2)'!C26)</f>
        <v>0</v>
      </c>
    </row>
    <row r="18" ht="15">
      <c r="F18" s="7"/>
    </row>
    <row r="19" spans="1:6" ht="15">
      <c r="A19" s="757" t="s">
        <v>379</v>
      </c>
      <c r="B19" s="757" t="s">
        <v>9</v>
      </c>
      <c r="C19" s="757"/>
      <c r="D19" s="757"/>
      <c r="E19" s="757"/>
      <c r="F19" s="758">
        <f>SUM('Krycí list rozpočtu (3)'!C26)</f>
        <v>0</v>
      </c>
    </row>
    <row r="21" spans="2:6" ht="15">
      <c r="B21" s="3" t="s">
        <v>11</v>
      </c>
      <c r="F21" s="8">
        <f>SUM(F7:F19)</f>
        <v>0</v>
      </c>
    </row>
    <row r="23" spans="1:6" ht="15">
      <c r="A23" s="3" t="s">
        <v>378</v>
      </c>
      <c r="F23" s="6">
        <f>SUM(F21/100*20)</f>
        <v>0</v>
      </c>
    </row>
    <row r="24" spans="1:6" ht="15.75">
      <c r="A24" s="3" t="s">
        <v>377</v>
      </c>
      <c r="B24" s="4"/>
      <c r="C24" s="3"/>
      <c r="D24" s="3"/>
      <c r="E24" s="3"/>
      <c r="F24" s="8">
        <f>SUM(F21+F23)</f>
        <v>0</v>
      </c>
    </row>
    <row r="36" ht="15">
      <c r="F36" s="7"/>
    </row>
    <row r="37" ht="15">
      <c r="F37" s="7"/>
    </row>
    <row r="38" ht="15">
      <c r="F38" s="7"/>
    </row>
  </sheetData>
  <sheetProtection/>
  <printOptions/>
  <pageMargins left="1.0899999999999999" right="0.7" top="0.787401575" bottom="0.787401575" header="0.3" footer="0.3"/>
  <pageSetup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M29"/>
  <sheetViews>
    <sheetView workbookViewId="0" topLeftCell="A1">
      <selection activeCell="G28" sqref="G28"/>
    </sheetView>
  </sheetViews>
  <sheetFormatPr defaultColWidth="9.140625" defaultRowHeight="15"/>
  <cols>
    <col min="1" max="1" width="3.7109375" style="652" customWidth="1"/>
    <col min="2" max="2" width="1.28515625" style="652" customWidth="1"/>
    <col min="3" max="3" width="13.28125" style="652" customWidth="1"/>
    <col min="4" max="4" width="37.57421875" style="652" customWidth="1"/>
    <col min="5" max="5" width="4.28125" style="652" customWidth="1"/>
    <col min="6" max="6" width="8.8515625" style="652" customWidth="1"/>
    <col min="7" max="7" width="11.28125" style="652" customWidth="1"/>
    <col min="8" max="9" width="12.28125" style="652" customWidth="1"/>
    <col min="10" max="10" width="11.7109375" style="652" customWidth="1"/>
    <col min="11" max="11" width="10.421875" style="652" customWidth="1"/>
    <col min="12" max="12" width="10.28125" style="652" customWidth="1"/>
    <col min="13" max="16384" width="11.421875" style="652" customWidth="1"/>
  </cols>
  <sheetData>
    <row r="1" spans="1:12" ht="21.75" customHeight="1">
      <c r="A1" s="650" t="s">
        <v>19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3" ht="12.75">
      <c r="A2" s="653" t="s">
        <v>20</v>
      </c>
      <c r="B2" s="654"/>
      <c r="C2" s="654"/>
      <c r="D2" s="655" t="s">
        <v>21</v>
      </c>
      <c r="E2" s="656" t="s">
        <v>22</v>
      </c>
      <c r="F2" s="654"/>
      <c r="G2" s="656"/>
      <c r="H2" s="654"/>
      <c r="I2" s="656" t="s">
        <v>23</v>
      </c>
      <c r="J2" s="656"/>
      <c r="K2" s="654"/>
      <c r="L2" s="657"/>
      <c r="M2" s="658"/>
    </row>
    <row r="3" spans="1:13" ht="12.75">
      <c r="A3" s="659"/>
      <c r="B3" s="660"/>
      <c r="C3" s="660"/>
      <c r="D3" s="661"/>
      <c r="E3" s="660"/>
      <c r="F3" s="660"/>
      <c r="G3" s="660"/>
      <c r="H3" s="660"/>
      <c r="I3" s="660"/>
      <c r="J3" s="660"/>
      <c r="K3" s="660"/>
      <c r="L3" s="662"/>
      <c r="M3" s="658"/>
    </row>
    <row r="4" spans="1:13" ht="12.75">
      <c r="A4" s="663" t="s">
        <v>24</v>
      </c>
      <c r="B4" s="660"/>
      <c r="C4" s="660"/>
      <c r="D4" s="664" t="s">
        <v>274</v>
      </c>
      <c r="E4" s="664" t="s">
        <v>26</v>
      </c>
      <c r="F4" s="660"/>
      <c r="G4" s="665"/>
      <c r="H4" s="660"/>
      <c r="I4" s="664" t="s">
        <v>27</v>
      </c>
      <c r="J4" s="664"/>
      <c r="K4" s="660"/>
      <c r="L4" s="662"/>
      <c r="M4" s="658"/>
    </row>
    <row r="5" spans="1:13" ht="12.75">
      <c r="A5" s="659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2"/>
      <c r="M5" s="658"/>
    </row>
    <row r="6" spans="1:13" ht="12.75">
      <c r="A6" s="663" t="s">
        <v>28</v>
      </c>
      <c r="B6" s="660"/>
      <c r="C6" s="660"/>
      <c r="D6" s="664" t="s">
        <v>29</v>
      </c>
      <c r="E6" s="664" t="s">
        <v>30</v>
      </c>
      <c r="F6" s="660"/>
      <c r="G6" s="660"/>
      <c r="H6" s="660"/>
      <c r="I6" s="664" t="s">
        <v>31</v>
      </c>
      <c r="J6" s="664"/>
      <c r="K6" s="660"/>
      <c r="L6" s="662"/>
      <c r="M6" s="658"/>
    </row>
    <row r="7" spans="1:13" ht="12.75">
      <c r="A7" s="659"/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2"/>
      <c r="M7" s="658"/>
    </row>
    <row r="8" spans="1:13" ht="12.75">
      <c r="A8" s="663" t="s">
        <v>32</v>
      </c>
      <c r="B8" s="660"/>
      <c r="C8" s="660"/>
      <c r="D8" s="664"/>
      <c r="E8" s="664" t="s">
        <v>33</v>
      </c>
      <c r="F8" s="660"/>
      <c r="G8" s="665">
        <v>41014</v>
      </c>
      <c r="H8" s="660"/>
      <c r="I8" s="664" t="s">
        <v>34</v>
      </c>
      <c r="J8" s="664"/>
      <c r="K8" s="660"/>
      <c r="L8" s="662"/>
      <c r="M8" s="658"/>
    </row>
    <row r="9" spans="1:13" ht="12.75">
      <c r="A9" s="666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8"/>
      <c r="M9" s="658"/>
    </row>
    <row r="10" spans="1:13" ht="12.75">
      <c r="A10" s="669" t="s">
        <v>35</v>
      </c>
      <c r="B10" s="670" t="s">
        <v>35</v>
      </c>
      <c r="C10" s="670" t="s">
        <v>35</v>
      </c>
      <c r="D10" s="670" t="s">
        <v>35</v>
      </c>
      <c r="E10" s="670" t="s">
        <v>35</v>
      </c>
      <c r="F10" s="670" t="s">
        <v>35</v>
      </c>
      <c r="G10" s="671" t="s">
        <v>36</v>
      </c>
      <c r="H10" s="672" t="s">
        <v>37</v>
      </c>
      <c r="I10" s="673"/>
      <c r="J10" s="674"/>
      <c r="K10" s="672" t="s">
        <v>38</v>
      </c>
      <c r="L10" s="674"/>
      <c r="M10" s="675"/>
    </row>
    <row r="11" spans="1:13" ht="12.75">
      <c r="A11" s="676" t="s">
        <v>39</v>
      </c>
      <c r="B11" s="677" t="s">
        <v>40</v>
      </c>
      <c r="C11" s="677" t="s">
        <v>41</v>
      </c>
      <c r="D11" s="677" t="s">
        <v>42</v>
      </c>
      <c r="E11" s="677" t="s">
        <v>43</v>
      </c>
      <c r="F11" s="678" t="s">
        <v>44</v>
      </c>
      <c r="G11" s="679" t="s">
        <v>45</v>
      </c>
      <c r="H11" s="680" t="s">
        <v>46</v>
      </c>
      <c r="I11" s="681" t="s">
        <v>47</v>
      </c>
      <c r="J11" s="682" t="s">
        <v>48</v>
      </c>
      <c r="K11" s="680" t="s">
        <v>36</v>
      </c>
      <c r="L11" s="682" t="s">
        <v>48</v>
      </c>
      <c r="M11" s="675"/>
    </row>
    <row r="12" spans="1:12" ht="12.75">
      <c r="A12" s="683"/>
      <c r="B12" s="683"/>
      <c r="C12" s="684" t="s">
        <v>96</v>
      </c>
      <c r="D12" s="685" t="s">
        <v>291</v>
      </c>
      <c r="E12" s="686"/>
      <c r="F12" s="686"/>
      <c r="G12" s="686"/>
      <c r="H12" s="687">
        <f>SUM(H13:H14)</f>
        <v>0</v>
      </c>
      <c r="I12" s="687">
        <f>SUM(I13:I14)</f>
        <v>0</v>
      </c>
      <c r="J12" s="687">
        <f aca="true" t="shared" si="0" ref="J12:J28">H12+I12</f>
        <v>0</v>
      </c>
      <c r="K12" s="688"/>
      <c r="L12" s="687">
        <f>SUM(L13:L14)</f>
        <v>0</v>
      </c>
    </row>
    <row r="13" spans="1:12" ht="12.75">
      <c r="A13" s="689" t="s">
        <v>51</v>
      </c>
      <c r="B13" s="689"/>
      <c r="C13" s="689" t="s">
        <v>292</v>
      </c>
      <c r="D13" s="689" t="s">
        <v>293</v>
      </c>
      <c r="E13" s="689" t="s">
        <v>54</v>
      </c>
      <c r="F13" s="690">
        <v>222</v>
      </c>
      <c r="G13" s="690">
        <v>0</v>
      </c>
      <c r="H13" s="690">
        <f>F13*G13*0</f>
        <v>0</v>
      </c>
      <c r="I13" s="690">
        <f>F13*G13*(1-0)</f>
        <v>0</v>
      </c>
      <c r="J13" s="690">
        <f t="shared" si="0"/>
        <v>0</v>
      </c>
      <c r="K13" s="690">
        <v>0</v>
      </c>
      <c r="L13" s="690">
        <f>F13*K13</f>
        <v>0</v>
      </c>
    </row>
    <row r="14" spans="1:12" ht="12.75">
      <c r="A14" s="689" t="s">
        <v>57</v>
      </c>
      <c r="B14" s="689"/>
      <c r="C14" s="689" t="s">
        <v>294</v>
      </c>
      <c r="D14" s="689" t="s">
        <v>295</v>
      </c>
      <c r="E14" s="689" t="s">
        <v>54</v>
      </c>
      <c r="F14" s="690">
        <v>222</v>
      </c>
      <c r="G14" s="690">
        <v>0</v>
      </c>
      <c r="H14" s="690">
        <f>F14*G14*0</f>
        <v>0</v>
      </c>
      <c r="I14" s="690">
        <f>F14*G14*(1-0)</f>
        <v>0</v>
      </c>
      <c r="J14" s="690">
        <f t="shared" si="0"/>
        <v>0</v>
      </c>
      <c r="K14" s="690">
        <v>0</v>
      </c>
      <c r="L14" s="690">
        <f>F14*K14</f>
        <v>0</v>
      </c>
    </row>
    <row r="15" spans="1:12" ht="12.75">
      <c r="A15" s="691"/>
      <c r="B15" s="691"/>
      <c r="C15" s="692" t="s">
        <v>112</v>
      </c>
      <c r="D15" s="693" t="s">
        <v>296</v>
      </c>
      <c r="E15" s="694"/>
      <c r="F15" s="694"/>
      <c r="G15" s="694"/>
      <c r="H15" s="695">
        <f>SUM(H16:H16)</f>
        <v>0</v>
      </c>
      <c r="I15" s="695">
        <f>SUM(I16:I16)</f>
        <v>0</v>
      </c>
      <c r="J15" s="695">
        <f t="shared" si="0"/>
        <v>0</v>
      </c>
      <c r="K15" s="696"/>
      <c r="L15" s="695">
        <f>SUM(L16:L16)</f>
        <v>0</v>
      </c>
    </row>
    <row r="16" spans="1:12" ht="12.75">
      <c r="A16" s="689" t="s">
        <v>61</v>
      </c>
      <c r="B16" s="689"/>
      <c r="C16" s="689" t="s">
        <v>297</v>
      </c>
      <c r="D16" s="689" t="s">
        <v>298</v>
      </c>
      <c r="E16" s="689" t="s">
        <v>54</v>
      </c>
      <c r="F16" s="690">
        <v>222</v>
      </c>
      <c r="G16" s="690">
        <v>0</v>
      </c>
      <c r="H16" s="690">
        <f>F16*G16*0</f>
        <v>0</v>
      </c>
      <c r="I16" s="690">
        <f>F16*G16*(1-0)</f>
        <v>0</v>
      </c>
      <c r="J16" s="690">
        <f t="shared" si="0"/>
        <v>0</v>
      </c>
      <c r="K16" s="690">
        <v>0</v>
      </c>
      <c r="L16" s="690">
        <f>F16*K16</f>
        <v>0</v>
      </c>
    </row>
    <row r="17" spans="1:12" ht="12.75">
      <c r="A17" s="691"/>
      <c r="B17" s="691"/>
      <c r="C17" s="692" t="s">
        <v>55</v>
      </c>
      <c r="D17" s="693" t="s">
        <v>56</v>
      </c>
      <c r="E17" s="694"/>
      <c r="F17" s="694"/>
      <c r="G17" s="694"/>
      <c r="H17" s="695">
        <f>SUM(H18:H19)</f>
        <v>0</v>
      </c>
      <c r="I17" s="695">
        <f>SUM(I18:I19)</f>
        <v>0</v>
      </c>
      <c r="J17" s="695">
        <f t="shared" si="0"/>
        <v>0</v>
      </c>
      <c r="K17" s="696"/>
      <c r="L17" s="695">
        <f>SUM(L18:L19)</f>
        <v>120.33500000000001</v>
      </c>
    </row>
    <row r="18" spans="1:12" ht="12.75">
      <c r="A18" s="689" t="s">
        <v>67</v>
      </c>
      <c r="B18" s="689"/>
      <c r="C18" s="689" t="s">
        <v>299</v>
      </c>
      <c r="D18" s="689" t="s">
        <v>300</v>
      </c>
      <c r="E18" s="689" t="s">
        <v>54</v>
      </c>
      <c r="F18" s="690">
        <v>20.5</v>
      </c>
      <c r="G18" s="690">
        <v>0</v>
      </c>
      <c r="H18" s="690">
        <f>F18*G18*0.70131696599576</f>
        <v>0</v>
      </c>
      <c r="I18" s="690">
        <f>F18*G18*(1-0.70131696599576)</f>
        <v>0</v>
      </c>
      <c r="J18" s="690">
        <f t="shared" si="0"/>
        <v>0</v>
      </c>
      <c r="K18" s="690">
        <v>2.088</v>
      </c>
      <c r="L18" s="690">
        <f>F18*K18</f>
        <v>42.804</v>
      </c>
    </row>
    <row r="19" spans="1:12" ht="12.75">
      <c r="A19" s="689" t="s">
        <v>70</v>
      </c>
      <c r="B19" s="689"/>
      <c r="C19" s="689" t="s">
        <v>301</v>
      </c>
      <c r="D19" s="689" t="s">
        <v>302</v>
      </c>
      <c r="E19" s="689" t="s">
        <v>54</v>
      </c>
      <c r="F19" s="690">
        <v>41</v>
      </c>
      <c r="G19" s="690">
        <v>0</v>
      </c>
      <c r="H19" s="690">
        <f>F19*G19*0.675728753953483</f>
        <v>0</v>
      </c>
      <c r="I19" s="690">
        <f>F19*G19*(1-0.675728753953483)</f>
        <v>0</v>
      </c>
      <c r="J19" s="690">
        <f t="shared" si="0"/>
        <v>0</v>
      </c>
      <c r="K19" s="690">
        <v>1.891</v>
      </c>
      <c r="L19" s="690">
        <f>F19*K19</f>
        <v>77.531</v>
      </c>
    </row>
    <row r="20" spans="1:12" ht="12.75">
      <c r="A20" s="691"/>
      <c r="B20" s="691"/>
      <c r="C20" s="692" t="s">
        <v>303</v>
      </c>
      <c r="D20" s="693" t="s">
        <v>304</v>
      </c>
      <c r="E20" s="694"/>
      <c r="F20" s="694"/>
      <c r="G20" s="694"/>
      <c r="H20" s="695">
        <f>SUM(H21:H22)</f>
        <v>0</v>
      </c>
      <c r="I20" s="695">
        <f>SUM(I21:I22)</f>
        <v>0</v>
      </c>
      <c r="J20" s="695">
        <f t="shared" si="0"/>
        <v>0</v>
      </c>
      <c r="K20" s="696"/>
      <c r="L20" s="695">
        <f>SUM(L21:L22)</f>
        <v>0</v>
      </c>
    </row>
    <row r="21" spans="1:12" ht="12.75">
      <c r="A21" s="689" t="s">
        <v>73</v>
      </c>
      <c r="B21" s="689"/>
      <c r="C21" s="689" t="s">
        <v>305</v>
      </c>
      <c r="D21" s="689" t="s">
        <v>365</v>
      </c>
      <c r="E21" s="689" t="s">
        <v>64</v>
      </c>
      <c r="F21" s="690">
        <v>140.9</v>
      </c>
      <c r="G21" s="690">
        <v>0</v>
      </c>
      <c r="H21" s="690">
        <f>F21*G21*0.486732665323515</f>
        <v>0</v>
      </c>
      <c r="I21" s="690">
        <f>F21*G21*(1-0.486732665323515)</f>
        <v>0</v>
      </c>
      <c r="J21" s="690">
        <f t="shared" si="0"/>
        <v>0</v>
      </c>
      <c r="K21" s="690">
        <v>0</v>
      </c>
      <c r="L21" s="690">
        <f>F21*K21</f>
        <v>0</v>
      </c>
    </row>
    <row r="22" spans="1:12" ht="12.75">
      <c r="A22" s="689" t="s">
        <v>76</v>
      </c>
      <c r="B22" s="689"/>
      <c r="C22" s="689" t="s">
        <v>366</v>
      </c>
      <c r="D22" s="689" t="s">
        <v>367</v>
      </c>
      <c r="E22" s="689" t="s">
        <v>64</v>
      </c>
      <c r="F22" s="690">
        <v>382.2</v>
      </c>
      <c r="G22" s="690">
        <v>0</v>
      </c>
      <c r="H22" s="690">
        <f>F22*G22*0.479439447804173</f>
        <v>0</v>
      </c>
      <c r="I22" s="690">
        <f>F22*G22*(1-0.479439447804173)</f>
        <v>0</v>
      </c>
      <c r="J22" s="690">
        <f t="shared" si="0"/>
        <v>0</v>
      </c>
      <c r="K22" s="690">
        <v>0</v>
      </c>
      <c r="L22" s="690">
        <f>F22*K22</f>
        <v>0</v>
      </c>
    </row>
    <row r="23" spans="1:12" ht="12.75">
      <c r="A23" s="691"/>
      <c r="B23" s="691"/>
      <c r="C23" s="692" t="s">
        <v>115</v>
      </c>
      <c r="D23" s="693" t="s">
        <v>116</v>
      </c>
      <c r="E23" s="694"/>
      <c r="F23" s="694"/>
      <c r="G23" s="694"/>
      <c r="H23" s="695">
        <f>SUM(H24:H26)</f>
        <v>0</v>
      </c>
      <c r="I23" s="695">
        <f>SUM(I24:I26)</f>
        <v>0</v>
      </c>
      <c r="J23" s="695">
        <f t="shared" si="0"/>
        <v>0</v>
      </c>
      <c r="K23" s="696"/>
      <c r="L23" s="695">
        <f>SUM(L24:L26)</f>
        <v>174.00613</v>
      </c>
    </row>
    <row r="24" spans="1:12" ht="12.75">
      <c r="A24" s="689" t="s">
        <v>79</v>
      </c>
      <c r="B24" s="689"/>
      <c r="C24" s="689" t="s">
        <v>315</v>
      </c>
      <c r="D24" s="689" t="s">
        <v>319</v>
      </c>
      <c r="E24" s="689" t="s">
        <v>64</v>
      </c>
      <c r="F24" s="690">
        <v>523.1</v>
      </c>
      <c r="G24" s="690">
        <v>0</v>
      </c>
      <c r="H24" s="690">
        <f>F24*G24*0.0278910828514927</f>
        <v>0</v>
      </c>
      <c r="I24" s="690">
        <f>F24*G24*(1-0.0278910828514927)</f>
        <v>0</v>
      </c>
      <c r="J24" s="690">
        <f t="shared" si="0"/>
        <v>0</v>
      </c>
      <c r="K24" s="690">
        <v>0</v>
      </c>
      <c r="L24" s="690">
        <f>F24*K24</f>
        <v>0</v>
      </c>
    </row>
    <row r="25" spans="1:12" ht="12.75">
      <c r="A25" s="689" t="s">
        <v>84</v>
      </c>
      <c r="B25" s="689"/>
      <c r="C25" s="689" t="s">
        <v>368</v>
      </c>
      <c r="D25" s="689" t="s">
        <v>369</v>
      </c>
      <c r="E25" s="689" t="s">
        <v>370</v>
      </c>
      <c r="F25" s="690">
        <v>1</v>
      </c>
      <c r="G25" s="690">
        <v>0</v>
      </c>
      <c r="H25" s="690">
        <f>F25*G25*0.160287562759717</f>
        <v>0</v>
      </c>
      <c r="I25" s="690">
        <f>F25*G25*(1-0.160287562759717)</f>
        <v>0</v>
      </c>
      <c r="J25" s="690">
        <f t="shared" si="0"/>
        <v>0</v>
      </c>
      <c r="K25" s="690">
        <v>0.00013</v>
      </c>
      <c r="L25" s="690">
        <f>F25*K25</f>
        <v>0.00013</v>
      </c>
    </row>
    <row r="26" spans="1:12" ht="12.75">
      <c r="A26" s="689" t="s">
        <v>89</v>
      </c>
      <c r="B26" s="689"/>
      <c r="C26" s="689" t="s">
        <v>371</v>
      </c>
      <c r="D26" s="689" t="s">
        <v>372</v>
      </c>
      <c r="E26" s="689" t="s">
        <v>120</v>
      </c>
      <c r="F26" s="690">
        <v>18</v>
      </c>
      <c r="G26" s="690">
        <v>0</v>
      </c>
      <c r="H26" s="690">
        <f>F26*G26*0.580229231071013</f>
        <v>0</v>
      </c>
      <c r="I26" s="690">
        <f>F26*G26*(1-0.580229231071013)</f>
        <v>0</v>
      </c>
      <c r="J26" s="690">
        <f t="shared" si="0"/>
        <v>0</v>
      </c>
      <c r="K26" s="690">
        <v>9.667</v>
      </c>
      <c r="L26" s="690">
        <f>F26*K26</f>
        <v>174.006</v>
      </c>
    </row>
    <row r="27" spans="1:12" ht="12.75">
      <c r="A27" s="691"/>
      <c r="B27" s="691"/>
      <c r="C27" s="692" t="s">
        <v>373</v>
      </c>
      <c r="D27" s="693" t="s">
        <v>374</v>
      </c>
      <c r="E27" s="694"/>
      <c r="F27" s="694"/>
      <c r="G27" s="694"/>
      <c r="H27" s="695">
        <f>SUM(H28:H28)</f>
        <v>0</v>
      </c>
      <c r="I27" s="695">
        <f>SUM(I28:I28)</f>
        <v>0</v>
      </c>
      <c r="J27" s="695">
        <f t="shared" si="0"/>
        <v>0</v>
      </c>
      <c r="K27" s="696"/>
      <c r="L27" s="695">
        <f>SUM(L28:L28)</f>
        <v>0</v>
      </c>
    </row>
    <row r="28" spans="1:12" ht="12.75">
      <c r="A28" s="697" t="s">
        <v>92</v>
      </c>
      <c r="B28" s="697"/>
      <c r="C28" s="697" t="s">
        <v>375</v>
      </c>
      <c r="D28" s="697" t="s">
        <v>376</v>
      </c>
      <c r="E28" s="697" t="s">
        <v>155</v>
      </c>
      <c r="F28" s="698">
        <v>36</v>
      </c>
      <c r="G28" s="698">
        <v>0</v>
      </c>
      <c r="H28" s="698">
        <f>F28*G28*0</f>
        <v>0</v>
      </c>
      <c r="I28" s="698">
        <f>F28*G28*(1-0)</f>
        <v>0</v>
      </c>
      <c r="J28" s="698">
        <f t="shared" si="0"/>
        <v>0</v>
      </c>
      <c r="K28" s="698">
        <v>0</v>
      </c>
      <c r="L28" s="698">
        <f>F28*K28</f>
        <v>0</v>
      </c>
    </row>
    <row r="29" spans="1:12" ht="12.75">
      <c r="A29" s="699"/>
      <c r="B29" s="699"/>
      <c r="C29" s="699"/>
      <c r="D29" s="699"/>
      <c r="E29" s="699"/>
      <c r="F29" s="699"/>
      <c r="G29" s="699"/>
      <c r="H29" s="655" t="s">
        <v>159</v>
      </c>
      <c r="I29" s="700"/>
      <c r="J29" s="701">
        <f>J12+J15+J17+J20+J23+J27</f>
        <v>0</v>
      </c>
      <c r="K29" s="699"/>
      <c r="L29" s="699"/>
    </row>
  </sheetData>
  <mergeCells count="34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5:G15"/>
    <mergeCell ref="H29:I29"/>
    <mergeCell ref="D17:G17"/>
    <mergeCell ref="D20:G20"/>
    <mergeCell ref="D23:G23"/>
    <mergeCell ref="D27:G27"/>
  </mergeCells>
  <printOptions/>
  <pageMargins left="0.51" right="0.5" top="0.73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33"/>
  <sheetViews>
    <sheetView workbookViewId="0" topLeftCell="A1">
      <selection activeCell="K24" sqref="K24"/>
    </sheetView>
  </sheetViews>
  <sheetFormatPr defaultColWidth="9.140625" defaultRowHeight="15"/>
  <cols>
    <col min="1" max="1" width="9.140625" style="652" customWidth="1"/>
    <col min="2" max="2" width="11.8515625" style="652" customWidth="1"/>
    <col min="3" max="3" width="21.7109375" style="652" customWidth="1"/>
    <col min="4" max="4" width="8.8515625" style="652" customWidth="1"/>
    <col min="5" max="5" width="14.00390625" style="652" customWidth="1"/>
    <col min="6" max="6" width="22.57421875" style="652" customWidth="1"/>
    <col min="7" max="7" width="9.140625" style="652" customWidth="1"/>
    <col min="8" max="8" width="11.8515625" style="652" customWidth="1"/>
    <col min="9" max="9" width="22.421875" style="652" customWidth="1"/>
    <col min="10" max="16384" width="11.421875" style="652" customWidth="1"/>
  </cols>
  <sheetData>
    <row r="1" spans="1:9" ht="28.5" customHeight="1">
      <c r="A1" s="702" t="s">
        <v>160</v>
      </c>
      <c r="B1" s="703"/>
      <c r="C1" s="703"/>
      <c r="D1" s="703"/>
      <c r="E1" s="703"/>
      <c r="F1" s="703"/>
      <c r="G1" s="703"/>
      <c r="H1" s="703"/>
      <c r="I1" s="703"/>
    </row>
    <row r="2" spans="1:10" ht="12.75">
      <c r="A2" s="704" t="s">
        <v>20</v>
      </c>
      <c r="B2" s="705"/>
      <c r="C2" s="706" t="s">
        <v>21</v>
      </c>
      <c r="D2" s="707"/>
      <c r="E2" s="708" t="s">
        <v>23</v>
      </c>
      <c r="F2" s="708"/>
      <c r="G2" s="705"/>
      <c r="H2" s="708" t="s">
        <v>161</v>
      </c>
      <c r="I2" s="709"/>
      <c r="J2" s="658"/>
    </row>
    <row r="3" spans="1:10" ht="12.75">
      <c r="A3" s="710"/>
      <c r="B3" s="711"/>
      <c r="C3" s="712"/>
      <c r="D3" s="712"/>
      <c r="E3" s="711"/>
      <c r="F3" s="711"/>
      <c r="G3" s="711"/>
      <c r="H3" s="711"/>
      <c r="I3" s="713"/>
      <c r="J3" s="658"/>
    </row>
    <row r="4" spans="1:10" ht="12.75">
      <c r="A4" s="714" t="s">
        <v>24</v>
      </c>
      <c r="B4" s="711"/>
      <c r="C4" s="715" t="s">
        <v>274</v>
      </c>
      <c r="D4" s="711"/>
      <c r="E4" s="715" t="s">
        <v>27</v>
      </c>
      <c r="F4" s="715"/>
      <c r="G4" s="711"/>
      <c r="H4" s="715" t="s">
        <v>161</v>
      </c>
      <c r="I4" s="716"/>
      <c r="J4" s="658"/>
    </row>
    <row r="5" spans="1:10" ht="12.75">
      <c r="A5" s="710"/>
      <c r="B5" s="711"/>
      <c r="C5" s="711"/>
      <c r="D5" s="711"/>
      <c r="E5" s="711"/>
      <c r="F5" s="711"/>
      <c r="G5" s="711"/>
      <c r="H5" s="711"/>
      <c r="I5" s="713"/>
      <c r="J5" s="658"/>
    </row>
    <row r="6" spans="1:10" ht="12.75">
      <c r="A6" s="714" t="s">
        <v>28</v>
      </c>
      <c r="B6" s="711"/>
      <c r="C6" s="715" t="s">
        <v>29</v>
      </c>
      <c r="D6" s="711"/>
      <c r="E6" s="715" t="s">
        <v>31</v>
      </c>
      <c r="F6" s="715"/>
      <c r="G6" s="711"/>
      <c r="H6" s="715" t="s">
        <v>161</v>
      </c>
      <c r="I6" s="716"/>
      <c r="J6" s="658"/>
    </row>
    <row r="7" spans="1:10" ht="12.75">
      <c r="A7" s="710"/>
      <c r="B7" s="711"/>
      <c r="C7" s="711"/>
      <c r="D7" s="711"/>
      <c r="E7" s="711"/>
      <c r="F7" s="711"/>
      <c r="G7" s="711"/>
      <c r="H7" s="711"/>
      <c r="I7" s="713"/>
      <c r="J7" s="658"/>
    </row>
    <row r="8" spans="1:10" ht="12.75">
      <c r="A8" s="714" t="s">
        <v>26</v>
      </c>
      <c r="B8" s="711"/>
      <c r="C8" s="717"/>
      <c r="D8" s="711"/>
      <c r="E8" s="715" t="s">
        <v>30</v>
      </c>
      <c r="F8" s="711"/>
      <c r="G8" s="711"/>
      <c r="H8" s="715" t="s">
        <v>162</v>
      </c>
      <c r="I8" s="716" t="s">
        <v>92</v>
      </c>
      <c r="J8" s="658"/>
    </row>
    <row r="9" spans="1:10" ht="12.75">
      <c r="A9" s="710"/>
      <c r="B9" s="711"/>
      <c r="C9" s="711"/>
      <c r="D9" s="711"/>
      <c r="E9" s="711"/>
      <c r="F9" s="711"/>
      <c r="G9" s="711"/>
      <c r="H9" s="711"/>
      <c r="I9" s="713"/>
      <c r="J9" s="658"/>
    </row>
    <row r="10" spans="1:10" ht="12.75">
      <c r="A10" s="714" t="s">
        <v>32</v>
      </c>
      <c r="B10" s="711"/>
      <c r="C10" s="715"/>
      <c r="D10" s="711"/>
      <c r="E10" s="715" t="s">
        <v>34</v>
      </c>
      <c r="F10" s="715"/>
      <c r="G10" s="711"/>
      <c r="H10" s="715" t="s">
        <v>163</v>
      </c>
      <c r="I10" s="718">
        <v>41014</v>
      </c>
      <c r="J10" s="658"/>
    </row>
    <row r="11" spans="1:10" ht="12.75">
      <c r="A11" s="719"/>
      <c r="B11" s="720"/>
      <c r="C11" s="720"/>
      <c r="D11" s="720"/>
      <c r="E11" s="720"/>
      <c r="F11" s="720"/>
      <c r="G11" s="720"/>
      <c r="H11" s="720"/>
      <c r="I11" s="721"/>
      <c r="J11" s="658"/>
    </row>
    <row r="12" spans="1:9" ht="23.25" customHeight="1">
      <c r="A12" s="722" t="s">
        <v>164</v>
      </c>
      <c r="B12" s="723"/>
      <c r="C12" s="723"/>
      <c r="D12" s="723"/>
      <c r="E12" s="723"/>
      <c r="F12" s="723"/>
      <c r="G12" s="723"/>
      <c r="H12" s="723"/>
      <c r="I12" s="723"/>
    </row>
    <row r="13" spans="1:10" ht="26.25" customHeight="1">
      <c r="A13" s="724" t="s">
        <v>165</v>
      </c>
      <c r="B13" s="725" t="s">
        <v>166</v>
      </c>
      <c r="C13" s="726"/>
      <c r="D13" s="724" t="s">
        <v>167</v>
      </c>
      <c r="E13" s="725" t="s">
        <v>168</v>
      </c>
      <c r="F13" s="726"/>
      <c r="G13" s="724" t="s">
        <v>169</v>
      </c>
      <c r="H13" s="725" t="s">
        <v>170</v>
      </c>
      <c r="I13" s="726"/>
      <c r="J13" s="658"/>
    </row>
    <row r="14" spans="1:10" ht="15" customHeight="1">
      <c r="A14" s="727" t="s">
        <v>171</v>
      </c>
      <c r="B14" s="728" t="s">
        <v>172</v>
      </c>
      <c r="C14" s="729">
        <f>SUM('Stavební rozpočet (7)'!H12+'Stavební rozpočet (7)'!H15+'Stavební rozpočet (7)'!H17+'Stavební rozpočet (7)'!H20+'Stavební rozpočet (7)'!H23+'Stavební rozpočet (7)'!H27)</f>
        <v>0</v>
      </c>
      <c r="D14" s="730" t="s">
        <v>173</v>
      </c>
      <c r="E14" s="731"/>
      <c r="F14" s="729">
        <v>0</v>
      </c>
      <c r="G14" s="730" t="s">
        <v>174</v>
      </c>
      <c r="H14" s="731"/>
      <c r="I14" s="729">
        <v>0</v>
      </c>
      <c r="J14" s="658"/>
    </row>
    <row r="15" spans="1:10" ht="15" customHeight="1">
      <c r="A15" s="732"/>
      <c r="B15" s="728" t="s">
        <v>47</v>
      </c>
      <c r="C15" s="729">
        <f>SUM('Stavební rozpočet (7)'!I12+'Stavební rozpočet (7)'!I15+'Stavební rozpočet (7)'!I17+'Stavební rozpočet (7)'!I20+'Stavební rozpočet (7)'!I23+'Stavební rozpočet (7)'!I27)</f>
        <v>0</v>
      </c>
      <c r="D15" s="730" t="s">
        <v>175</v>
      </c>
      <c r="E15" s="731"/>
      <c r="F15" s="729">
        <v>0</v>
      </c>
      <c r="G15" s="730" t="s">
        <v>176</v>
      </c>
      <c r="H15" s="731"/>
      <c r="I15" s="729">
        <v>0</v>
      </c>
      <c r="J15" s="658"/>
    </row>
    <row r="16" spans="1:10" ht="15" customHeight="1">
      <c r="A16" s="727" t="s">
        <v>177</v>
      </c>
      <c r="B16" s="728" t="s">
        <v>172</v>
      </c>
      <c r="C16" s="729">
        <v>0</v>
      </c>
      <c r="D16" s="730" t="s">
        <v>178</v>
      </c>
      <c r="E16" s="731"/>
      <c r="F16" s="729">
        <v>0</v>
      </c>
      <c r="G16" s="730" t="s">
        <v>179</v>
      </c>
      <c r="H16" s="731"/>
      <c r="I16" s="729">
        <v>0</v>
      </c>
      <c r="J16" s="658"/>
    </row>
    <row r="17" spans="1:10" ht="15" customHeight="1">
      <c r="A17" s="732"/>
      <c r="B17" s="728" t="s">
        <v>47</v>
      </c>
      <c r="C17" s="729">
        <v>0</v>
      </c>
      <c r="D17" s="730"/>
      <c r="E17" s="731"/>
      <c r="F17" s="733"/>
      <c r="G17" s="730" t="s">
        <v>180</v>
      </c>
      <c r="H17" s="731"/>
      <c r="I17" s="729">
        <v>0</v>
      </c>
      <c r="J17" s="658"/>
    </row>
    <row r="18" spans="1:10" ht="15" customHeight="1">
      <c r="A18" s="727" t="s">
        <v>181</v>
      </c>
      <c r="B18" s="728" t="s">
        <v>172</v>
      </c>
      <c r="C18" s="729">
        <v>0</v>
      </c>
      <c r="D18" s="730"/>
      <c r="E18" s="731"/>
      <c r="F18" s="733"/>
      <c r="G18" s="730" t="s">
        <v>182</v>
      </c>
      <c r="H18" s="731"/>
      <c r="I18" s="729">
        <v>0</v>
      </c>
      <c r="J18" s="658"/>
    </row>
    <row r="19" spans="1:10" ht="15" customHeight="1">
      <c r="A19" s="732"/>
      <c r="B19" s="728" t="s">
        <v>47</v>
      </c>
      <c r="C19" s="729">
        <v>0</v>
      </c>
      <c r="D19" s="730"/>
      <c r="E19" s="731"/>
      <c r="F19" s="733"/>
      <c r="G19" s="730" t="s">
        <v>183</v>
      </c>
      <c r="H19" s="731"/>
      <c r="I19" s="729">
        <v>0</v>
      </c>
      <c r="J19" s="658"/>
    </row>
    <row r="20" spans="1:10" ht="15" customHeight="1">
      <c r="A20" s="734" t="s">
        <v>184</v>
      </c>
      <c r="B20" s="735"/>
      <c r="C20" s="729">
        <v>0</v>
      </c>
      <c r="D20" s="730"/>
      <c r="E20" s="731"/>
      <c r="F20" s="733"/>
      <c r="G20" s="730"/>
      <c r="H20" s="731"/>
      <c r="I20" s="733"/>
      <c r="J20" s="658"/>
    </row>
    <row r="21" spans="1:10" ht="15" customHeight="1">
      <c r="A21" s="734" t="s">
        <v>185</v>
      </c>
      <c r="B21" s="735"/>
      <c r="C21" s="729">
        <v>0</v>
      </c>
      <c r="D21" s="730"/>
      <c r="E21" s="731"/>
      <c r="F21" s="733"/>
      <c r="G21" s="730"/>
      <c r="H21" s="731"/>
      <c r="I21" s="733"/>
      <c r="J21" s="658"/>
    </row>
    <row r="22" spans="1:10" ht="39.75" customHeight="1">
      <c r="A22" s="734" t="s">
        <v>186</v>
      </c>
      <c r="B22" s="735"/>
      <c r="C22" s="729">
        <f>SUM(C14:C21)</f>
        <v>0</v>
      </c>
      <c r="D22" s="734" t="s">
        <v>187</v>
      </c>
      <c r="E22" s="735"/>
      <c r="F22" s="729">
        <f>SUM(F14:F16)</f>
        <v>0</v>
      </c>
      <c r="G22" s="734" t="s">
        <v>188</v>
      </c>
      <c r="H22" s="735"/>
      <c r="I22" s="729">
        <v>0</v>
      </c>
      <c r="J22" s="658"/>
    </row>
    <row r="23" spans="1:9" ht="12.75">
      <c r="A23" s="736"/>
      <c r="B23" s="736"/>
      <c r="C23" s="736"/>
      <c r="D23" s="737"/>
      <c r="E23" s="737"/>
      <c r="F23" s="737"/>
      <c r="G23" s="737"/>
      <c r="H23" s="737"/>
      <c r="I23" s="737"/>
    </row>
    <row r="24" spans="1:9" ht="15" customHeight="1">
      <c r="A24" s="738" t="s">
        <v>189</v>
      </c>
      <c r="B24" s="739"/>
      <c r="C24" s="740">
        <v>0</v>
      </c>
      <c r="D24" s="741"/>
      <c r="E24" s="742"/>
      <c r="F24" s="742"/>
      <c r="G24" s="742"/>
      <c r="H24" s="742"/>
      <c r="I24" s="742"/>
    </row>
    <row r="25" spans="1:10" ht="15" customHeight="1">
      <c r="A25" s="738" t="s">
        <v>190</v>
      </c>
      <c r="B25" s="739"/>
      <c r="C25" s="740">
        <v>0</v>
      </c>
      <c r="D25" s="738" t="s">
        <v>191</v>
      </c>
      <c r="E25" s="739"/>
      <c r="F25" s="740">
        <v>0</v>
      </c>
      <c r="G25" s="738" t="s">
        <v>192</v>
      </c>
      <c r="H25" s="739"/>
      <c r="I25" s="740">
        <f>SUM(C26)</f>
        <v>0</v>
      </c>
      <c r="J25" s="658"/>
    </row>
    <row r="26" spans="1:10" ht="15" customHeight="1">
      <c r="A26" s="738" t="s">
        <v>193</v>
      </c>
      <c r="B26" s="739"/>
      <c r="C26" s="740">
        <f>SUM(C22+F22+I22)</f>
        <v>0</v>
      </c>
      <c r="D26" s="738" t="s">
        <v>194</v>
      </c>
      <c r="E26" s="739"/>
      <c r="F26" s="740">
        <f>SUM(C26/100*20)</f>
        <v>0</v>
      </c>
      <c r="G26" s="738" t="s">
        <v>195</v>
      </c>
      <c r="H26" s="739"/>
      <c r="I26" s="740">
        <f>SUM(I25+F26)</f>
        <v>0</v>
      </c>
      <c r="J26" s="658"/>
    </row>
    <row r="27" spans="1:9" ht="12.75">
      <c r="A27" s="743"/>
      <c r="B27" s="743"/>
      <c r="C27" s="743"/>
      <c r="D27" s="743"/>
      <c r="E27" s="743"/>
      <c r="F27" s="743"/>
      <c r="G27" s="743"/>
      <c r="H27" s="743"/>
      <c r="I27" s="743"/>
    </row>
    <row r="28" spans="1:10" ht="14.25" customHeight="1">
      <c r="A28" s="744" t="s">
        <v>196</v>
      </c>
      <c r="B28" s="745"/>
      <c r="C28" s="746"/>
      <c r="D28" s="744" t="s">
        <v>197</v>
      </c>
      <c r="E28" s="745"/>
      <c r="F28" s="746"/>
      <c r="G28" s="744" t="s">
        <v>198</v>
      </c>
      <c r="H28" s="745"/>
      <c r="I28" s="746"/>
      <c r="J28" s="675"/>
    </row>
    <row r="29" spans="1:10" ht="14.25" customHeight="1">
      <c r="A29" s="747"/>
      <c r="B29" s="748"/>
      <c r="C29" s="749"/>
      <c r="D29" s="747"/>
      <c r="E29" s="748"/>
      <c r="F29" s="749"/>
      <c r="G29" s="747"/>
      <c r="H29" s="748"/>
      <c r="I29" s="749"/>
      <c r="J29" s="675"/>
    </row>
    <row r="30" spans="1:10" ht="14.25" customHeight="1">
      <c r="A30" s="747"/>
      <c r="B30" s="748"/>
      <c r="C30" s="749"/>
      <c r="D30" s="747"/>
      <c r="E30" s="748"/>
      <c r="F30" s="749"/>
      <c r="G30" s="747"/>
      <c r="H30" s="748"/>
      <c r="I30" s="749"/>
      <c r="J30" s="675"/>
    </row>
    <row r="31" spans="1:10" ht="14.25" customHeight="1">
      <c r="A31" s="747"/>
      <c r="B31" s="748"/>
      <c r="C31" s="749"/>
      <c r="D31" s="747"/>
      <c r="E31" s="748"/>
      <c r="F31" s="749"/>
      <c r="G31" s="747"/>
      <c r="H31" s="748"/>
      <c r="I31" s="749"/>
      <c r="J31" s="675"/>
    </row>
    <row r="32" spans="1:10" ht="14.25" customHeight="1">
      <c r="A32" s="750" t="s">
        <v>199</v>
      </c>
      <c r="B32" s="751"/>
      <c r="C32" s="752"/>
      <c r="D32" s="750" t="s">
        <v>199</v>
      </c>
      <c r="E32" s="751"/>
      <c r="F32" s="752"/>
      <c r="G32" s="750" t="s">
        <v>199</v>
      </c>
      <c r="H32" s="751"/>
      <c r="I32" s="752"/>
      <c r="J32" s="675"/>
    </row>
    <row r="33" spans="1:9" ht="12.75">
      <c r="A33" s="753"/>
      <c r="B33" s="753"/>
      <c r="C33" s="753"/>
      <c r="D33" s="753"/>
      <c r="E33" s="753"/>
      <c r="F33" s="753"/>
      <c r="G33" s="753"/>
      <c r="H33" s="753"/>
      <c r="I33" s="753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0.55" bottom="0.65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97"/>
  <sheetViews>
    <sheetView workbookViewId="0" topLeftCell="A67">
      <selection activeCell="H54" sqref="H54"/>
    </sheetView>
  </sheetViews>
  <sheetFormatPr defaultColWidth="9.140625" defaultRowHeight="15"/>
  <cols>
    <col min="1" max="1" width="9.140625" style="119" customWidth="1"/>
    <col min="2" max="2" width="32.00390625" style="119" customWidth="1"/>
    <col min="3" max="3" width="9.140625" style="119" customWidth="1"/>
    <col min="4" max="4" width="30.7109375" style="119" customWidth="1"/>
    <col min="5" max="5" width="13.57421875" style="119" customWidth="1"/>
    <col min="6" max="16384" width="9.140625" style="119" customWidth="1"/>
  </cols>
  <sheetData>
    <row r="1" spans="1:7" ht="15.75">
      <c r="A1" s="114" t="s">
        <v>200</v>
      </c>
      <c r="B1" s="115"/>
      <c r="C1" s="116"/>
      <c r="D1" s="116"/>
      <c r="E1" s="117"/>
      <c r="F1" s="118"/>
      <c r="G1" s="118"/>
    </row>
    <row r="2" spans="1:7" ht="15">
      <c r="A2" s="118"/>
      <c r="B2" s="120" t="s">
        <v>201</v>
      </c>
      <c r="C2" s="121"/>
      <c r="D2" s="118"/>
      <c r="E2" s="118"/>
      <c r="F2" s="118"/>
      <c r="G2" s="122"/>
    </row>
    <row r="3" spans="1:7" ht="15">
      <c r="A3" s="118"/>
      <c r="B3" s="120" t="s">
        <v>202</v>
      </c>
      <c r="C3" s="121"/>
      <c r="D3" s="118"/>
      <c r="E3" s="118"/>
      <c r="F3" s="118"/>
      <c r="G3" s="122"/>
    </row>
    <row r="4" spans="1:7" ht="12.75">
      <c r="A4" s="123" t="s">
        <v>203</v>
      </c>
      <c r="B4" s="124"/>
      <c r="C4" s="125"/>
      <c r="D4" s="125"/>
      <c r="E4" s="125"/>
      <c r="F4" s="126"/>
      <c r="G4" s="126"/>
    </row>
    <row r="5" spans="1:7" ht="12.75">
      <c r="A5" s="127"/>
      <c r="B5" s="128"/>
      <c r="C5" s="125"/>
      <c r="D5" s="125"/>
      <c r="E5" s="125"/>
      <c r="F5" s="125"/>
      <c r="G5" s="125"/>
    </row>
    <row r="6" spans="1:7" ht="12.75">
      <c r="A6" s="127"/>
      <c r="B6" s="128"/>
      <c r="C6" s="125"/>
      <c r="D6" s="125"/>
      <c r="E6" s="125"/>
      <c r="F6" s="125"/>
      <c r="G6" s="125"/>
    </row>
    <row r="7" spans="1:7" ht="12.75">
      <c r="A7" s="118"/>
      <c r="B7" s="129" t="s">
        <v>204</v>
      </c>
      <c r="C7" s="130" t="s">
        <v>205</v>
      </c>
      <c r="D7" s="129" t="s">
        <v>206</v>
      </c>
      <c r="E7" s="131" t="s">
        <v>207</v>
      </c>
      <c r="F7" s="118"/>
      <c r="G7" s="118"/>
    </row>
    <row r="8" spans="1:7" ht="12.75">
      <c r="A8" s="132"/>
      <c r="B8" s="132" t="s">
        <v>208</v>
      </c>
      <c r="C8" s="133">
        <v>1</v>
      </c>
      <c r="D8" s="134">
        <v>25000</v>
      </c>
      <c r="E8" s="135">
        <v>0</v>
      </c>
      <c r="F8" s="126"/>
      <c r="G8" s="134"/>
    </row>
    <row r="9" spans="1:7" ht="12.75">
      <c r="A9" s="132"/>
      <c r="B9" s="132" t="s">
        <v>209</v>
      </c>
      <c r="C9" s="133"/>
      <c r="D9" s="135"/>
      <c r="E9" s="135"/>
      <c r="F9" s="126"/>
      <c r="G9" s="134"/>
    </row>
    <row r="10" spans="1:7" ht="13.5" thickBot="1">
      <c r="A10" s="136" t="s">
        <v>210</v>
      </c>
      <c r="B10" s="137"/>
      <c r="C10" s="137"/>
      <c r="D10" s="137"/>
      <c r="E10" s="138">
        <f>SUM(E8:E9)</f>
        <v>0</v>
      </c>
      <c r="F10" s="126"/>
      <c r="G10" s="126"/>
    </row>
    <row r="11" spans="1:7" ht="12.75">
      <c r="A11" s="127"/>
      <c r="B11" s="128"/>
      <c r="C11" s="125"/>
      <c r="D11" s="125"/>
      <c r="E11" s="125"/>
      <c r="F11" s="125"/>
      <c r="G11" s="125"/>
    </row>
    <row r="12" spans="1:7" ht="12.75">
      <c r="A12" s="127"/>
      <c r="B12" s="128"/>
      <c r="C12" s="125"/>
      <c r="D12" s="125"/>
      <c r="E12" s="125"/>
      <c r="F12" s="125"/>
      <c r="G12" s="125"/>
    </row>
    <row r="13" spans="1:7" ht="12.75">
      <c r="A13" s="127"/>
      <c r="B13" s="128"/>
      <c r="C13" s="125"/>
      <c r="D13" s="125"/>
      <c r="E13" s="125"/>
      <c r="F13" s="125"/>
      <c r="G13" s="125"/>
    </row>
    <row r="15" spans="1:7" ht="12.75">
      <c r="A15" s="123" t="s">
        <v>211</v>
      </c>
      <c r="B15" s="124"/>
      <c r="C15" s="125"/>
      <c r="D15" s="125"/>
      <c r="E15" s="125"/>
      <c r="F15" s="126"/>
      <c r="G15" s="126"/>
    </row>
    <row r="16" ht="12.75">
      <c r="A16" s="139"/>
    </row>
    <row r="17" spans="1:6" ht="12.75">
      <c r="A17" s="140" t="s">
        <v>212</v>
      </c>
      <c r="B17" s="141" t="s">
        <v>204</v>
      </c>
      <c r="C17" s="140" t="s">
        <v>205</v>
      </c>
      <c r="D17" s="141" t="s">
        <v>206</v>
      </c>
      <c r="E17" s="142" t="s">
        <v>207</v>
      </c>
      <c r="F17" s="143"/>
    </row>
    <row r="18" spans="1:7" ht="12.75">
      <c r="A18" s="145"/>
      <c r="B18" s="146" t="s">
        <v>213</v>
      </c>
      <c r="C18" s="147">
        <v>22</v>
      </c>
      <c r="D18" s="134">
        <v>3700</v>
      </c>
      <c r="E18" s="135">
        <v>0</v>
      </c>
      <c r="F18" s="143"/>
      <c r="G18" s="134"/>
    </row>
    <row r="19" spans="1:7" ht="12.75">
      <c r="A19" s="145"/>
      <c r="B19" s="146" t="s">
        <v>214</v>
      </c>
      <c r="C19" s="147">
        <v>22</v>
      </c>
      <c r="D19" s="134">
        <v>227</v>
      </c>
      <c r="E19" s="135">
        <v>0</v>
      </c>
      <c r="F19" s="143"/>
      <c r="G19" s="134"/>
    </row>
    <row r="20" spans="1:7" ht="12.75">
      <c r="A20" s="145"/>
      <c r="B20" s="148" t="s">
        <v>215</v>
      </c>
      <c r="C20" s="147">
        <v>22</v>
      </c>
      <c r="D20" s="134">
        <v>3250</v>
      </c>
      <c r="E20" s="135">
        <v>0</v>
      </c>
      <c r="F20" s="143"/>
      <c r="G20" s="134"/>
    </row>
    <row r="21" spans="1:7" ht="12.75">
      <c r="A21" s="145" t="s">
        <v>35</v>
      </c>
      <c r="B21" s="146" t="s">
        <v>216</v>
      </c>
      <c r="C21" s="147">
        <v>22</v>
      </c>
      <c r="D21" s="134">
        <v>500</v>
      </c>
      <c r="E21" s="135">
        <v>0</v>
      </c>
      <c r="F21" s="143"/>
      <c r="G21" s="134"/>
    </row>
    <row r="22" spans="1:7" ht="12.75">
      <c r="A22" s="145" t="s">
        <v>35</v>
      </c>
      <c r="B22" s="146" t="s">
        <v>217</v>
      </c>
      <c r="C22" s="147">
        <v>44</v>
      </c>
      <c r="D22" s="134">
        <v>70</v>
      </c>
      <c r="E22" s="135">
        <v>0</v>
      </c>
      <c r="F22" s="143"/>
      <c r="G22" s="134"/>
    </row>
    <row r="23" spans="1:7" ht="12.75">
      <c r="A23" s="145"/>
      <c r="B23" s="146" t="s">
        <v>218</v>
      </c>
      <c r="C23" s="147">
        <v>1040</v>
      </c>
      <c r="D23" s="134">
        <v>97</v>
      </c>
      <c r="E23" s="135">
        <v>0</v>
      </c>
      <c r="F23" s="143"/>
      <c r="G23" s="134"/>
    </row>
    <row r="24" spans="1:7" ht="12.75">
      <c r="A24" s="145"/>
      <c r="B24" s="146" t="s">
        <v>219</v>
      </c>
      <c r="C24" s="147">
        <v>140</v>
      </c>
      <c r="D24" s="134">
        <v>11</v>
      </c>
      <c r="E24" s="135">
        <v>0</v>
      </c>
      <c r="F24" s="143"/>
      <c r="G24" s="134"/>
    </row>
    <row r="25" spans="1:7" ht="12.75">
      <c r="A25" s="145"/>
      <c r="B25" s="146" t="s">
        <v>220</v>
      </c>
      <c r="C25" s="147">
        <v>1040</v>
      </c>
      <c r="D25" s="134">
        <v>26</v>
      </c>
      <c r="E25" s="135">
        <v>0</v>
      </c>
      <c r="F25" s="143"/>
      <c r="G25" s="134"/>
    </row>
    <row r="26" spans="1:7" ht="12.75">
      <c r="A26" s="145"/>
      <c r="B26" s="146" t="s">
        <v>221</v>
      </c>
      <c r="C26" s="147">
        <v>25</v>
      </c>
      <c r="D26" s="134">
        <v>20</v>
      </c>
      <c r="E26" s="135">
        <v>0</v>
      </c>
      <c r="F26" s="143"/>
      <c r="G26" s="134"/>
    </row>
    <row r="27" spans="1:7" ht="12.75">
      <c r="A27" s="145"/>
      <c r="B27" s="146" t="s">
        <v>222</v>
      </c>
      <c r="C27" s="147">
        <v>22</v>
      </c>
      <c r="D27" s="134">
        <v>100</v>
      </c>
      <c r="E27" s="135">
        <v>0</v>
      </c>
      <c r="F27" s="143"/>
      <c r="G27" s="134"/>
    </row>
    <row r="28" spans="1:7" ht="12.75">
      <c r="A28" s="145"/>
      <c r="B28" s="146" t="s">
        <v>223</v>
      </c>
      <c r="C28" s="147">
        <v>240</v>
      </c>
      <c r="D28" s="134">
        <v>200</v>
      </c>
      <c r="E28" s="135">
        <v>0</v>
      </c>
      <c r="F28" s="143"/>
      <c r="G28" s="134"/>
    </row>
    <row r="29" spans="1:7" ht="12.75">
      <c r="A29" s="145"/>
      <c r="B29" s="146" t="s">
        <v>224</v>
      </c>
      <c r="C29" s="147">
        <v>590</v>
      </c>
      <c r="D29" s="134">
        <v>40</v>
      </c>
      <c r="E29" s="135">
        <v>0</v>
      </c>
      <c r="F29" s="143"/>
      <c r="G29" s="134"/>
    </row>
    <row r="30" spans="1:7" ht="12.75">
      <c r="A30" s="145"/>
      <c r="B30" s="146" t="s">
        <v>225</v>
      </c>
      <c r="C30" s="147">
        <v>710</v>
      </c>
      <c r="D30" s="134">
        <v>15</v>
      </c>
      <c r="E30" s="135">
        <v>0</v>
      </c>
      <c r="F30" s="143"/>
      <c r="G30" s="134"/>
    </row>
    <row r="31" spans="1:7" ht="12.75">
      <c r="A31" s="145"/>
      <c r="B31" s="148" t="s">
        <v>226</v>
      </c>
      <c r="C31" s="147">
        <v>22</v>
      </c>
      <c r="D31" s="134">
        <v>2000</v>
      </c>
      <c r="E31" s="135">
        <v>0</v>
      </c>
      <c r="F31" s="143"/>
      <c r="G31" s="134"/>
    </row>
    <row r="32" spans="1:7" ht="12.75">
      <c r="A32" s="145"/>
      <c r="B32" s="148" t="s">
        <v>227</v>
      </c>
      <c r="C32" s="147">
        <v>49</v>
      </c>
      <c r="D32" s="134">
        <v>250</v>
      </c>
      <c r="E32" s="135">
        <v>0</v>
      </c>
      <c r="F32" s="143"/>
      <c r="G32" s="134"/>
    </row>
    <row r="33" spans="1:7" ht="12.75">
      <c r="A33" s="145"/>
      <c r="B33" s="148" t="s">
        <v>228</v>
      </c>
      <c r="C33" s="147">
        <v>20</v>
      </c>
      <c r="D33" s="134">
        <v>1700</v>
      </c>
      <c r="E33" s="135">
        <v>0</v>
      </c>
      <c r="F33" s="143"/>
      <c r="G33" s="134"/>
    </row>
    <row r="34" spans="1:7" ht="12.75">
      <c r="A34" s="145"/>
      <c r="B34" s="149" t="s">
        <v>229</v>
      </c>
      <c r="C34" s="150"/>
      <c r="D34" s="150"/>
      <c r="E34" s="151">
        <v>0</v>
      </c>
      <c r="F34" s="143"/>
      <c r="G34" s="143"/>
    </row>
    <row r="35" spans="1:7" ht="13.5" thickBot="1">
      <c r="A35" s="145"/>
      <c r="B35" s="149" t="s">
        <v>230</v>
      </c>
      <c r="C35" s="150"/>
      <c r="D35" s="150"/>
      <c r="E35" s="151">
        <f>0.05*E34</f>
        <v>0</v>
      </c>
      <c r="F35" s="143"/>
      <c r="G35" s="143"/>
    </row>
    <row r="36" spans="1:7" ht="13.5" thickBot="1">
      <c r="A36" s="145"/>
      <c r="B36" s="152" t="s">
        <v>231</v>
      </c>
      <c r="C36" s="153"/>
      <c r="D36" s="153"/>
      <c r="E36" s="154">
        <f>SUM(E34:E35)</f>
        <v>0</v>
      </c>
      <c r="F36" s="143"/>
      <c r="G36" s="143"/>
    </row>
    <row r="38" spans="1:7" ht="12.75">
      <c r="A38" s="155"/>
      <c r="B38" s="156"/>
      <c r="C38" s="157"/>
      <c r="D38" s="134"/>
      <c r="E38" s="134"/>
      <c r="F38" s="143"/>
      <c r="G38" s="134"/>
    </row>
    <row r="39" spans="1:7" ht="12.75">
      <c r="A39" s="123" t="s">
        <v>232</v>
      </c>
      <c r="B39" s="124"/>
      <c r="C39" s="118"/>
      <c r="D39" s="118"/>
      <c r="E39" s="118"/>
      <c r="F39" s="118"/>
      <c r="G39" s="122"/>
    </row>
    <row r="40" ht="12.75">
      <c r="A40" s="139"/>
    </row>
    <row r="41" spans="1:6" ht="12.75">
      <c r="A41" s="140" t="s">
        <v>212</v>
      </c>
      <c r="B41" s="141" t="s">
        <v>204</v>
      </c>
      <c r="C41" s="140" t="s">
        <v>205</v>
      </c>
      <c r="D41" s="141" t="s">
        <v>206</v>
      </c>
      <c r="E41" s="142" t="s">
        <v>207</v>
      </c>
      <c r="F41" s="143"/>
    </row>
    <row r="42" spans="1:7" ht="12.75">
      <c r="A42" s="158"/>
      <c r="B42" s="146" t="s">
        <v>233</v>
      </c>
      <c r="C42" s="147">
        <v>590</v>
      </c>
      <c r="D42" s="134">
        <v>176</v>
      </c>
      <c r="E42" s="135">
        <v>0</v>
      </c>
      <c r="F42" s="143"/>
      <c r="G42" s="134"/>
    </row>
    <row r="43" spans="1:7" ht="12.75">
      <c r="A43" s="158"/>
      <c r="B43" s="146" t="s">
        <v>234</v>
      </c>
      <c r="C43" s="147">
        <v>120</v>
      </c>
      <c r="D43" s="134">
        <v>335</v>
      </c>
      <c r="E43" s="135">
        <v>0</v>
      </c>
      <c r="F43" s="143"/>
      <c r="G43" s="134"/>
    </row>
    <row r="44" spans="1:7" ht="12.75">
      <c r="A44" s="158"/>
      <c r="B44" s="148" t="s">
        <v>235</v>
      </c>
      <c r="C44" s="147">
        <v>69</v>
      </c>
      <c r="D44" s="134">
        <v>409</v>
      </c>
      <c r="E44" s="135">
        <v>0</v>
      </c>
      <c r="F44" s="143"/>
      <c r="G44" s="134"/>
    </row>
    <row r="45" spans="1:7" ht="12.75">
      <c r="A45" s="158"/>
      <c r="B45" s="148" t="s">
        <v>236</v>
      </c>
      <c r="C45" s="147">
        <v>710</v>
      </c>
      <c r="D45" s="134">
        <v>1.2</v>
      </c>
      <c r="E45" s="135">
        <v>0</v>
      </c>
      <c r="F45" s="143"/>
      <c r="G45" s="134"/>
    </row>
    <row r="46" spans="1:7" ht="12.75">
      <c r="A46" s="158"/>
      <c r="B46" s="148" t="s">
        <v>237</v>
      </c>
      <c r="C46" s="147">
        <v>22</v>
      </c>
      <c r="D46" s="134">
        <v>400</v>
      </c>
      <c r="E46" s="135">
        <v>0</v>
      </c>
      <c r="F46" s="143"/>
      <c r="G46" s="134"/>
    </row>
    <row r="47" spans="1:7" ht="12.75">
      <c r="A47" s="158"/>
      <c r="B47" s="148" t="s">
        <v>238</v>
      </c>
      <c r="C47" s="147">
        <v>1</v>
      </c>
      <c r="D47" s="134">
        <v>400</v>
      </c>
      <c r="E47" s="135">
        <v>0</v>
      </c>
      <c r="F47" s="143"/>
      <c r="G47" s="134"/>
    </row>
    <row r="48" spans="1:7" ht="12.75">
      <c r="A48" s="145"/>
      <c r="B48" s="152" t="s">
        <v>239</v>
      </c>
      <c r="C48" s="153"/>
      <c r="D48" s="153"/>
      <c r="E48" s="159">
        <f>SUM(E42:E47)</f>
        <v>0</v>
      </c>
      <c r="F48" s="143"/>
      <c r="G48" s="143"/>
    </row>
    <row r="51" spans="1:7" ht="12.75">
      <c r="A51" s="123" t="s">
        <v>240</v>
      </c>
      <c r="B51" s="124"/>
      <c r="C51" s="125"/>
      <c r="D51" s="125"/>
      <c r="E51" s="125"/>
      <c r="F51" s="126"/>
      <c r="G51" s="126"/>
    </row>
    <row r="52" ht="12.75">
      <c r="A52" s="139"/>
    </row>
    <row r="53" spans="1:6" ht="12.75">
      <c r="A53" s="140" t="s">
        <v>212</v>
      </c>
      <c r="B53" s="141" t="s">
        <v>204</v>
      </c>
      <c r="C53" s="140" t="s">
        <v>241</v>
      </c>
      <c r="D53" s="141" t="s">
        <v>242</v>
      </c>
      <c r="E53" s="142" t="s">
        <v>207</v>
      </c>
      <c r="F53" s="143"/>
    </row>
    <row r="54" spans="1:7" ht="12.75">
      <c r="A54" s="160" t="s">
        <v>35</v>
      </c>
      <c r="B54" s="161" t="s">
        <v>243</v>
      </c>
      <c r="C54" s="162">
        <v>1</v>
      </c>
      <c r="D54" s="134">
        <v>5000</v>
      </c>
      <c r="E54" s="163">
        <v>0</v>
      </c>
      <c r="F54" s="143"/>
      <c r="G54" s="134"/>
    </row>
    <row r="56" ht="12.75">
      <c r="A56" s="139"/>
    </row>
    <row r="57" ht="12.75">
      <c r="A57" s="139"/>
    </row>
    <row r="58" spans="1:7" ht="12.75">
      <c r="A58" s="123" t="s">
        <v>244</v>
      </c>
      <c r="B58" s="164"/>
      <c r="C58" s="118"/>
      <c r="D58" s="118"/>
      <c r="E58" s="118"/>
      <c r="F58" s="118"/>
      <c r="G58" s="122"/>
    </row>
    <row r="59" ht="12.75">
      <c r="A59" s="139"/>
    </row>
    <row r="60" spans="1:6" ht="12.75">
      <c r="A60" s="140" t="s">
        <v>212</v>
      </c>
      <c r="B60" s="141" t="s">
        <v>204</v>
      </c>
      <c r="C60" s="165" t="s">
        <v>205</v>
      </c>
      <c r="D60" s="141" t="s">
        <v>206</v>
      </c>
      <c r="E60" s="142" t="s">
        <v>207</v>
      </c>
      <c r="F60" s="143"/>
    </row>
    <row r="61" spans="2:7" ht="12.75">
      <c r="B61" s="146" t="s">
        <v>245</v>
      </c>
      <c r="C61" s="166">
        <v>1</v>
      </c>
      <c r="D61" s="167">
        <v>3000</v>
      </c>
      <c r="E61" s="163">
        <v>0</v>
      </c>
      <c r="F61" s="143"/>
      <c r="G61" s="167"/>
    </row>
    <row r="62" spans="2:7" ht="12.75">
      <c r="B62" s="146" t="s">
        <v>246</v>
      </c>
      <c r="C62" s="166">
        <v>1180</v>
      </c>
      <c r="D62" s="167">
        <v>20</v>
      </c>
      <c r="E62" s="163">
        <v>0</v>
      </c>
      <c r="F62" s="143"/>
      <c r="G62" s="167"/>
    </row>
    <row r="63" spans="2:7" ht="12.75">
      <c r="B63" s="146" t="s">
        <v>247</v>
      </c>
      <c r="C63" s="166">
        <v>22</v>
      </c>
      <c r="D63" s="167">
        <v>1160</v>
      </c>
      <c r="E63" s="163">
        <v>0</v>
      </c>
      <c r="F63" s="143"/>
      <c r="G63" s="167"/>
    </row>
    <row r="64" spans="2:7" ht="12.75">
      <c r="B64" s="146" t="s">
        <v>248</v>
      </c>
      <c r="C64" s="166">
        <v>22</v>
      </c>
      <c r="D64" s="134">
        <v>219</v>
      </c>
      <c r="E64" s="163">
        <v>0</v>
      </c>
      <c r="F64" s="143"/>
      <c r="G64" s="134"/>
    </row>
    <row r="65" spans="2:7" ht="12.75">
      <c r="B65" s="146" t="s">
        <v>249</v>
      </c>
      <c r="C65" s="166">
        <v>22</v>
      </c>
      <c r="D65" s="134">
        <v>284</v>
      </c>
      <c r="E65" s="163">
        <v>0</v>
      </c>
      <c r="F65" s="143"/>
      <c r="G65" s="134"/>
    </row>
    <row r="66" spans="2:7" ht="12.75">
      <c r="B66" s="146" t="s">
        <v>250</v>
      </c>
      <c r="C66" s="166">
        <v>44</v>
      </c>
      <c r="D66" s="134">
        <v>159</v>
      </c>
      <c r="E66" s="163">
        <v>0</v>
      </c>
      <c r="F66" s="143"/>
      <c r="G66" s="134"/>
    </row>
    <row r="67" spans="2:7" ht="12.75">
      <c r="B67" s="146" t="s">
        <v>251</v>
      </c>
      <c r="C67" s="166">
        <v>25</v>
      </c>
      <c r="D67" s="134">
        <v>37.5</v>
      </c>
      <c r="E67" s="163">
        <v>0</v>
      </c>
      <c r="F67" s="143"/>
      <c r="G67" s="134"/>
    </row>
    <row r="68" spans="2:7" ht="12.75">
      <c r="B68" s="146" t="s">
        <v>252</v>
      </c>
      <c r="C68" s="166">
        <v>22</v>
      </c>
      <c r="D68" s="134">
        <v>37.5</v>
      </c>
      <c r="E68" s="163">
        <v>0</v>
      </c>
      <c r="F68" s="143"/>
      <c r="G68" s="134"/>
    </row>
    <row r="69" spans="2:7" ht="12.75">
      <c r="B69" s="146" t="s">
        <v>253</v>
      </c>
      <c r="C69" s="166">
        <v>44</v>
      </c>
      <c r="D69" s="134">
        <v>21.5</v>
      </c>
      <c r="E69" s="163">
        <v>0</v>
      </c>
      <c r="F69" s="143"/>
      <c r="G69" s="134"/>
    </row>
    <row r="70" spans="2:7" ht="12.75">
      <c r="B70" s="146" t="s">
        <v>254</v>
      </c>
      <c r="C70" s="166">
        <v>710</v>
      </c>
      <c r="D70" s="134">
        <v>7.8</v>
      </c>
      <c r="E70" s="163">
        <v>0</v>
      </c>
      <c r="F70" s="143"/>
      <c r="G70" s="134"/>
    </row>
    <row r="71" spans="2:7" ht="12.75">
      <c r="B71" s="146" t="s">
        <v>255</v>
      </c>
      <c r="C71" s="166">
        <v>590</v>
      </c>
      <c r="D71" s="134">
        <v>8.3</v>
      </c>
      <c r="E71" s="163">
        <v>0</v>
      </c>
      <c r="F71" s="143"/>
      <c r="G71" s="134"/>
    </row>
    <row r="72" spans="2:7" ht="12.75">
      <c r="B72" s="146" t="s">
        <v>223</v>
      </c>
      <c r="C72" s="166">
        <v>240</v>
      </c>
      <c r="D72" s="134">
        <v>15</v>
      </c>
      <c r="E72" s="163">
        <v>0</v>
      </c>
      <c r="F72" s="143"/>
      <c r="G72" s="134"/>
    </row>
    <row r="73" spans="2:7" ht="12.75">
      <c r="B73" s="146" t="s">
        <v>227</v>
      </c>
      <c r="C73" s="166">
        <v>49</v>
      </c>
      <c r="D73" s="134">
        <v>300</v>
      </c>
      <c r="E73" s="163">
        <v>0</v>
      </c>
      <c r="F73" s="143"/>
      <c r="G73" s="134"/>
    </row>
    <row r="74" spans="2:7" ht="12.75">
      <c r="B74" s="146" t="s">
        <v>228</v>
      </c>
      <c r="C74" s="166">
        <v>20</v>
      </c>
      <c r="D74" s="134">
        <v>2000</v>
      </c>
      <c r="E74" s="163">
        <v>0</v>
      </c>
      <c r="F74" s="143"/>
      <c r="G74" s="134"/>
    </row>
    <row r="75" spans="2:7" ht="12.75">
      <c r="B75" s="168" t="s">
        <v>256</v>
      </c>
      <c r="C75" s="169"/>
      <c r="D75" s="134"/>
      <c r="E75" s="163"/>
      <c r="F75" s="143"/>
      <c r="G75" s="134"/>
    </row>
    <row r="76" spans="2:7" ht="12.75">
      <c r="B76" s="146" t="s">
        <v>257</v>
      </c>
      <c r="C76" s="166">
        <v>0</v>
      </c>
      <c r="D76" s="134">
        <v>150</v>
      </c>
      <c r="E76" s="163">
        <v>0</v>
      </c>
      <c r="F76" s="143"/>
      <c r="G76" s="134"/>
    </row>
    <row r="77" spans="2:7" ht="12.75">
      <c r="B77" s="146" t="s">
        <v>258</v>
      </c>
      <c r="C77" s="166">
        <v>0</v>
      </c>
      <c r="D77" s="134">
        <v>1000</v>
      </c>
      <c r="E77" s="163">
        <v>0</v>
      </c>
      <c r="F77" s="143"/>
      <c r="G77" s="134"/>
    </row>
    <row r="78" spans="2:7" ht="12.75">
      <c r="B78" s="146" t="s">
        <v>259</v>
      </c>
      <c r="C78" s="166">
        <v>0</v>
      </c>
      <c r="D78" s="134">
        <v>1840</v>
      </c>
      <c r="E78" s="163">
        <v>0</v>
      </c>
      <c r="F78" s="143"/>
      <c r="G78" s="134"/>
    </row>
    <row r="79" spans="2:7" ht="12.75">
      <c r="B79" s="168" t="s">
        <v>260</v>
      </c>
      <c r="C79" s="169"/>
      <c r="D79" s="134"/>
      <c r="E79" s="163"/>
      <c r="F79" s="143"/>
      <c r="G79" s="134"/>
    </row>
    <row r="80" spans="2:7" ht="12.75">
      <c r="B80" s="146" t="s">
        <v>261</v>
      </c>
      <c r="C80" s="170">
        <v>22</v>
      </c>
      <c r="D80" s="134">
        <v>750</v>
      </c>
      <c r="E80" s="163">
        <v>0</v>
      </c>
      <c r="F80" s="143"/>
      <c r="G80" s="134"/>
    </row>
    <row r="81" spans="2:7" ht="12.75">
      <c r="B81" s="146" t="s">
        <v>262</v>
      </c>
      <c r="C81" s="170">
        <v>22</v>
      </c>
      <c r="D81" s="134">
        <v>450</v>
      </c>
      <c r="E81" s="163">
        <v>0</v>
      </c>
      <c r="F81" s="143"/>
      <c r="G81" s="134"/>
    </row>
    <row r="82" spans="2:7" ht="12.75">
      <c r="B82" s="171" t="s">
        <v>263</v>
      </c>
      <c r="C82" s="153"/>
      <c r="D82" s="153"/>
      <c r="E82" s="159">
        <f>SUM(E61:E81)</f>
        <v>0</v>
      </c>
      <c r="F82" s="143"/>
      <c r="G82" s="143"/>
    </row>
    <row r="85" spans="1:7" ht="12.75">
      <c r="A85" s="123" t="s">
        <v>264</v>
      </c>
      <c r="B85" s="124"/>
      <c r="C85" s="118"/>
      <c r="D85" s="118"/>
      <c r="E85" s="118"/>
      <c r="F85" s="118"/>
      <c r="G85" s="122"/>
    </row>
    <row r="86" ht="13.5" thickBot="1">
      <c r="A86" s="139"/>
    </row>
    <row r="87" spans="1:7" ht="13.5" thickBot="1">
      <c r="A87" s="140" t="s">
        <v>212</v>
      </c>
      <c r="B87" s="141" t="s">
        <v>204</v>
      </c>
      <c r="C87" s="165" t="s">
        <v>35</v>
      </c>
      <c r="D87" s="141" t="s">
        <v>35</v>
      </c>
      <c r="E87" s="142" t="s">
        <v>207</v>
      </c>
      <c r="F87" s="143"/>
      <c r="G87" s="144" t="s">
        <v>35</v>
      </c>
    </row>
    <row r="88" spans="1:7" ht="12.75">
      <c r="A88" s="119" t="s">
        <v>35</v>
      </c>
      <c r="B88" s="146" t="s">
        <v>265</v>
      </c>
      <c r="C88" s="169" t="s">
        <v>35</v>
      </c>
      <c r="D88" s="163" t="s">
        <v>35</v>
      </c>
      <c r="E88" s="163">
        <v>0</v>
      </c>
      <c r="F88" s="143" t="s">
        <v>35</v>
      </c>
      <c r="G88" s="134" t="s">
        <v>35</v>
      </c>
    </row>
    <row r="89" spans="1:7" ht="12.75">
      <c r="A89" s="119" t="s">
        <v>35</v>
      </c>
      <c r="B89" s="172" t="s">
        <v>266</v>
      </c>
      <c r="C89" s="173" t="s">
        <v>35</v>
      </c>
      <c r="D89" s="163" t="s">
        <v>35</v>
      </c>
      <c r="E89" s="163">
        <v>0</v>
      </c>
      <c r="F89" s="174" t="s">
        <v>35</v>
      </c>
      <c r="G89" s="175" t="s">
        <v>35</v>
      </c>
    </row>
    <row r="90" spans="1:7" ht="12.75">
      <c r="A90" s="119" t="s">
        <v>35</v>
      </c>
      <c r="B90" s="172" t="s">
        <v>267</v>
      </c>
      <c r="C90" s="173" t="s">
        <v>35</v>
      </c>
      <c r="D90" s="163" t="s">
        <v>35</v>
      </c>
      <c r="E90" s="163">
        <v>0</v>
      </c>
      <c r="F90" s="174"/>
      <c r="G90" s="175" t="s">
        <v>35</v>
      </c>
    </row>
    <row r="91" spans="1:7" ht="12.75">
      <c r="A91" s="119" t="s">
        <v>35</v>
      </c>
      <c r="B91" s="146" t="s">
        <v>268</v>
      </c>
      <c r="C91" s="169" t="s">
        <v>35</v>
      </c>
      <c r="D91" s="163" t="s">
        <v>35</v>
      </c>
      <c r="E91" s="163">
        <v>0</v>
      </c>
      <c r="F91" s="143"/>
      <c r="G91" s="134" t="s">
        <v>35</v>
      </c>
    </row>
    <row r="92" spans="1:7" ht="12.75">
      <c r="A92" s="119" t="s">
        <v>35</v>
      </c>
      <c r="B92" s="146" t="s">
        <v>269</v>
      </c>
      <c r="C92" s="147" t="s">
        <v>35</v>
      </c>
      <c r="D92" s="135" t="s">
        <v>35</v>
      </c>
      <c r="E92" s="135">
        <f>E82</f>
        <v>0</v>
      </c>
      <c r="F92" s="143"/>
      <c r="G92" s="134" t="s">
        <v>35</v>
      </c>
    </row>
    <row r="93" spans="2:7" ht="12.75">
      <c r="B93" s="171" t="s">
        <v>270</v>
      </c>
      <c r="C93" s="153"/>
      <c r="D93" s="153"/>
      <c r="E93" s="176">
        <f>SUM(E88:E92)</f>
        <v>0</v>
      </c>
      <c r="F93" s="143"/>
      <c r="G93" s="143"/>
    </row>
    <row r="95" spans="1:5" ht="12.75">
      <c r="A95" s="118"/>
      <c r="B95" s="177" t="s">
        <v>271</v>
      </c>
      <c r="C95" s="118"/>
      <c r="D95" s="118"/>
      <c r="E95" s="118"/>
    </row>
    <row r="96" spans="1:5" ht="12.75">
      <c r="A96" s="118"/>
      <c r="B96" s="178" t="s">
        <v>272</v>
      </c>
      <c r="C96" s="118"/>
      <c r="D96" s="118"/>
      <c r="E96" s="118"/>
    </row>
    <row r="97" spans="1:5" ht="12.75">
      <c r="A97" s="118"/>
      <c r="B97" s="178" t="s">
        <v>273</v>
      </c>
      <c r="C97" s="118"/>
      <c r="D97" s="118"/>
      <c r="E97" s="118"/>
    </row>
  </sheetData>
  <mergeCells count="9">
    <mergeCell ref="A85:B85"/>
    <mergeCell ref="A15:B15"/>
    <mergeCell ref="A39:B39"/>
    <mergeCell ref="A51:B51"/>
    <mergeCell ref="A58:B58"/>
    <mergeCell ref="A1:B1"/>
    <mergeCell ref="B2:C2"/>
    <mergeCell ref="B3:C3"/>
    <mergeCell ref="A4:B4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tabSelected="1" workbookViewId="0" topLeftCell="A1">
      <selection activeCell="C14" sqref="C14"/>
    </sheetView>
  </sheetViews>
  <sheetFormatPr defaultColWidth="9.140625" defaultRowHeight="15"/>
  <cols>
    <col min="1" max="1" width="9.140625" style="119" customWidth="1"/>
    <col min="2" max="2" width="20.8515625" style="119" customWidth="1"/>
    <col min="3" max="3" width="19.00390625" style="119" customWidth="1"/>
    <col min="4" max="4" width="15.00390625" style="119" customWidth="1"/>
    <col min="5" max="5" width="14.421875" style="119" customWidth="1"/>
    <col min="6" max="6" width="19.8515625" style="119" customWidth="1"/>
    <col min="7" max="7" width="27.140625" style="119" customWidth="1"/>
    <col min="8" max="8" width="17.7109375" style="119" hidden="1" customWidth="1"/>
    <col min="9" max="9" width="19.00390625" style="119" customWidth="1"/>
    <col min="10" max="16384" width="9.140625" style="119" customWidth="1"/>
  </cols>
  <sheetData>
    <row r="1" spans="1:9" ht="30">
      <c r="A1" s="179" t="s">
        <v>160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81" t="s">
        <v>20</v>
      </c>
      <c r="B2" s="182"/>
      <c r="C2" s="183" t="s">
        <v>21</v>
      </c>
      <c r="D2" s="184"/>
      <c r="E2" s="185" t="s">
        <v>23</v>
      </c>
      <c r="F2" s="185"/>
      <c r="G2" s="182"/>
      <c r="H2" s="185" t="s">
        <v>161</v>
      </c>
      <c r="I2" s="186"/>
    </row>
    <row r="3" spans="1:9" ht="12.75">
      <c r="A3" s="187"/>
      <c r="B3" s="188"/>
      <c r="C3" s="189"/>
      <c r="D3" s="189"/>
      <c r="E3" s="188"/>
      <c r="F3" s="188"/>
      <c r="G3" s="188"/>
      <c r="H3" s="188"/>
      <c r="I3" s="190"/>
    </row>
    <row r="4" spans="1:9" ht="12.75">
      <c r="A4" s="191" t="s">
        <v>24</v>
      </c>
      <c r="B4" s="188"/>
      <c r="C4" s="192" t="s">
        <v>274</v>
      </c>
      <c r="D4" s="188"/>
      <c r="E4" s="192" t="s">
        <v>27</v>
      </c>
      <c r="F4" s="192"/>
      <c r="G4" s="188"/>
      <c r="H4" s="192" t="s">
        <v>161</v>
      </c>
      <c r="I4" s="193"/>
    </row>
    <row r="5" spans="1:9" ht="12.75">
      <c r="A5" s="187"/>
      <c r="B5" s="188"/>
      <c r="C5" s="188"/>
      <c r="D5" s="188"/>
      <c r="E5" s="188"/>
      <c r="F5" s="188"/>
      <c r="G5" s="188"/>
      <c r="H5" s="188"/>
      <c r="I5" s="190"/>
    </row>
    <row r="6" spans="1:9" ht="12.75">
      <c r="A6" s="191" t="s">
        <v>28</v>
      </c>
      <c r="B6" s="188"/>
      <c r="C6" s="192" t="s">
        <v>29</v>
      </c>
      <c r="D6" s="188"/>
      <c r="E6" s="192" t="s">
        <v>31</v>
      </c>
      <c r="F6" s="192"/>
      <c r="G6" s="188"/>
      <c r="H6" s="192" t="s">
        <v>161</v>
      </c>
      <c r="I6" s="193"/>
    </row>
    <row r="7" spans="1:9" ht="12.75">
      <c r="A7" s="187"/>
      <c r="B7" s="188"/>
      <c r="C7" s="188"/>
      <c r="D7" s="188"/>
      <c r="E7" s="188"/>
      <c r="F7" s="188"/>
      <c r="G7" s="188"/>
      <c r="H7" s="188"/>
      <c r="I7" s="190"/>
    </row>
    <row r="8" spans="1:9" ht="12.75">
      <c r="A8" s="191" t="s">
        <v>26</v>
      </c>
      <c r="B8" s="188"/>
      <c r="C8" s="194"/>
      <c r="D8" s="188"/>
      <c r="E8" s="192" t="s">
        <v>30</v>
      </c>
      <c r="F8" s="188"/>
      <c r="G8" s="188"/>
      <c r="H8" s="192" t="s">
        <v>162</v>
      </c>
      <c r="I8" s="193" t="s">
        <v>92</v>
      </c>
    </row>
    <row r="9" spans="1:9" ht="12.75">
      <c r="A9" s="187"/>
      <c r="B9" s="188"/>
      <c r="C9" s="188"/>
      <c r="D9" s="188"/>
      <c r="E9" s="188"/>
      <c r="F9" s="188"/>
      <c r="G9" s="188"/>
      <c r="H9" s="188"/>
      <c r="I9" s="190"/>
    </row>
    <row r="10" spans="1:9" ht="12.75">
      <c r="A10" s="191" t="s">
        <v>32</v>
      </c>
      <c r="B10" s="188"/>
      <c r="C10" s="192"/>
      <c r="D10" s="188"/>
      <c r="E10" s="192" t="s">
        <v>34</v>
      </c>
      <c r="F10" s="192"/>
      <c r="G10" s="188"/>
      <c r="H10" s="192" t="s">
        <v>163</v>
      </c>
      <c r="I10" s="195">
        <v>41014</v>
      </c>
    </row>
    <row r="11" spans="1:9" ht="12.75">
      <c r="A11" s="196"/>
      <c r="B11" s="197"/>
      <c r="C11" s="197"/>
      <c r="D11" s="197"/>
      <c r="E11" s="197"/>
      <c r="F11" s="197"/>
      <c r="G11" s="197"/>
      <c r="H11" s="197"/>
      <c r="I11" s="198"/>
    </row>
    <row r="12" spans="1:9" ht="23.25">
      <c r="A12" s="199" t="s">
        <v>164</v>
      </c>
      <c r="B12" s="200"/>
      <c r="C12" s="200"/>
      <c r="D12" s="200"/>
      <c r="E12" s="200"/>
      <c r="F12" s="200"/>
      <c r="G12" s="200"/>
      <c r="H12" s="200"/>
      <c r="I12" s="200"/>
    </row>
    <row r="13" spans="1:9" ht="26.25">
      <c r="A13" s="201" t="s">
        <v>165</v>
      </c>
      <c r="B13" s="202" t="s">
        <v>166</v>
      </c>
      <c r="C13" s="203"/>
      <c r="D13" s="201" t="s">
        <v>167</v>
      </c>
      <c r="E13" s="202" t="s">
        <v>168</v>
      </c>
      <c r="F13" s="203"/>
      <c r="G13" s="201" t="s">
        <v>169</v>
      </c>
      <c r="H13" s="202" t="s">
        <v>170</v>
      </c>
      <c r="I13" s="203"/>
    </row>
    <row r="14" spans="1:9" ht="15.75">
      <c r="A14" s="204" t="s">
        <v>171</v>
      </c>
      <c r="B14" s="205" t="s">
        <v>172</v>
      </c>
      <c r="C14" s="206">
        <f>SUM('Stavební rozpočet (2)'!E10+'Stavební rozpočet (2)'!E36)</f>
        <v>0</v>
      </c>
      <c r="D14" s="207" t="s">
        <v>173</v>
      </c>
      <c r="E14" s="208"/>
      <c r="F14" s="206">
        <v>0</v>
      </c>
      <c r="G14" s="207" t="s">
        <v>174</v>
      </c>
      <c r="H14" s="208"/>
      <c r="I14" s="206">
        <v>0</v>
      </c>
    </row>
    <row r="15" spans="1:9" ht="15.75">
      <c r="A15" s="209"/>
      <c r="B15" s="205" t="s">
        <v>47</v>
      </c>
      <c r="C15" s="206">
        <f>SUM('Stavební rozpočet (2)'!E48+'Stavební rozpočet (2)'!E54+'Stavební rozpočet (2)'!E82)</f>
        <v>0</v>
      </c>
      <c r="D15" s="207" t="s">
        <v>175</v>
      </c>
      <c r="E15" s="208"/>
      <c r="F15" s="206">
        <v>0</v>
      </c>
      <c r="G15" s="207" t="s">
        <v>176</v>
      </c>
      <c r="H15" s="208"/>
      <c r="I15" s="206">
        <v>0</v>
      </c>
    </row>
    <row r="16" spans="1:9" ht="15.75">
      <c r="A16" s="204" t="s">
        <v>177</v>
      </c>
      <c r="B16" s="205" t="s">
        <v>172</v>
      </c>
      <c r="C16" s="206">
        <v>0</v>
      </c>
      <c r="D16" s="207" t="s">
        <v>178</v>
      </c>
      <c r="E16" s="208"/>
      <c r="F16" s="206">
        <v>0</v>
      </c>
      <c r="G16" s="207" t="s">
        <v>179</v>
      </c>
      <c r="H16" s="208"/>
      <c r="I16" s="206">
        <v>0</v>
      </c>
    </row>
    <row r="17" spans="1:9" ht="15.75">
      <c r="A17" s="209"/>
      <c r="B17" s="205" t="s">
        <v>47</v>
      </c>
      <c r="C17" s="206">
        <v>0</v>
      </c>
      <c r="D17" s="207"/>
      <c r="E17" s="208"/>
      <c r="F17" s="210"/>
      <c r="G17" s="207" t="s">
        <v>180</v>
      </c>
      <c r="H17" s="208"/>
      <c r="I17" s="206">
        <v>0</v>
      </c>
    </row>
    <row r="18" spans="1:9" ht="15.75">
      <c r="A18" s="204" t="s">
        <v>181</v>
      </c>
      <c r="B18" s="205" t="s">
        <v>172</v>
      </c>
      <c r="C18" s="206">
        <v>0</v>
      </c>
      <c r="D18" s="207"/>
      <c r="E18" s="208"/>
      <c r="F18" s="210"/>
      <c r="G18" s="207" t="s">
        <v>182</v>
      </c>
      <c r="H18" s="208"/>
      <c r="I18" s="206">
        <v>0</v>
      </c>
    </row>
    <row r="19" spans="1:9" ht="15.75">
      <c r="A19" s="209"/>
      <c r="B19" s="205" t="s">
        <v>47</v>
      </c>
      <c r="C19" s="206">
        <v>0</v>
      </c>
      <c r="D19" s="207"/>
      <c r="E19" s="208"/>
      <c r="F19" s="210"/>
      <c r="G19" s="207" t="s">
        <v>183</v>
      </c>
      <c r="H19" s="208"/>
      <c r="I19" s="206">
        <v>0</v>
      </c>
    </row>
    <row r="20" spans="1:9" ht="15.75">
      <c r="A20" s="211" t="s">
        <v>184</v>
      </c>
      <c r="B20" s="212"/>
      <c r="C20" s="206">
        <v>0</v>
      </c>
      <c r="D20" s="207"/>
      <c r="E20" s="208"/>
      <c r="F20" s="210"/>
      <c r="G20" s="207"/>
      <c r="H20" s="208"/>
      <c r="I20" s="210"/>
    </row>
    <row r="21" spans="1:9" ht="15.75">
      <c r="A21" s="211" t="s">
        <v>185</v>
      </c>
      <c r="B21" s="212"/>
      <c r="C21" s="206">
        <v>0</v>
      </c>
      <c r="D21" s="207"/>
      <c r="E21" s="208"/>
      <c r="F21" s="210"/>
      <c r="G21" s="207"/>
      <c r="H21" s="208"/>
      <c r="I21" s="210"/>
    </row>
    <row r="22" spans="1:9" ht="15.75">
      <c r="A22" s="211" t="s">
        <v>186</v>
      </c>
      <c r="B22" s="212"/>
      <c r="C22" s="206">
        <f>SUM(C14:C21)</f>
        <v>0</v>
      </c>
      <c r="D22" s="211" t="s">
        <v>187</v>
      </c>
      <c r="E22" s="212"/>
      <c r="F22" s="206">
        <f>SUM(F14:F21)</f>
        <v>0</v>
      </c>
      <c r="G22" s="211" t="s">
        <v>188</v>
      </c>
      <c r="H22" s="212"/>
      <c r="I22" s="206">
        <f>SUM(I14:I19)</f>
        <v>0</v>
      </c>
    </row>
    <row r="23" spans="1:9" ht="12.75">
      <c r="A23" s="213"/>
      <c r="B23" s="213"/>
      <c r="C23" s="213"/>
      <c r="D23" s="214"/>
      <c r="E23" s="214"/>
      <c r="F23" s="214"/>
      <c r="G23" s="214"/>
      <c r="H23" s="214"/>
      <c r="I23" s="214"/>
    </row>
    <row r="24" spans="1:9" ht="15.75">
      <c r="A24" s="215" t="s">
        <v>189</v>
      </c>
      <c r="B24" s="216"/>
      <c r="C24" s="217">
        <v>0</v>
      </c>
      <c r="D24" s="218"/>
      <c r="E24" s="219"/>
      <c r="F24" s="219"/>
      <c r="G24" s="219"/>
      <c r="H24" s="219"/>
      <c r="I24" s="219"/>
    </row>
    <row r="25" spans="1:9" ht="15.75">
      <c r="A25" s="215" t="s">
        <v>190</v>
      </c>
      <c r="B25" s="216"/>
      <c r="C25" s="217">
        <v>0</v>
      </c>
      <c r="D25" s="215" t="s">
        <v>191</v>
      </c>
      <c r="E25" s="216"/>
      <c r="F25" s="217">
        <v>0</v>
      </c>
      <c r="G25" s="215" t="s">
        <v>192</v>
      </c>
      <c r="H25" s="216"/>
      <c r="I25" s="217">
        <f>SUM(C26)</f>
        <v>0</v>
      </c>
    </row>
    <row r="26" spans="1:9" ht="15.75">
      <c r="A26" s="215" t="s">
        <v>193</v>
      </c>
      <c r="B26" s="216"/>
      <c r="C26" s="217">
        <f>SUM(C22+F22+I22)</f>
        <v>0</v>
      </c>
      <c r="D26" s="215" t="s">
        <v>194</v>
      </c>
      <c r="E26" s="216"/>
      <c r="F26" s="217">
        <f>SUM(C26/100*20)</f>
        <v>0</v>
      </c>
      <c r="G26" s="215" t="s">
        <v>195</v>
      </c>
      <c r="H26" s="216"/>
      <c r="I26" s="217">
        <f>SUM(I25+F26)</f>
        <v>0</v>
      </c>
    </row>
    <row r="27" spans="1:9" ht="13.5" thickBot="1">
      <c r="A27" s="220"/>
      <c r="B27" s="220"/>
      <c r="C27" s="220"/>
      <c r="D27" s="220"/>
      <c r="E27" s="220"/>
      <c r="F27" s="220"/>
      <c r="G27" s="220"/>
      <c r="H27" s="220"/>
      <c r="I27" s="220"/>
    </row>
    <row r="28" spans="1:9" ht="15">
      <c r="A28" s="221" t="s">
        <v>196</v>
      </c>
      <c r="B28" s="222"/>
      <c r="C28" s="223"/>
      <c r="D28" s="221" t="s">
        <v>197</v>
      </c>
      <c r="E28" s="222"/>
      <c r="F28" s="223"/>
      <c r="G28" s="221" t="s">
        <v>198</v>
      </c>
      <c r="H28" s="222"/>
      <c r="I28" s="223"/>
    </row>
    <row r="29" spans="1:9" ht="15">
      <c r="A29" s="224"/>
      <c r="B29" s="225"/>
      <c r="C29" s="226"/>
      <c r="D29" s="224"/>
      <c r="E29" s="225"/>
      <c r="F29" s="226"/>
      <c r="G29" s="224"/>
      <c r="H29" s="225"/>
      <c r="I29" s="226"/>
    </row>
    <row r="30" spans="1:9" ht="15">
      <c r="A30" s="224"/>
      <c r="B30" s="225"/>
      <c r="C30" s="226"/>
      <c r="D30" s="224"/>
      <c r="E30" s="225"/>
      <c r="F30" s="226"/>
      <c r="G30" s="224"/>
      <c r="H30" s="225"/>
      <c r="I30" s="226"/>
    </row>
    <row r="31" spans="1:9" ht="15">
      <c r="A31" s="224"/>
      <c r="B31" s="225"/>
      <c r="C31" s="226"/>
      <c r="D31" s="224"/>
      <c r="E31" s="225"/>
      <c r="F31" s="226"/>
      <c r="G31" s="224"/>
      <c r="H31" s="225"/>
      <c r="I31" s="226"/>
    </row>
    <row r="32" spans="1:9" ht="15.75" thickBot="1">
      <c r="A32" s="227" t="s">
        <v>199</v>
      </c>
      <c r="B32" s="228"/>
      <c r="C32" s="229"/>
      <c r="D32" s="227" t="s">
        <v>199</v>
      </c>
      <c r="E32" s="228"/>
      <c r="F32" s="229"/>
      <c r="G32" s="227" t="s">
        <v>199</v>
      </c>
      <c r="H32" s="228"/>
      <c r="I32" s="229"/>
    </row>
  </sheetData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5:B25"/>
    <mergeCell ref="D25:E25"/>
    <mergeCell ref="G25:H25"/>
    <mergeCell ref="A26:B26"/>
    <mergeCell ref="D26:E26"/>
    <mergeCell ref="G26:H26"/>
    <mergeCell ref="A22:B22"/>
    <mergeCell ref="D22:E22"/>
    <mergeCell ref="G22:H22"/>
    <mergeCell ref="A24:B24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10:H11"/>
    <mergeCell ref="I10:I11"/>
    <mergeCell ref="A8:B9"/>
    <mergeCell ref="C8:D9"/>
    <mergeCell ref="A10:B11"/>
    <mergeCell ref="C10:D11"/>
    <mergeCell ref="E10:E11"/>
    <mergeCell ref="F10:G11"/>
    <mergeCell ref="E8:E9"/>
    <mergeCell ref="F8:G9"/>
    <mergeCell ref="H4:H5"/>
    <mergeCell ref="I4:I5"/>
    <mergeCell ref="H6:H7"/>
    <mergeCell ref="I6:I7"/>
    <mergeCell ref="H8:H9"/>
    <mergeCell ref="I8:I9"/>
    <mergeCell ref="A6:B7"/>
    <mergeCell ref="C6:D7"/>
    <mergeCell ref="E6:E7"/>
    <mergeCell ref="F6:G7"/>
    <mergeCell ref="A4:B5"/>
    <mergeCell ref="C4:D5"/>
    <mergeCell ref="E4:E5"/>
    <mergeCell ref="F4:G5"/>
    <mergeCell ref="A1:I1"/>
    <mergeCell ref="A2:B3"/>
    <mergeCell ref="C2:D3"/>
    <mergeCell ref="E2:E3"/>
    <mergeCell ref="F2:G3"/>
    <mergeCell ref="H2:H3"/>
    <mergeCell ref="I2:I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workbookViewId="0" topLeftCell="A1">
      <selection activeCell="I25" sqref="I25"/>
    </sheetView>
  </sheetViews>
  <sheetFormatPr defaultColWidth="9.140625" defaultRowHeight="15"/>
  <cols>
    <col min="1" max="1" width="3.7109375" style="232" customWidth="1"/>
    <col min="2" max="2" width="1.421875" style="232" customWidth="1"/>
    <col min="3" max="3" width="13.28125" style="232" customWidth="1"/>
    <col min="4" max="4" width="38.7109375" style="232" customWidth="1"/>
    <col min="5" max="5" width="4.28125" style="232" customWidth="1"/>
    <col min="6" max="6" width="9.57421875" style="232" customWidth="1"/>
    <col min="7" max="7" width="10.7109375" style="232" customWidth="1"/>
    <col min="8" max="8" width="10.28125" style="232" customWidth="1"/>
    <col min="9" max="9" width="13.140625" style="232" customWidth="1"/>
    <col min="10" max="10" width="12.140625" style="232" customWidth="1"/>
    <col min="11" max="11" width="9.00390625" style="232" customWidth="1"/>
    <col min="12" max="12" width="9.28125" style="232" customWidth="1"/>
    <col min="13" max="16384" width="11.421875" style="232" customWidth="1"/>
  </cols>
  <sheetData>
    <row r="1" spans="1:12" ht="21.75" customHeight="1">
      <c r="A1" s="230" t="s">
        <v>19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3" ht="12.75">
      <c r="A2" s="233" t="s">
        <v>20</v>
      </c>
      <c r="B2" s="234"/>
      <c r="C2" s="234"/>
      <c r="D2" s="235" t="s">
        <v>21</v>
      </c>
      <c r="E2" s="236" t="s">
        <v>22</v>
      </c>
      <c r="F2" s="234"/>
      <c r="G2" s="236"/>
      <c r="H2" s="234"/>
      <c r="I2" s="236" t="s">
        <v>23</v>
      </c>
      <c r="J2" s="236"/>
      <c r="K2" s="234"/>
      <c r="L2" s="237"/>
      <c r="M2" s="238"/>
    </row>
    <row r="3" spans="1:13" ht="12.75">
      <c r="A3" s="239"/>
      <c r="B3" s="240"/>
      <c r="C3" s="240"/>
      <c r="D3" s="241"/>
      <c r="E3" s="240"/>
      <c r="F3" s="240"/>
      <c r="G3" s="240"/>
      <c r="H3" s="240"/>
      <c r="I3" s="240"/>
      <c r="J3" s="240"/>
      <c r="K3" s="240"/>
      <c r="L3" s="242"/>
      <c r="M3" s="238"/>
    </row>
    <row r="4" spans="1:13" ht="12.75">
      <c r="A4" s="243" t="s">
        <v>24</v>
      </c>
      <c r="B4" s="240"/>
      <c r="C4" s="240"/>
      <c r="D4" s="244" t="s">
        <v>9</v>
      </c>
      <c r="E4" s="244" t="s">
        <v>26</v>
      </c>
      <c r="F4" s="240"/>
      <c r="G4" s="245"/>
      <c r="H4" s="240"/>
      <c r="I4" s="244" t="s">
        <v>27</v>
      </c>
      <c r="J4" s="244"/>
      <c r="K4" s="240"/>
      <c r="L4" s="242"/>
      <c r="M4" s="238"/>
    </row>
    <row r="5" spans="1:13" ht="12.7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2"/>
      <c r="M5" s="238"/>
    </row>
    <row r="6" spans="1:13" ht="12.75">
      <c r="A6" s="243" t="s">
        <v>28</v>
      </c>
      <c r="B6" s="240"/>
      <c r="C6" s="240"/>
      <c r="D6" s="244" t="s">
        <v>29</v>
      </c>
      <c r="E6" s="244" t="s">
        <v>30</v>
      </c>
      <c r="F6" s="240"/>
      <c r="G6" s="240"/>
      <c r="H6" s="240"/>
      <c r="I6" s="244" t="s">
        <v>31</v>
      </c>
      <c r="J6" s="244"/>
      <c r="K6" s="240"/>
      <c r="L6" s="242"/>
      <c r="M6" s="238"/>
    </row>
    <row r="7" spans="1:13" ht="12.75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2"/>
      <c r="M7" s="238"/>
    </row>
    <row r="8" spans="1:13" ht="12.75">
      <c r="A8" s="243" t="s">
        <v>32</v>
      </c>
      <c r="B8" s="240"/>
      <c r="C8" s="240"/>
      <c r="D8" s="244"/>
      <c r="E8" s="244" t="s">
        <v>33</v>
      </c>
      <c r="F8" s="240"/>
      <c r="G8" s="245">
        <v>41014</v>
      </c>
      <c r="H8" s="240"/>
      <c r="I8" s="244" t="s">
        <v>34</v>
      </c>
      <c r="J8" s="244"/>
      <c r="K8" s="240"/>
      <c r="L8" s="242"/>
      <c r="M8" s="238"/>
    </row>
    <row r="9" spans="1:13" ht="12.75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8"/>
      <c r="M9" s="238"/>
    </row>
    <row r="10" spans="1:13" ht="12.75">
      <c r="A10" s="249" t="s">
        <v>35</v>
      </c>
      <c r="B10" s="250" t="s">
        <v>35</v>
      </c>
      <c r="C10" s="250" t="s">
        <v>35</v>
      </c>
      <c r="D10" s="250" t="s">
        <v>35</v>
      </c>
      <c r="E10" s="250" t="s">
        <v>35</v>
      </c>
      <c r="F10" s="250" t="s">
        <v>35</v>
      </c>
      <c r="G10" s="251" t="s">
        <v>36</v>
      </c>
      <c r="H10" s="252" t="s">
        <v>37</v>
      </c>
      <c r="I10" s="253"/>
      <c r="J10" s="254"/>
      <c r="K10" s="252" t="s">
        <v>38</v>
      </c>
      <c r="L10" s="254"/>
      <c r="M10" s="255"/>
    </row>
    <row r="11" spans="1:13" ht="12.75">
      <c r="A11" s="256" t="s">
        <v>39</v>
      </c>
      <c r="B11" s="257" t="s">
        <v>40</v>
      </c>
      <c r="C11" s="257" t="s">
        <v>41</v>
      </c>
      <c r="D11" s="257" t="s">
        <v>42</v>
      </c>
      <c r="E11" s="257" t="s">
        <v>43</v>
      </c>
      <c r="F11" s="258" t="s">
        <v>44</v>
      </c>
      <c r="G11" s="259" t="s">
        <v>45</v>
      </c>
      <c r="H11" s="260" t="s">
        <v>46</v>
      </c>
      <c r="I11" s="261" t="s">
        <v>47</v>
      </c>
      <c r="J11" s="262" t="s">
        <v>48</v>
      </c>
      <c r="K11" s="260" t="s">
        <v>36</v>
      </c>
      <c r="L11" s="262" t="s">
        <v>48</v>
      </c>
      <c r="M11" s="255"/>
    </row>
    <row r="12" spans="1:12" ht="12.75">
      <c r="A12" s="263"/>
      <c r="B12" s="263"/>
      <c r="C12" s="264" t="s">
        <v>117</v>
      </c>
      <c r="D12" s="265" t="s">
        <v>275</v>
      </c>
      <c r="E12" s="266"/>
      <c r="F12" s="266"/>
      <c r="G12" s="266"/>
      <c r="H12" s="267">
        <f>SUM(H13:H15)</f>
        <v>0</v>
      </c>
      <c r="I12" s="267">
        <f>SUM(I13:I15)</f>
        <v>0</v>
      </c>
      <c r="J12" s="267">
        <f aca="true" t="shared" si="0" ref="J12:J18">H12+I12</f>
        <v>0</v>
      </c>
      <c r="K12" s="268"/>
      <c r="L12" s="267">
        <f>SUM(L13:L15)</f>
        <v>0</v>
      </c>
    </row>
    <row r="13" spans="1:12" ht="12.75">
      <c r="A13" s="269" t="s">
        <v>51</v>
      </c>
      <c r="B13" s="269"/>
      <c r="C13" s="269" t="s">
        <v>276</v>
      </c>
      <c r="D13" s="269" t="s">
        <v>277</v>
      </c>
      <c r="E13" s="269" t="s">
        <v>60</v>
      </c>
      <c r="F13" s="270">
        <v>2600</v>
      </c>
      <c r="G13" s="270">
        <v>0</v>
      </c>
      <c r="H13" s="270">
        <f>F13*G13*0.0810810810810811</f>
        <v>0</v>
      </c>
      <c r="I13" s="270">
        <f>F13*G13*(1-0.0810810810810811)</f>
        <v>0</v>
      </c>
      <c r="J13" s="270">
        <f t="shared" si="0"/>
        <v>0</v>
      </c>
      <c r="K13" s="270">
        <v>0</v>
      </c>
      <c r="L13" s="270">
        <f>F13*K13</f>
        <v>0</v>
      </c>
    </row>
    <row r="14" spans="1:12" ht="12.75">
      <c r="A14" s="269" t="s">
        <v>57</v>
      </c>
      <c r="B14" s="269"/>
      <c r="C14" s="269" t="s">
        <v>278</v>
      </c>
      <c r="D14" s="269" t="s">
        <v>279</v>
      </c>
      <c r="E14" s="269" t="s">
        <v>60</v>
      </c>
      <c r="F14" s="270">
        <v>2600</v>
      </c>
      <c r="G14" s="270">
        <v>0</v>
      </c>
      <c r="H14" s="270">
        <f>F14*G14*0</f>
        <v>0</v>
      </c>
      <c r="I14" s="270">
        <f>F14*G14*(1-0)</f>
        <v>0</v>
      </c>
      <c r="J14" s="270">
        <f t="shared" si="0"/>
        <v>0</v>
      </c>
      <c r="K14" s="270">
        <v>0</v>
      </c>
      <c r="L14" s="270">
        <f>F14*K14</f>
        <v>0</v>
      </c>
    </row>
    <row r="15" spans="1:12" ht="12.75">
      <c r="A15" s="269" t="s">
        <v>61</v>
      </c>
      <c r="B15" s="269"/>
      <c r="C15" s="269" t="s">
        <v>280</v>
      </c>
      <c r="D15" s="269" t="s">
        <v>281</v>
      </c>
      <c r="E15" s="269" t="s">
        <v>120</v>
      </c>
      <c r="F15" s="270">
        <v>44</v>
      </c>
      <c r="G15" s="270">
        <v>0</v>
      </c>
      <c r="H15" s="270">
        <f>F15*G15*0</f>
        <v>0</v>
      </c>
      <c r="I15" s="270">
        <f>F15*G15*(1-0)</f>
        <v>0</v>
      </c>
      <c r="J15" s="270">
        <f t="shared" si="0"/>
        <v>0</v>
      </c>
      <c r="K15" s="270">
        <v>0</v>
      </c>
      <c r="L15" s="270">
        <f>F15*K15</f>
        <v>0</v>
      </c>
    </row>
    <row r="16" spans="1:12" ht="12.75">
      <c r="A16" s="271"/>
      <c r="B16" s="271"/>
      <c r="C16" s="272" t="s">
        <v>282</v>
      </c>
      <c r="D16" s="273" t="s">
        <v>283</v>
      </c>
      <c r="E16" s="274"/>
      <c r="F16" s="274"/>
      <c r="G16" s="274"/>
      <c r="H16" s="275">
        <f>SUM(H17:H18)</f>
        <v>0</v>
      </c>
      <c r="I16" s="275">
        <f>SUM(I17:I18)</f>
        <v>0</v>
      </c>
      <c r="J16" s="275">
        <f t="shared" si="0"/>
        <v>0</v>
      </c>
      <c r="K16" s="276"/>
      <c r="L16" s="275">
        <f>SUM(L17:L18)</f>
        <v>0</v>
      </c>
    </row>
    <row r="17" spans="1:12" ht="12.75">
      <c r="A17" s="269" t="s">
        <v>67</v>
      </c>
      <c r="B17" s="269"/>
      <c r="C17" s="269" t="s">
        <v>284</v>
      </c>
      <c r="D17" s="269" t="s">
        <v>285</v>
      </c>
      <c r="E17" s="269" t="s">
        <v>241</v>
      </c>
      <c r="F17" s="270">
        <v>10</v>
      </c>
      <c r="G17" s="270">
        <v>0</v>
      </c>
      <c r="H17" s="270">
        <f>F17*G17*0</f>
        <v>0</v>
      </c>
      <c r="I17" s="270">
        <f>F17*G17*(1-0)</f>
        <v>0</v>
      </c>
      <c r="J17" s="270">
        <f t="shared" si="0"/>
        <v>0</v>
      </c>
      <c r="K17" s="270">
        <v>0</v>
      </c>
      <c r="L17" s="270">
        <f>F17*K17</f>
        <v>0</v>
      </c>
    </row>
    <row r="18" spans="1:12" ht="12.75">
      <c r="A18" s="277" t="s">
        <v>70</v>
      </c>
      <c r="B18" s="277"/>
      <c r="C18" s="277" t="s">
        <v>286</v>
      </c>
      <c r="D18" s="277" t="s">
        <v>287</v>
      </c>
      <c r="E18" s="277" t="s">
        <v>288</v>
      </c>
      <c r="F18" s="278">
        <v>1</v>
      </c>
      <c r="G18" s="278">
        <v>0</v>
      </c>
      <c r="H18" s="278">
        <f>F18*G18*0</f>
        <v>0</v>
      </c>
      <c r="I18" s="278">
        <f>F18*G18*(1-0)</f>
        <v>0</v>
      </c>
      <c r="J18" s="278">
        <f t="shared" si="0"/>
        <v>0</v>
      </c>
      <c r="K18" s="278">
        <v>0</v>
      </c>
      <c r="L18" s="278">
        <f>F18*K18</f>
        <v>0</v>
      </c>
    </row>
    <row r="19" spans="1:12" ht="12.75">
      <c r="A19" s="279"/>
      <c r="B19" s="279"/>
      <c r="C19" s="279"/>
      <c r="D19" s="279"/>
      <c r="E19" s="279"/>
      <c r="F19" s="279"/>
      <c r="G19" s="279"/>
      <c r="H19" s="235" t="s">
        <v>159</v>
      </c>
      <c r="I19" s="280"/>
      <c r="J19" s="281">
        <f>J12+J16</f>
        <v>0</v>
      </c>
      <c r="K19" s="279"/>
      <c r="L19" s="279"/>
    </row>
    <row r="20" spans="1:12" ht="12.75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</row>
  </sheetData>
  <mergeCells count="30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9:I19"/>
    <mergeCell ref="H10:J10"/>
    <mergeCell ref="K10:L10"/>
    <mergeCell ref="D12:G12"/>
    <mergeCell ref="D16:G16"/>
  </mergeCells>
  <printOptions/>
  <pageMargins left="0.49" right="0.55" top="0.69" bottom="1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L24" sqref="L24"/>
    </sheetView>
  </sheetViews>
  <sheetFormatPr defaultColWidth="9.140625" defaultRowHeight="15"/>
  <cols>
    <col min="1" max="1" width="9.140625" style="232" customWidth="1"/>
    <col min="2" max="2" width="11.8515625" style="232" customWidth="1"/>
    <col min="3" max="3" width="21.7109375" style="232" customWidth="1"/>
    <col min="4" max="4" width="8.8515625" style="232" customWidth="1"/>
    <col min="5" max="5" width="14.00390625" style="232" customWidth="1"/>
    <col min="6" max="6" width="22.57421875" style="232" customWidth="1"/>
    <col min="7" max="7" width="9.140625" style="232" customWidth="1"/>
    <col min="8" max="8" width="11.8515625" style="232" customWidth="1"/>
    <col min="9" max="9" width="22.421875" style="232" customWidth="1"/>
    <col min="10" max="16384" width="11.421875" style="232" customWidth="1"/>
  </cols>
  <sheetData>
    <row r="1" spans="1:9" ht="28.5" customHeight="1">
      <c r="A1" s="283" t="s">
        <v>160</v>
      </c>
      <c r="B1" s="284"/>
      <c r="C1" s="284"/>
      <c r="D1" s="284"/>
      <c r="E1" s="284"/>
      <c r="F1" s="284"/>
      <c r="G1" s="284"/>
      <c r="H1" s="284"/>
      <c r="I1" s="284"/>
    </row>
    <row r="2" spans="1:10" ht="12.75">
      <c r="A2" s="285" t="s">
        <v>20</v>
      </c>
      <c r="B2" s="286"/>
      <c r="C2" s="287" t="s">
        <v>21</v>
      </c>
      <c r="D2" s="288"/>
      <c r="E2" s="289" t="s">
        <v>23</v>
      </c>
      <c r="F2" s="289"/>
      <c r="G2" s="286"/>
      <c r="H2" s="289" t="s">
        <v>161</v>
      </c>
      <c r="I2" s="290"/>
      <c r="J2" s="238"/>
    </row>
    <row r="3" spans="1:10" ht="12.75">
      <c r="A3" s="291"/>
      <c r="B3" s="292"/>
      <c r="C3" s="293"/>
      <c r="D3" s="293"/>
      <c r="E3" s="292"/>
      <c r="F3" s="292"/>
      <c r="G3" s="292"/>
      <c r="H3" s="292"/>
      <c r="I3" s="294"/>
      <c r="J3" s="238"/>
    </row>
    <row r="4" spans="1:10" ht="12.75">
      <c r="A4" s="295" t="s">
        <v>24</v>
      </c>
      <c r="B4" s="292"/>
      <c r="C4" s="296" t="s">
        <v>9</v>
      </c>
      <c r="D4" s="292"/>
      <c r="E4" s="296" t="s">
        <v>27</v>
      </c>
      <c r="F4" s="296"/>
      <c r="G4" s="292"/>
      <c r="H4" s="296" t="s">
        <v>161</v>
      </c>
      <c r="I4" s="297"/>
      <c r="J4" s="238"/>
    </row>
    <row r="5" spans="1:10" ht="12.75">
      <c r="A5" s="291"/>
      <c r="B5" s="292"/>
      <c r="C5" s="292"/>
      <c r="D5" s="292"/>
      <c r="E5" s="292"/>
      <c r="F5" s="292"/>
      <c r="G5" s="292"/>
      <c r="H5" s="292"/>
      <c r="I5" s="294"/>
      <c r="J5" s="238"/>
    </row>
    <row r="6" spans="1:10" ht="12.75">
      <c r="A6" s="295" t="s">
        <v>28</v>
      </c>
      <c r="B6" s="292"/>
      <c r="C6" s="296" t="s">
        <v>289</v>
      </c>
      <c r="D6" s="292"/>
      <c r="E6" s="296" t="s">
        <v>31</v>
      </c>
      <c r="F6" s="296"/>
      <c r="G6" s="292"/>
      <c r="H6" s="296" t="s">
        <v>161</v>
      </c>
      <c r="I6" s="297"/>
      <c r="J6" s="238"/>
    </row>
    <row r="7" spans="1:10" ht="12.75">
      <c r="A7" s="291"/>
      <c r="B7" s="292"/>
      <c r="C7" s="292"/>
      <c r="D7" s="292"/>
      <c r="E7" s="292"/>
      <c r="F7" s="292"/>
      <c r="G7" s="292"/>
      <c r="H7" s="292"/>
      <c r="I7" s="294"/>
      <c r="J7" s="238"/>
    </row>
    <row r="8" spans="1:10" ht="12.75">
      <c r="A8" s="295" t="s">
        <v>26</v>
      </c>
      <c r="B8" s="292"/>
      <c r="C8" s="298"/>
      <c r="D8" s="292"/>
      <c r="E8" s="296" t="s">
        <v>30</v>
      </c>
      <c r="F8" s="292"/>
      <c r="G8" s="292"/>
      <c r="H8" s="296" t="s">
        <v>162</v>
      </c>
      <c r="I8" s="297" t="s">
        <v>70</v>
      </c>
      <c r="J8" s="238"/>
    </row>
    <row r="9" spans="1:10" ht="12.75">
      <c r="A9" s="291"/>
      <c r="B9" s="292"/>
      <c r="C9" s="292"/>
      <c r="D9" s="292"/>
      <c r="E9" s="292"/>
      <c r="F9" s="292"/>
      <c r="G9" s="292"/>
      <c r="H9" s="292"/>
      <c r="I9" s="294"/>
      <c r="J9" s="238"/>
    </row>
    <row r="10" spans="1:10" ht="12.75">
      <c r="A10" s="295" t="s">
        <v>32</v>
      </c>
      <c r="B10" s="292"/>
      <c r="C10" s="296"/>
      <c r="D10" s="292"/>
      <c r="E10" s="296" t="s">
        <v>34</v>
      </c>
      <c r="F10" s="296"/>
      <c r="G10" s="292"/>
      <c r="H10" s="296" t="s">
        <v>163</v>
      </c>
      <c r="I10" s="299">
        <v>41014</v>
      </c>
      <c r="J10" s="238"/>
    </row>
    <row r="11" spans="1:10" ht="12.75">
      <c r="A11" s="300"/>
      <c r="B11" s="301"/>
      <c r="C11" s="301"/>
      <c r="D11" s="301"/>
      <c r="E11" s="301"/>
      <c r="F11" s="301"/>
      <c r="G11" s="301"/>
      <c r="H11" s="301"/>
      <c r="I11" s="302"/>
      <c r="J11" s="238"/>
    </row>
    <row r="12" spans="1:9" ht="23.25" customHeight="1">
      <c r="A12" s="303" t="s">
        <v>164</v>
      </c>
      <c r="B12" s="304"/>
      <c r="C12" s="304"/>
      <c r="D12" s="304"/>
      <c r="E12" s="304"/>
      <c r="F12" s="304"/>
      <c r="G12" s="304"/>
      <c r="H12" s="304"/>
      <c r="I12" s="304"/>
    </row>
    <row r="13" spans="1:10" ht="26.25" customHeight="1">
      <c r="A13" s="305" t="s">
        <v>165</v>
      </c>
      <c r="B13" s="306" t="s">
        <v>166</v>
      </c>
      <c r="C13" s="307"/>
      <c r="D13" s="305" t="s">
        <v>167</v>
      </c>
      <c r="E13" s="306" t="s">
        <v>168</v>
      </c>
      <c r="F13" s="307"/>
      <c r="G13" s="305" t="s">
        <v>169</v>
      </c>
      <c r="H13" s="306" t="s">
        <v>170</v>
      </c>
      <c r="I13" s="307"/>
      <c r="J13" s="238"/>
    </row>
    <row r="14" spans="1:10" ht="15" customHeight="1">
      <c r="A14" s="308" t="s">
        <v>171</v>
      </c>
      <c r="B14" s="309" t="s">
        <v>172</v>
      </c>
      <c r="C14" s="310">
        <f>SUM('Stavební rozpočet (3)'!H12+'Stavební rozpočet (3)'!H16)</f>
        <v>0</v>
      </c>
      <c r="D14" s="311" t="s">
        <v>173</v>
      </c>
      <c r="E14" s="312"/>
      <c r="F14" s="310">
        <v>0</v>
      </c>
      <c r="G14" s="311" t="s">
        <v>174</v>
      </c>
      <c r="H14" s="312"/>
      <c r="I14" s="310">
        <v>0</v>
      </c>
      <c r="J14" s="238"/>
    </row>
    <row r="15" spans="1:10" ht="15" customHeight="1">
      <c r="A15" s="313"/>
      <c r="B15" s="309" t="s">
        <v>47</v>
      </c>
      <c r="C15" s="310">
        <f>SUM('Stavební rozpočet (3)'!I12+'Stavební rozpočet (3)'!I16)</f>
        <v>0</v>
      </c>
      <c r="D15" s="311" t="s">
        <v>175</v>
      </c>
      <c r="E15" s="312"/>
      <c r="F15" s="310">
        <v>0</v>
      </c>
      <c r="G15" s="311" t="s">
        <v>176</v>
      </c>
      <c r="H15" s="312"/>
      <c r="I15" s="310">
        <v>0</v>
      </c>
      <c r="J15" s="238"/>
    </row>
    <row r="16" spans="1:10" ht="15" customHeight="1">
      <c r="A16" s="308" t="s">
        <v>177</v>
      </c>
      <c r="B16" s="309" t="s">
        <v>172</v>
      </c>
      <c r="C16" s="310">
        <v>0</v>
      </c>
      <c r="D16" s="311" t="s">
        <v>178</v>
      </c>
      <c r="E16" s="312"/>
      <c r="F16" s="310">
        <v>0</v>
      </c>
      <c r="G16" s="311" t="s">
        <v>179</v>
      </c>
      <c r="H16" s="312"/>
      <c r="I16" s="310">
        <v>0</v>
      </c>
      <c r="J16" s="238"/>
    </row>
    <row r="17" spans="1:10" ht="15" customHeight="1">
      <c r="A17" s="313"/>
      <c r="B17" s="309" t="s">
        <v>47</v>
      </c>
      <c r="C17" s="310">
        <v>0</v>
      </c>
      <c r="D17" s="311"/>
      <c r="E17" s="312"/>
      <c r="F17" s="314"/>
      <c r="G17" s="311" t="s">
        <v>180</v>
      </c>
      <c r="H17" s="312"/>
      <c r="I17" s="310">
        <v>0</v>
      </c>
      <c r="J17" s="238"/>
    </row>
    <row r="18" spans="1:10" ht="15" customHeight="1">
      <c r="A18" s="308" t="s">
        <v>181</v>
      </c>
      <c r="B18" s="309" t="s">
        <v>172</v>
      </c>
      <c r="C18" s="310">
        <v>0</v>
      </c>
      <c r="D18" s="311"/>
      <c r="E18" s="312"/>
      <c r="F18" s="314"/>
      <c r="G18" s="311" t="s">
        <v>182</v>
      </c>
      <c r="H18" s="312"/>
      <c r="I18" s="310">
        <v>0</v>
      </c>
      <c r="J18" s="238"/>
    </row>
    <row r="19" spans="1:10" ht="15" customHeight="1">
      <c r="A19" s="313"/>
      <c r="B19" s="309" t="s">
        <v>47</v>
      </c>
      <c r="C19" s="310">
        <v>0</v>
      </c>
      <c r="D19" s="311"/>
      <c r="E19" s="312"/>
      <c r="F19" s="314"/>
      <c r="G19" s="311" t="s">
        <v>183</v>
      </c>
      <c r="H19" s="312"/>
      <c r="I19" s="310">
        <v>0</v>
      </c>
      <c r="J19" s="238"/>
    </row>
    <row r="20" spans="1:10" ht="15" customHeight="1">
      <c r="A20" s="315" t="s">
        <v>184</v>
      </c>
      <c r="B20" s="316"/>
      <c r="C20" s="310">
        <v>0</v>
      </c>
      <c r="D20" s="311"/>
      <c r="E20" s="312"/>
      <c r="F20" s="314"/>
      <c r="G20" s="311"/>
      <c r="H20" s="312"/>
      <c r="I20" s="314"/>
      <c r="J20" s="238"/>
    </row>
    <row r="21" spans="1:10" ht="15" customHeight="1">
      <c r="A21" s="315" t="s">
        <v>185</v>
      </c>
      <c r="B21" s="316"/>
      <c r="C21" s="310">
        <v>0</v>
      </c>
      <c r="D21" s="311"/>
      <c r="E21" s="312"/>
      <c r="F21" s="314"/>
      <c r="G21" s="311"/>
      <c r="H21" s="312"/>
      <c r="I21" s="314"/>
      <c r="J21" s="238"/>
    </row>
    <row r="22" spans="1:10" ht="39.75" customHeight="1">
      <c r="A22" s="315" t="s">
        <v>186</v>
      </c>
      <c r="B22" s="316"/>
      <c r="C22" s="310">
        <f>SUM(C14:C21)</f>
        <v>0</v>
      </c>
      <c r="D22" s="315" t="s">
        <v>187</v>
      </c>
      <c r="E22" s="316"/>
      <c r="F22" s="310">
        <f>SUM(F14:F16)</f>
        <v>0</v>
      </c>
      <c r="G22" s="315" t="s">
        <v>188</v>
      </c>
      <c r="H22" s="316"/>
      <c r="I22" s="310">
        <f>SUM(I14:I19)</f>
        <v>0</v>
      </c>
      <c r="J22" s="238"/>
    </row>
    <row r="23" spans="1:9" ht="12.75">
      <c r="A23" s="317"/>
      <c r="B23" s="317"/>
      <c r="C23" s="317"/>
      <c r="D23" s="318"/>
      <c r="E23" s="318"/>
      <c r="F23" s="318"/>
      <c r="G23" s="318"/>
      <c r="H23" s="318"/>
      <c r="I23" s="318"/>
    </row>
    <row r="24" spans="1:9" ht="15" customHeight="1">
      <c r="A24" s="319" t="s">
        <v>189</v>
      </c>
      <c r="B24" s="320"/>
      <c r="C24" s="321">
        <v>0</v>
      </c>
      <c r="D24" s="322"/>
      <c r="E24" s="323"/>
      <c r="F24" s="323"/>
      <c r="G24" s="323"/>
      <c r="H24" s="323"/>
      <c r="I24" s="323"/>
    </row>
    <row r="25" spans="1:10" ht="15" customHeight="1">
      <c r="A25" s="319" t="s">
        <v>190</v>
      </c>
      <c r="B25" s="320"/>
      <c r="C25" s="321">
        <v>0</v>
      </c>
      <c r="D25" s="319" t="s">
        <v>191</v>
      </c>
      <c r="E25" s="320"/>
      <c r="F25" s="321">
        <v>0</v>
      </c>
      <c r="G25" s="319" t="s">
        <v>192</v>
      </c>
      <c r="H25" s="320"/>
      <c r="I25" s="321">
        <f>SUM(C26)</f>
        <v>0</v>
      </c>
      <c r="J25" s="238"/>
    </row>
    <row r="26" spans="1:10" ht="15" customHeight="1">
      <c r="A26" s="319" t="s">
        <v>193</v>
      </c>
      <c r="B26" s="320"/>
      <c r="C26" s="321">
        <f>SUM(C22+F22+I22)</f>
        <v>0</v>
      </c>
      <c r="D26" s="319" t="s">
        <v>194</v>
      </c>
      <c r="E26" s="320"/>
      <c r="F26" s="321">
        <f>SUM(C26)/100*20</f>
        <v>0</v>
      </c>
      <c r="G26" s="319" t="s">
        <v>195</v>
      </c>
      <c r="H26" s="320"/>
      <c r="I26" s="321">
        <f>SUM(I25+F26)</f>
        <v>0</v>
      </c>
      <c r="J26" s="238"/>
    </row>
    <row r="27" spans="1:9" ht="12.75">
      <c r="A27" s="324"/>
      <c r="B27" s="324"/>
      <c r="C27" s="324"/>
      <c r="D27" s="324"/>
      <c r="E27" s="324"/>
      <c r="F27" s="324"/>
      <c r="G27" s="324"/>
      <c r="H27" s="324"/>
      <c r="I27" s="324"/>
    </row>
    <row r="28" spans="1:10" ht="14.25" customHeight="1">
      <c r="A28" s="325" t="s">
        <v>196</v>
      </c>
      <c r="B28" s="326"/>
      <c r="C28" s="327"/>
      <c r="D28" s="325" t="s">
        <v>197</v>
      </c>
      <c r="E28" s="326"/>
      <c r="F28" s="327"/>
      <c r="G28" s="325" t="s">
        <v>198</v>
      </c>
      <c r="H28" s="326"/>
      <c r="I28" s="327"/>
      <c r="J28" s="255"/>
    </row>
    <row r="29" spans="1:10" ht="14.25" customHeight="1">
      <c r="A29" s="328"/>
      <c r="B29" s="329"/>
      <c r="C29" s="330"/>
      <c r="D29" s="328"/>
      <c r="E29" s="329"/>
      <c r="F29" s="330"/>
      <c r="G29" s="328"/>
      <c r="H29" s="329"/>
      <c r="I29" s="330"/>
      <c r="J29" s="255"/>
    </row>
    <row r="30" spans="1:10" ht="14.25" customHeight="1">
      <c r="A30" s="328"/>
      <c r="B30" s="329"/>
      <c r="C30" s="330"/>
      <c r="D30" s="328"/>
      <c r="E30" s="329"/>
      <c r="F30" s="330"/>
      <c r="G30" s="328"/>
      <c r="H30" s="329"/>
      <c r="I30" s="330"/>
      <c r="J30" s="255"/>
    </row>
    <row r="31" spans="1:10" ht="14.25" customHeight="1">
      <c r="A31" s="328"/>
      <c r="B31" s="329"/>
      <c r="C31" s="330"/>
      <c r="D31" s="328"/>
      <c r="E31" s="329"/>
      <c r="F31" s="330"/>
      <c r="G31" s="328"/>
      <c r="H31" s="329"/>
      <c r="I31" s="330"/>
      <c r="J31" s="255"/>
    </row>
    <row r="32" spans="1:10" ht="14.25" customHeight="1">
      <c r="A32" s="331" t="s">
        <v>199</v>
      </c>
      <c r="B32" s="332"/>
      <c r="C32" s="333"/>
      <c r="D32" s="331" t="s">
        <v>199</v>
      </c>
      <c r="E32" s="332"/>
      <c r="F32" s="333"/>
      <c r="G32" s="331" t="s">
        <v>199</v>
      </c>
      <c r="H32" s="332"/>
      <c r="I32" s="333"/>
      <c r="J32" s="255"/>
    </row>
    <row r="33" spans="1:9" ht="12.75">
      <c r="A33" s="334"/>
      <c r="B33" s="334"/>
      <c r="C33" s="334"/>
      <c r="D33" s="334"/>
      <c r="E33" s="334"/>
      <c r="F33" s="334"/>
      <c r="G33" s="334"/>
      <c r="H33" s="334"/>
      <c r="I33" s="334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0.65" bottom="0.5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52"/>
  <sheetViews>
    <sheetView workbookViewId="0" topLeftCell="A9">
      <selection activeCell="G55" sqref="G55"/>
    </sheetView>
  </sheetViews>
  <sheetFormatPr defaultColWidth="9.140625" defaultRowHeight="15"/>
  <cols>
    <col min="1" max="1" width="3.7109375" style="11" customWidth="1"/>
    <col min="2" max="2" width="1.1484375" style="11" customWidth="1"/>
    <col min="3" max="3" width="13.28125" style="11" customWidth="1"/>
    <col min="4" max="4" width="39.140625" style="11" customWidth="1"/>
    <col min="5" max="5" width="4.28125" style="11" customWidth="1"/>
    <col min="6" max="6" width="9.421875" style="11" customWidth="1"/>
    <col min="7" max="7" width="10.8515625" style="11" customWidth="1"/>
    <col min="8" max="8" width="11.7109375" style="11" customWidth="1"/>
    <col min="9" max="9" width="11.57421875" style="11" customWidth="1"/>
    <col min="10" max="10" width="12.421875" style="11" customWidth="1"/>
    <col min="11" max="11" width="9.7109375" style="11" customWidth="1"/>
    <col min="12" max="12" width="10.00390625" style="11" customWidth="1"/>
    <col min="13" max="16384" width="11.421875" style="11" customWidth="1"/>
  </cols>
  <sheetData>
    <row r="1" spans="1:12" ht="21.7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12.75">
      <c r="A2" s="12" t="s">
        <v>20</v>
      </c>
      <c r="B2" s="13"/>
      <c r="C2" s="13"/>
      <c r="D2" s="14" t="s">
        <v>21</v>
      </c>
      <c r="E2" s="15" t="s">
        <v>22</v>
      </c>
      <c r="F2" s="13"/>
      <c r="G2" s="15"/>
      <c r="H2" s="13"/>
      <c r="I2" s="15" t="s">
        <v>23</v>
      </c>
      <c r="J2" s="15"/>
      <c r="K2" s="13"/>
      <c r="L2" s="16"/>
      <c r="M2" s="17"/>
    </row>
    <row r="3" spans="1:13" ht="12.75">
      <c r="A3" s="18"/>
      <c r="B3" s="19"/>
      <c r="C3" s="19"/>
      <c r="D3" s="20"/>
      <c r="E3" s="19"/>
      <c r="F3" s="19"/>
      <c r="G3" s="19"/>
      <c r="H3" s="19"/>
      <c r="I3" s="19"/>
      <c r="J3" s="19"/>
      <c r="K3" s="19"/>
      <c r="L3" s="21"/>
      <c r="M3" s="17"/>
    </row>
    <row r="4" spans="1:13" ht="12.75">
      <c r="A4" s="22" t="s">
        <v>24</v>
      </c>
      <c r="B4" s="19"/>
      <c r="C4" s="19"/>
      <c r="D4" s="23" t="s">
        <v>25</v>
      </c>
      <c r="E4" s="23" t="s">
        <v>26</v>
      </c>
      <c r="F4" s="19"/>
      <c r="G4" s="24"/>
      <c r="H4" s="19"/>
      <c r="I4" s="23" t="s">
        <v>27</v>
      </c>
      <c r="J4" s="23"/>
      <c r="K4" s="19"/>
      <c r="L4" s="21"/>
      <c r="M4" s="17"/>
    </row>
    <row r="5" spans="1:13" ht="12.7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1"/>
      <c r="M5" s="17"/>
    </row>
    <row r="6" spans="1:13" ht="12.75">
      <c r="A6" s="22" t="s">
        <v>28</v>
      </c>
      <c r="B6" s="19"/>
      <c r="C6" s="19"/>
      <c r="D6" s="23" t="s">
        <v>29</v>
      </c>
      <c r="E6" s="23" t="s">
        <v>30</v>
      </c>
      <c r="F6" s="19"/>
      <c r="G6" s="19"/>
      <c r="H6" s="19"/>
      <c r="I6" s="23" t="s">
        <v>31</v>
      </c>
      <c r="J6" s="23"/>
      <c r="K6" s="19"/>
      <c r="L6" s="21"/>
      <c r="M6" s="17"/>
    </row>
    <row r="7" spans="1:13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1"/>
      <c r="M7" s="17"/>
    </row>
    <row r="8" spans="1:13" ht="12.75">
      <c r="A8" s="22" t="s">
        <v>32</v>
      </c>
      <c r="B8" s="19"/>
      <c r="C8" s="19"/>
      <c r="D8" s="23"/>
      <c r="E8" s="23" t="s">
        <v>33</v>
      </c>
      <c r="F8" s="19"/>
      <c r="G8" s="24">
        <v>41014</v>
      </c>
      <c r="H8" s="19"/>
      <c r="I8" s="23" t="s">
        <v>34</v>
      </c>
      <c r="J8" s="23"/>
      <c r="K8" s="19"/>
      <c r="L8" s="21"/>
      <c r="M8" s="17"/>
    </row>
    <row r="9" spans="1:13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17"/>
    </row>
    <row r="10" spans="1:13" ht="12.75">
      <c r="A10" s="28" t="s">
        <v>35</v>
      </c>
      <c r="B10" s="29" t="s">
        <v>35</v>
      </c>
      <c r="C10" s="29" t="s">
        <v>35</v>
      </c>
      <c r="D10" s="29" t="s">
        <v>35</v>
      </c>
      <c r="E10" s="29" t="s">
        <v>35</v>
      </c>
      <c r="F10" s="29" t="s">
        <v>35</v>
      </c>
      <c r="G10" s="30" t="s">
        <v>36</v>
      </c>
      <c r="H10" s="31" t="s">
        <v>37</v>
      </c>
      <c r="I10" s="32"/>
      <c r="J10" s="33"/>
      <c r="K10" s="31" t="s">
        <v>38</v>
      </c>
      <c r="L10" s="33"/>
      <c r="M10" s="34"/>
    </row>
    <row r="11" spans="1:13" ht="12.75">
      <c r="A11" s="35" t="s">
        <v>39</v>
      </c>
      <c r="B11" s="36" t="s">
        <v>40</v>
      </c>
      <c r="C11" s="36" t="s">
        <v>41</v>
      </c>
      <c r="D11" s="36" t="s">
        <v>42</v>
      </c>
      <c r="E11" s="36" t="s">
        <v>43</v>
      </c>
      <c r="F11" s="37" t="s">
        <v>44</v>
      </c>
      <c r="G11" s="38" t="s">
        <v>45</v>
      </c>
      <c r="H11" s="39" t="s">
        <v>46</v>
      </c>
      <c r="I11" s="40" t="s">
        <v>47</v>
      </c>
      <c r="J11" s="41" t="s">
        <v>48</v>
      </c>
      <c r="K11" s="39" t="s">
        <v>36</v>
      </c>
      <c r="L11" s="41" t="s">
        <v>48</v>
      </c>
      <c r="M11" s="34"/>
    </row>
    <row r="12" spans="1:12" ht="12.75">
      <c r="A12" s="42"/>
      <c r="B12" s="42"/>
      <c r="C12" s="43" t="s">
        <v>49</v>
      </c>
      <c r="D12" s="44" t="s">
        <v>50</v>
      </c>
      <c r="E12" s="45"/>
      <c r="F12" s="45"/>
      <c r="G12" s="45"/>
      <c r="H12" s="46">
        <f>SUM(H13:H13)</f>
        <v>0</v>
      </c>
      <c r="I12" s="46">
        <f>SUM(I13:I13)</f>
        <v>0</v>
      </c>
      <c r="J12" s="46">
        <f aca="true" t="shared" si="0" ref="J12:J50">H12+I12</f>
        <v>0</v>
      </c>
      <c r="K12" s="47"/>
      <c r="L12" s="46">
        <f>SUM(L13:L13)</f>
        <v>0</v>
      </c>
    </row>
    <row r="13" spans="1:12" ht="12.75">
      <c r="A13" s="48" t="s">
        <v>51</v>
      </c>
      <c r="B13" s="48"/>
      <c r="C13" s="48" t="s">
        <v>52</v>
      </c>
      <c r="D13" s="48" t="s">
        <v>53</v>
      </c>
      <c r="E13" s="48" t="s">
        <v>54</v>
      </c>
      <c r="F13" s="49">
        <v>1986</v>
      </c>
      <c r="G13" s="49">
        <v>0</v>
      </c>
      <c r="H13" s="49">
        <f>F13*G13*0</f>
        <v>0</v>
      </c>
      <c r="I13" s="49">
        <f>F13*G13*(1-0)</f>
        <v>0</v>
      </c>
      <c r="J13" s="49">
        <f t="shared" si="0"/>
        <v>0</v>
      </c>
      <c r="K13" s="49">
        <v>0</v>
      </c>
      <c r="L13" s="49">
        <f>F13*K13</f>
        <v>0</v>
      </c>
    </row>
    <row r="14" spans="1:12" ht="12.75">
      <c r="A14" s="50"/>
      <c r="B14" s="50"/>
      <c r="C14" s="51" t="s">
        <v>55</v>
      </c>
      <c r="D14" s="52" t="s">
        <v>56</v>
      </c>
      <c r="E14" s="53"/>
      <c r="F14" s="53"/>
      <c r="G14" s="53"/>
      <c r="H14" s="54">
        <f>SUM(H15:H16)</f>
        <v>0</v>
      </c>
      <c r="I14" s="54">
        <f>SUM(I15:I16)</f>
        <v>0</v>
      </c>
      <c r="J14" s="54">
        <f t="shared" si="0"/>
        <v>0</v>
      </c>
      <c r="K14" s="55"/>
      <c r="L14" s="54">
        <f>SUM(L15:L16)</f>
        <v>392.34128</v>
      </c>
    </row>
    <row r="15" spans="1:12" ht="12.75">
      <c r="A15" s="48" t="s">
        <v>57</v>
      </c>
      <c r="B15" s="48"/>
      <c r="C15" s="48" t="s">
        <v>58</v>
      </c>
      <c r="D15" s="48" t="s">
        <v>59</v>
      </c>
      <c r="E15" s="48" t="s">
        <v>60</v>
      </c>
      <c r="F15" s="49">
        <v>1608</v>
      </c>
      <c r="G15" s="49">
        <v>0</v>
      </c>
      <c r="H15" s="49">
        <f>F15*G15*0.759163889730385</f>
        <v>0</v>
      </c>
      <c r="I15" s="49">
        <f>F15*G15*(1-0.759163889730385)</f>
        <v>0</v>
      </c>
      <c r="J15" s="49">
        <f t="shared" si="0"/>
        <v>0</v>
      </c>
      <c r="K15" s="49">
        <v>0.20466</v>
      </c>
      <c r="L15" s="49">
        <f>F15*K15</f>
        <v>329.09328</v>
      </c>
    </row>
    <row r="16" spans="1:12" ht="12.75">
      <c r="A16" s="48" t="s">
        <v>61</v>
      </c>
      <c r="B16" s="48"/>
      <c r="C16" s="48" t="s">
        <v>62</v>
      </c>
      <c r="D16" s="48" t="s">
        <v>63</v>
      </c>
      <c r="E16" s="48" t="s">
        <v>64</v>
      </c>
      <c r="F16" s="49">
        <v>268</v>
      </c>
      <c r="G16" s="49">
        <v>0</v>
      </c>
      <c r="H16" s="49">
        <f>F16*G16*0.755747955747956</f>
        <v>0</v>
      </c>
      <c r="I16" s="49">
        <f>F16*G16*(1-0.755747955747956)</f>
        <v>0</v>
      </c>
      <c r="J16" s="49">
        <f t="shared" si="0"/>
        <v>0</v>
      </c>
      <c r="K16" s="49">
        <v>0.236</v>
      </c>
      <c r="L16" s="49">
        <f>F16*K16</f>
        <v>63.248</v>
      </c>
    </row>
    <row r="17" spans="1:12" ht="12.75">
      <c r="A17" s="50"/>
      <c r="B17" s="50"/>
      <c r="C17" s="51" t="s">
        <v>65</v>
      </c>
      <c r="D17" s="52" t="s">
        <v>66</v>
      </c>
      <c r="E17" s="53"/>
      <c r="F17" s="53"/>
      <c r="G17" s="53"/>
      <c r="H17" s="54">
        <f>SUM(H18:H22)</f>
        <v>0</v>
      </c>
      <c r="I17" s="54">
        <f>SUM(I18:I22)</f>
        <v>0</v>
      </c>
      <c r="J17" s="54">
        <f t="shared" si="0"/>
        <v>0</v>
      </c>
      <c r="K17" s="55"/>
      <c r="L17" s="54">
        <f>SUM(L18:L22)</f>
        <v>3702.49734</v>
      </c>
    </row>
    <row r="18" spans="1:12" ht="12.75">
      <c r="A18" s="48" t="s">
        <v>67</v>
      </c>
      <c r="B18" s="48"/>
      <c r="C18" s="48" t="s">
        <v>68</v>
      </c>
      <c r="D18" s="48" t="s">
        <v>69</v>
      </c>
      <c r="E18" s="48" t="s">
        <v>60</v>
      </c>
      <c r="F18" s="49">
        <v>1608</v>
      </c>
      <c r="G18" s="49">
        <v>0</v>
      </c>
      <c r="H18" s="49">
        <f>F18*G18*0.861532931979513</f>
        <v>0</v>
      </c>
      <c r="I18" s="49">
        <f>F18*G18*(1-0.861532931979513)</f>
        <v>0</v>
      </c>
      <c r="J18" s="49">
        <f t="shared" si="0"/>
        <v>0</v>
      </c>
      <c r="K18" s="49">
        <v>0.33361</v>
      </c>
      <c r="L18" s="49">
        <f>F18*K18</f>
        <v>536.44488</v>
      </c>
    </row>
    <row r="19" spans="1:12" ht="12.75">
      <c r="A19" s="48" t="s">
        <v>70</v>
      </c>
      <c r="B19" s="48"/>
      <c r="C19" s="48" t="s">
        <v>71</v>
      </c>
      <c r="D19" s="48" t="s">
        <v>72</v>
      </c>
      <c r="E19" s="48" t="s">
        <v>60</v>
      </c>
      <c r="F19" s="49">
        <v>3126</v>
      </c>
      <c r="G19" s="49">
        <v>0</v>
      </c>
      <c r="H19" s="49">
        <f>F19*G19*0.859495798319328</f>
        <v>0</v>
      </c>
      <c r="I19" s="49">
        <f>F19*G19*(1-0.859495798319328)</f>
        <v>0</v>
      </c>
      <c r="J19" s="49">
        <f t="shared" si="0"/>
        <v>0</v>
      </c>
      <c r="K19" s="49">
        <v>0.44481</v>
      </c>
      <c r="L19" s="49">
        <f>F19*K19</f>
        <v>1390.47606</v>
      </c>
    </row>
    <row r="20" spans="1:12" ht="12.75">
      <c r="A20" s="48" t="s">
        <v>73</v>
      </c>
      <c r="B20" s="48"/>
      <c r="C20" s="48" t="s">
        <v>74</v>
      </c>
      <c r="D20" s="48" t="s">
        <v>75</v>
      </c>
      <c r="E20" s="48" t="s">
        <v>60</v>
      </c>
      <c r="F20" s="49">
        <v>3126</v>
      </c>
      <c r="G20" s="49">
        <v>0</v>
      </c>
      <c r="H20" s="49">
        <f>F20*G20*0.843966369930762</f>
        <v>0</v>
      </c>
      <c r="I20" s="49">
        <f>F20*G20*(1-0.843966369930762)</f>
        <v>0</v>
      </c>
      <c r="J20" s="49">
        <f t="shared" si="0"/>
        <v>0</v>
      </c>
      <c r="K20" s="49">
        <v>0.289</v>
      </c>
      <c r="L20" s="49">
        <f>F20*K20</f>
        <v>903.414</v>
      </c>
    </row>
    <row r="21" spans="1:12" ht="12.75">
      <c r="A21" s="48" t="s">
        <v>76</v>
      </c>
      <c r="B21" s="48"/>
      <c r="C21" s="48" t="s">
        <v>77</v>
      </c>
      <c r="D21" s="48" t="s">
        <v>78</v>
      </c>
      <c r="E21" s="48" t="s">
        <v>60</v>
      </c>
      <c r="F21" s="49">
        <v>729</v>
      </c>
      <c r="G21" s="49">
        <v>0</v>
      </c>
      <c r="H21" s="49">
        <f>F21*G21*0.836312762319291</f>
        <v>0</v>
      </c>
      <c r="I21" s="49">
        <f>F21*G21*(1-0.836312762319291)</f>
        <v>0</v>
      </c>
      <c r="J21" s="49">
        <f t="shared" si="0"/>
        <v>0</v>
      </c>
      <c r="K21" s="49">
        <v>0.2916</v>
      </c>
      <c r="L21" s="49">
        <f>F21*K21</f>
        <v>212.5764</v>
      </c>
    </row>
    <row r="22" spans="1:12" ht="12.75">
      <c r="A22" s="48" t="s">
        <v>79</v>
      </c>
      <c r="B22" s="48"/>
      <c r="C22" s="48" t="s">
        <v>80</v>
      </c>
      <c r="D22" s="48" t="s">
        <v>81</v>
      </c>
      <c r="E22" s="48" t="s">
        <v>60</v>
      </c>
      <c r="F22" s="49">
        <v>3126</v>
      </c>
      <c r="G22" s="49">
        <v>0</v>
      </c>
      <c r="H22" s="49">
        <f>F22*G22*0.769143422814884</f>
        <v>0</v>
      </c>
      <c r="I22" s="49">
        <f>F22*G22*(1-0.769143422814884)</f>
        <v>0</v>
      </c>
      <c r="J22" s="49">
        <f t="shared" si="0"/>
        <v>0</v>
      </c>
      <c r="K22" s="49">
        <v>0.211</v>
      </c>
      <c r="L22" s="49">
        <f>F22*K22</f>
        <v>659.586</v>
      </c>
    </row>
    <row r="23" spans="1:12" ht="12.75">
      <c r="A23" s="50"/>
      <c r="B23" s="50"/>
      <c r="C23" s="51" t="s">
        <v>82</v>
      </c>
      <c r="D23" s="52" t="s">
        <v>83</v>
      </c>
      <c r="E23" s="53"/>
      <c r="F23" s="53"/>
      <c r="G23" s="53"/>
      <c r="H23" s="54">
        <f>SUM(H24:H24)</f>
        <v>0</v>
      </c>
      <c r="I23" s="54">
        <f>SUM(I24:I24)</f>
        <v>0</v>
      </c>
      <c r="J23" s="54">
        <f t="shared" si="0"/>
        <v>0</v>
      </c>
      <c r="K23" s="55"/>
      <c r="L23" s="54">
        <f>SUM(L24:L24)</f>
        <v>317.00766</v>
      </c>
    </row>
    <row r="24" spans="1:12" ht="12.75">
      <c r="A24" s="48" t="s">
        <v>84</v>
      </c>
      <c r="B24" s="48"/>
      <c r="C24" s="48" t="s">
        <v>85</v>
      </c>
      <c r="D24" s="48" t="s">
        <v>86</v>
      </c>
      <c r="E24" s="48" t="s">
        <v>60</v>
      </c>
      <c r="F24" s="49">
        <v>3126</v>
      </c>
      <c r="G24" s="49">
        <v>0</v>
      </c>
      <c r="H24" s="49">
        <f>F24*G24*0.885223538165809</f>
        <v>0</v>
      </c>
      <c r="I24" s="49">
        <f>F24*G24*(1-0.885223538165809)</f>
        <v>0</v>
      </c>
      <c r="J24" s="49">
        <f t="shared" si="0"/>
        <v>0</v>
      </c>
      <c r="K24" s="49">
        <v>0.10141</v>
      </c>
      <c r="L24" s="49">
        <f>F24*K24</f>
        <v>317.00766</v>
      </c>
    </row>
    <row r="25" spans="1:12" ht="12.75">
      <c r="A25" s="50"/>
      <c r="B25" s="50"/>
      <c r="C25" s="51" t="s">
        <v>87</v>
      </c>
      <c r="D25" s="52" t="s">
        <v>88</v>
      </c>
      <c r="E25" s="53"/>
      <c r="F25" s="53"/>
      <c r="G25" s="53"/>
      <c r="H25" s="54">
        <f>SUM(H26:H31)</f>
        <v>0</v>
      </c>
      <c r="I25" s="54">
        <f>SUM(I26:I31)</f>
        <v>0</v>
      </c>
      <c r="J25" s="54">
        <f t="shared" si="0"/>
        <v>0</v>
      </c>
      <c r="K25" s="55"/>
      <c r="L25" s="54">
        <f>SUM(L26:L31)</f>
        <v>342.13315</v>
      </c>
    </row>
    <row r="26" spans="1:12" ht="12.75">
      <c r="A26" s="48" t="s">
        <v>89</v>
      </c>
      <c r="B26" s="48"/>
      <c r="C26" s="48" t="s">
        <v>90</v>
      </c>
      <c r="D26" s="48" t="s">
        <v>91</v>
      </c>
      <c r="E26" s="48" t="s">
        <v>60</v>
      </c>
      <c r="F26" s="49">
        <v>867</v>
      </c>
      <c r="G26" s="49">
        <v>0</v>
      </c>
      <c r="H26" s="49">
        <f>F26*G26*1</f>
        <v>0</v>
      </c>
      <c r="I26" s="49">
        <f>F26*G26*(1-1)</f>
        <v>0</v>
      </c>
      <c r="J26" s="49">
        <f t="shared" si="0"/>
        <v>0</v>
      </c>
      <c r="K26" s="49">
        <v>0.1296</v>
      </c>
      <c r="L26" s="49">
        <f aca="true" t="shared" si="1" ref="L26:L31">F26*K26</f>
        <v>112.36319999999999</v>
      </c>
    </row>
    <row r="27" spans="1:12" ht="12.75">
      <c r="A27" s="48" t="s">
        <v>92</v>
      </c>
      <c r="B27" s="48"/>
      <c r="C27" s="48" t="s">
        <v>90</v>
      </c>
      <c r="D27" s="48" t="s">
        <v>93</v>
      </c>
      <c r="E27" s="48" t="s">
        <v>60</v>
      </c>
      <c r="F27" s="49">
        <v>10</v>
      </c>
      <c r="G27" s="49">
        <v>0</v>
      </c>
      <c r="H27" s="49">
        <f>F27*G27*1</f>
        <v>0</v>
      </c>
      <c r="I27" s="49">
        <f>F27*G27*(1-1)</f>
        <v>0</v>
      </c>
      <c r="J27" s="49">
        <f t="shared" si="0"/>
        <v>0</v>
      </c>
      <c r="K27" s="49">
        <v>0.1296</v>
      </c>
      <c r="L27" s="49">
        <f t="shared" si="1"/>
        <v>1.2959999999999998</v>
      </c>
    </row>
    <row r="28" spans="1:12" ht="12.75">
      <c r="A28" s="48" t="s">
        <v>49</v>
      </c>
      <c r="B28" s="48"/>
      <c r="C28" s="48" t="s">
        <v>94</v>
      </c>
      <c r="D28" s="48" t="s">
        <v>95</v>
      </c>
      <c r="E28" s="48" t="s">
        <v>60</v>
      </c>
      <c r="F28" s="49">
        <v>688</v>
      </c>
      <c r="G28" s="49">
        <v>0</v>
      </c>
      <c r="H28" s="49">
        <f>F28*G28*1</f>
        <v>0</v>
      </c>
      <c r="I28" s="49">
        <f>F28*G28*(1-1)</f>
        <v>0</v>
      </c>
      <c r="J28" s="49">
        <f t="shared" si="0"/>
        <v>0</v>
      </c>
      <c r="K28" s="49">
        <v>0.1728</v>
      </c>
      <c r="L28" s="49">
        <f t="shared" si="1"/>
        <v>118.88640000000001</v>
      </c>
    </row>
    <row r="29" spans="1:12" ht="12.75">
      <c r="A29" s="48" t="s">
        <v>96</v>
      </c>
      <c r="B29" s="48"/>
      <c r="C29" s="48" t="s">
        <v>97</v>
      </c>
      <c r="D29" s="48" t="s">
        <v>98</v>
      </c>
      <c r="E29" s="48" t="s">
        <v>60</v>
      </c>
      <c r="F29" s="49">
        <v>41</v>
      </c>
      <c r="G29" s="49">
        <v>0</v>
      </c>
      <c r="H29" s="49">
        <f>F29*G29*1</f>
        <v>0</v>
      </c>
      <c r="I29" s="49">
        <f>F29*G29*(1-1)</f>
        <v>0</v>
      </c>
      <c r="J29" s="49">
        <f t="shared" si="0"/>
        <v>0</v>
      </c>
      <c r="K29" s="49">
        <v>0.1728</v>
      </c>
      <c r="L29" s="49">
        <f t="shared" si="1"/>
        <v>7.0848</v>
      </c>
    </row>
    <row r="30" spans="1:12" ht="12.75">
      <c r="A30" s="48" t="s">
        <v>99</v>
      </c>
      <c r="B30" s="48"/>
      <c r="C30" s="48" t="s">
        <v>100</v>
      </c>
      <c r="D30" s="48" t="s">
        <v>101</v>
      </c>
      <c r="E30" s="48" t="s">
        <v>60</v>
      </c>
      <c r="F30" s="49">
        <v>877</v>
      </c>
      <c r="G30" s="49">
        <v>0</v>
      </c>
      <c r="H30" s="49">
        <f>F30*G30*0.131741867785939</f>
        <v>0</v>
      </c>
      <c r="I30" s="49">
        <f>F30*G30*(1-0.131741867785939)</f>
        <v>0</v>
      </c>
      <c r="J30" s="49">
        <f t="shared" si="0"/>
        <v>0</v>
      </c>
      <c r="K30" s="49">
        <v>0.05545</v>
      </c>
      <c r="L30" s="49">
        <f t="shared" si="1"/>
        <v>48.62965</v>
      </c>
    </row>
    <row r="31" spans="1:12" ht="12.75">
      <c r="A31" s="48" t="s">
        <v>102</v>
      </c>
      <c r="B31" s="48"/>
      <c r="C31" s="48" t="s">
        <v>103</v>
      </c>
      <c r="D31" s="48" t="s">
        <v>104</v>
      </c>
      <c r="E31" s="48" t="s">
        <v>60</v>
      </c>
      <c r="F31" s="49">
        <v>729</v>
      </c>
      <c r="G31" s="49">
        <v>0</v>
      </c>
      <c r="H31" s="49">
        <f>F31*G31*0.159307194518462</f>
        <v>0</v>
      </c>
      <c r="I31" s="49">
        <f>F31*G31*(1-0.159307194518462)</f>
        <v>0</v>
      </c>
      <c r="J31" s="49">
        <f t="shared" si="0"/>
        <v>0</v>
      </c>
      <c r="K31" s="49">
        <v>0.0739</v>
      </c>
      <c r="L31" s="49">
        <f t="shared" si="1"/>
        <v>53.873099999999994</v>
      </c>
    </row>
    <row r="32" spans="1:12" ht="12.75">
      <c r="A32" s="50"/>
      <c r="B32" s="50"/>
      <c r="C32" s="51" t="s">
        <v>105</v>
      </c>
      <c r="D32" s="52" t="s">
        <v>106</v>
      </c>
      <c r="E32" s="53"/>
      <c r="F32" s="53"/>
      <c r="G32" s="53"/>
      <c r="H32" s="54">
        <f>SUM(H33:H33)</f>
        <v>0</v>
      </c>
      <c r="I32" s="54">
        <f>SUM(I33:I33)</f>
        <v>0</v>
      </c>
      <c r="J32" s="54">
        <f t="shared" si="0"/>
        <v>0</v>
      </c>
      <c r="K32" s="55"/>
      <c r="L32" s="54">
        <f>SUM(L33:L33)</f>
        <v>0</v>
      </c>
    </row>
    <row r="33" spans="1:12" ht="12.75">
      <c r="A33" s="48" t="s">
        <v>107</v>
      </c>
      <c r="B33" s="48"/>
      <c r="C33" s="48" t="s">
        <v>108</v>
      </c>
      <c r="D33" s="48" t="s">
        <v>109</v>
      </c>
      <c r="E33" s="48" t="s">
        <v>64</v>
      </c>
      <c r="F33" s="49">
        <v>10</v>
      </c>
      <c r="G33" s="49">
        <v>0</v>
      </c>
      <c r="H33" s="49">
        <f>F33*G33*0</f>
        <v>0</v>
      </c>
      <c r="I33" s="49">
        <f>F33*G33*(1-0)</f>
        <v>0</v>
      </c>
      <c r="J33" s="49">
        <f t="shared" si="0"/>
        <v>0</v>
      </c>
      <c r="K33" s="49">
        <v>0</v>
      </c>
      <c r="L33" s="49">
        <f>F33*K33</f>
        <v>0</v>
      </c>
    </row>
    <row r="34" spans="1:12" ht="12.75">
      <c r="A34" s="50"/>
      <c r="B34" s="50"/>
      <c r="C34" s="51" t="s">
        <v>110</v>
      </c>
      <c r="D34" s="52" t="s">
        <v>111</v>
      </c>
      <c r="E34" s="53"/>
      <c r="F34" s="53"/>
      <c r="G34" s="53"/>
      <c r="H34" s="54">
        <f>SUM(H35:H35)</f>
        <v>0</v>
      </c>
      <c r="I34" s="54">
        <f>SUM(I35:I35)</f>
        <v>0</v>
      </c>
      <c r="J34" s="54">
        <f t="shared" si="0"/>
        <v>0</v>
      </c>
      <c r="K34" s="55"/>
      <c r="L34" s="54">
        <f>SUM(L35:L35)</f>
        <v>2.68</v>
      </c>
    </row>
    <row r="35" spans="1:12" ht="12.75">
      <c r="A35" s="48" t="s">
        <v>112</v>
      </c>
      <c r="B35" s="48"/>
      <c r="C35" s="48" t="s">
        <v>113</v>
      </c>
      <c r="D35" s="48" t="s">
        <v>114</v>
      </c>
      <c r="E35" s="48" t="s">
        <v>64</v>
      </c>
      <c r="F35" s="49">
        <v>268</v>
      </c>
      <c r="G35" s="49">
        <v>0</v>
      </c>
      <c r="H35" s="49">
        <f>F35*G35*0.826813774657305</f>
        <v>0</v>
      </c>
      <c r="I35" s="49">
        <f>F35*G35*(1-0.826813774657305)</f>
        <v>0</v>
      </c>
      <c r="J35" s="49">
        <f t="shared" si="0"/>
        <v>0</v>
      </c>
      <c r="K35" s="49">
        <v>0.01</v>
      </c>
      <c r="L35" s="49">
        <f>F35*K35</f>
        <v>2.68</v>
      </c>
    </row>
    <row r="36" spans="1:12" ht="12.75">
      <c r="A36" s="50"/>
      <c r="B36" s="50"/>
      <c r="C36" s="51" t="s">
        <v>115</v>
      </c>
      <c r="D36" s="52" t="s">
        <v>116</v>
      </c>
      <c r="E36" s="53"/>
      <c r="F36" s="53"/>
      <c r="G36" s="53"/>
      <c r="H36" s="54">
        <f>SUM(H37:H38)</f>
        <v>0</v>
      </c>
      <c r="I36" s="54">
        <f>SUM(I37:I38)</f>
        <v>0</v>
      </c>
      <c r="J36" s="54">
        <f t="shared" si="0"/>
        <v>0</v>
      </c>
      <c r="K36" s="55"/>
      <c r="L36" s="54">
        <f>SUM(L37:L38)</f>
        <v>4.1432400000000005</v>
      </c>
    </row>
    <row r="37" spans="1:12" ht="12.75">
      <c r="A37" s="48" t="s">
        <v>117</v>
      </c>
      <c r="B37" s="48"/>
      <c r="C37" s="48" t="s">
        <v>118</v>
      </c>
      <c r="D37" s="48" t="s">
        <v>119</v>
      </c>
      <c r="E37" s="48" t="s">
        <v>120</v>
      </c>
      <c r="F37" s="49">
        <v>9</v>
      </c>
      <c r="G37" s="49">
        <v>0</v>
      </c>
      <c r="H37" s="49">
        <f>F37*G37*0.104159176490624</f>
        <v>0</v>
      </c>
      <c r="I37" s="49">
        <f>F37*G37*(1-0.104159176490624)</f>
        <v>0</v>
      </c>
      <c r="J37" s="49">
        <f t="shared" si="0"/>
        <v>0</v>
      </c>
      <c r="K37" s="49">
        <v>0.341</v>
      </c>
      <c r="L37" s="49">
        <f>F37*K37</f>
        <v>3.0690000000000004</v>
      </c>
    </row>
    <row r="38" spans="1:12" ht="12.75">
      <c r="A38" s="48" t="s">
        <v>121</v>
      </c>
      <c r="B38" s="48"/>
      <c r="C38" s="48" t="s">
        <v>122</v>
      </c>
      <c r="D38" s="48" t="s">
        <v>123</v>
      </c>
      <c r="E38" s="48" t="s">
        <v>120</v>
      </c>
      <c r="F38" s="49">
        <v>9</v>
      </c>
      <c r="G38" s="49">
        <v>0</v>
      </c>
      <c r="H38" s="49">
        <f>F38*G38*0.82628335792223</f>
        <v>0</v>
      </c>
      <c r="I38" s="49">
        <f>F38*G38*(1-0.82628335792223)</f>
        <v>0</v>
      </c>
      <c r="J38" s="49">
        <f t="shared" si="0"/>
        <v>0</v>
      </c>
      <c r="K38" s="49">
        <v>0.11936</v>
      </c>
      <c r="L38" s="49">
        <f>F38*K38</f>
        <v>1.0742399999999999</v>
      </c>
    </row>
    <row r="39" spans="1:12" ht="12.75">
      <c r="A39" s="50"/>
      <c r="B39" s="50"/>
      <c r="C39" s="51" t="s">
        <v>124</v>
      </c>
      <c r="D39" s="52" t="s">
        <v>125</v>
      </c>
      <c r="E39" s="53"/>
      <c r="F39" s="53"/>
      <c r="G39" s="53"/>
      <c r="H39" s="54">
        <f>SUM(H40:H47)</f>
        <v>0</v>
      </c>
      <c r="I39" s="54">
        <f>SUM(I40:I47)</f>
        <v>0</v>
      </c>
      <c r="J39" s="54">
        <f t="shared" si="0"/>
        <v>0</v>
      </c>
      <c r="K39" s="55"/>
      <c r="L39" s="54">
        <f>SUM(L40:L47)</f>
        <v>296.81159999999994</v>
      </c>
    </row>
    <row r="40" spans="1:12" ht="12.75">
      <c r="A40" s="48" t="s">
        <v>126</v>
      </c>
      <c r="B40" s="48"/>
      <c r="C40" s="48" t="s">
        <v>127</v>
      </c>
      <c r="D40" s="48" t="s">
        <v>128</v>
      </c>
      <c r="E40" s="48" t="s">
        <v>120</v>
      </c>
      <c r="F40" s="49">
        <v>1010</v>
      </c>
      <c r="G40" s="49">
        <v>0</v>
      </c>
      <c r="H40" s="49">
        <f>F40*G40*1</f>
        <v>0</v>
      </c>
      <c r="I40" s="49">
        <f>F40*G40*(1-1)</f>
        <v>0</v>
      </c>
      <c r="J40" s="49">
        <f t="shared" si="0"/>
        <v>0</v>
      </c>
      <c r="K40" s="49">
        <v>0.086</v>
      </c>
      <c r="L40" s="49">
        <f aca="true" t="shared" si="2" ref="L40:L47">F40*K40</f>
        <v>86.86</v>
      </c>
    </row>
    <row r="41" spans="1:12" ht="12.75">
      <c r="A41" s="48" t="s">
        <v>129</v>
      </c>
      <c r="B41" s="48"/>
      <c r="C41" s="48" t="s">
        <v>130</v>
      </c>
      <c r="D41" s="48" t="s">
        <v>131</v>
      </c>
      <c r="E41" s="48" t="s">
        <v>120</v>
      </c>
      <c r="F41" s="49">
        <v>150</v>
      </c>
      <c r="G41" s="49">
        <v>0</v>
      </c>
      <c r="H41" s="49">
        <f>F41*G41*1</f>
        <v>0</v>
      </c>
      <c r="I41" s="49">
        <f>F41*G41*(1-1)</f>
        <v>0</v>
      </c>
      <c r="J41" s="49">
        <f t="shared" si="0"/>
        <v>0</v>
      </c>
      <c r="K41" s="49">
        <v>0.024</v>
      </c>
      <c r="L41" s="49">
        <f t="shared" si="2"/>
        <v>3.6</v>
      </c>
    </row>
    <row r="42" spans="1:12" ht="12.75">
      <c r="A42" s="48" t="s">
        <v>132</v>
      </c>
      <c r="B42" s="48"/>
      <c r="C42" s="48" t="s">
        <v>133</v>
      </c>
      <c r="D42" s="48" t="s">
        <v>134</v>
      </c>
      <c r="E42" s="48" t="s">
        <v>120</v>
      </c>
      <c r="F42" s="49">
        <v>5</v>
      </c>
      <c r="G42" s="49">
        <v>0</v>
      </c>
      <c r="H42" s="49">
        <f>F42*G42*0.525930752179486</f>
        <v>0</v>
      </c>
      <c r="I42" s="49">
        <f>F42*G42*(1-0.525930752179486)</f>
        <v>0</v>
      </c>
      <c r="J42" s="49">
        <f t="shared" si="0"/>
        <v>0</v>
      </c>
      <c r="K42" s="49">
        <v>0.2459</v>
      </c>
      <c r="L42" s="49">
        <f t="shared" si="2"/>
        <v>1.2295</v>
      </c>
    </row>
    <row r="43" spans="1:12" ht="12.75">
      <c r="A43" s="48" t="s">
        <v>135</v>
      </c>
      <c r="B43" s="48"/>
      <c r="C43" s="48" t="s">
        <v>136</v>
      </c>
      <c r="D43" s="48" t="s">
        <v>137</v>
      </c>
      <c r="E43" s="48" t="s">
        <v>60</v>
      </c>
      <c r="F43" s="49">
        <v>11</v>
      </c>
      <c r="G43" s="49">
        <v>0</v>
      </c>
      <c r="H43" s="49">
        <f>F43*G43*0.323408247338581</f>
        <v>0</v>
      </c>
      <c r="I43" s="49">
        <f>F43*G43*(1-0.323408247338581)</f>
        <v>0</v>
      </c>
      <c r="J43" s="49">
        <f t="shared" si="0"/>
        <v>0</v>
      </c>
      <c r="K43" s="49">
        <v>0.00066</v>
      </c>
      <c r="L43" s="49">
        <f t="shared" si="2"/>
        <v>0.00726</v>
      </c>
    </row>
    <row r="44" spans="1:12" ht="12.75">
      <c r="A44" s="48" t="s">
        <v>138</v>
      </c>
      <c r="B44" s="48"/>
      <c r="C44" s="48" t="s">
        <v>139</v>
      </c>
      <c r="D44" s="48" t="s">
        <v>140</v>
      </c>
      <c r="E44" s="48" t="s">
        <v>64</v>
      </c>
      <c r="F44" s="49">
        <v>734</v>
      </c>
      <c r="G44" s="49">
        <v>0</v>
      </c>
      <c r="H44" s="49">
        <f>F44*G44*0.820072551390568</f>
        <v>0</v>
      </c>
      <c r="I44" s="49">
        <f>F44*G44*(1-0.820072551390568)</f>
        <v>0</v>
      </c>
      <c r="J44" s="49">
        <f t="shared" si="0"/>
        <v>0</v>
      </c>
      <c r="K44" s="49">
        <v>0.11777</v>
      </c>
      <c r="L44" s="49">
        <f t="shared" si="2"/>
        <v>86.44318</v>
      </c>
    </row>
    <row r="45" spans="1:12" ht="12.75">
      <c r="A45" s="48" t="s">
        <v>141</v>
      </c>
      <c r="B45" s="48"/>
      <c r="C45" s="48" t="s">
        <v>142</v>
      </c>
      <c r="D45" s="48" t="s">
        <v>143</v>
      </c>
      <c r="E45" s="48" t="s">
        <v>64</v>
      </c>
      <c r="F45" s="49">
        <v>1085</v>
      </c>
      <c r="G45" s="49">
        <v>0</v>
      </c>
      <c r="H45" s="49">
        <f>F45*G45*0.683740758009725</f>
        <v>0</v>
      </c>
      <c r="I45" s="49">
        <f>F45*G45*(1-0.683740758009725)</f>
        <v>0</v>
      </c>
      <c r="J45" s="49">
        <f t="shared" si="0"/>
        <v>0</v>
      </c>
      <c r="K45" s="49">
        <v>0.1008</v>
      </c>
      <c r="L45" s="49">
        <f t="shared" si="2"/>
        <v>109.368</v>
      </c>
    </row>
    <row r="46" spans="1:12" ht="12.75">
      <c r="A46" s="48" t="s">
        <v>144</v>
      </c>
      <c r="B46" s="48"/>
      <c r="C46" s="48" t="s">
        <v>145</v>
      </c>
      <c r="D46" s="48" t="s">
        <v>146</v>
      </c>
      <c r="E46" s="48" t="s">
        <v>54</v>
      </c>
      <c r="F46" s="49">
        <v>3</v>
      </c>
      <c r="G46" s="49">
        <v>0</v>
      </c>
      <c r="H46" s="49">
        <f>F46*G46*0.833378991859737</f>
        <v>0</v>
      </c>
      <c r="I46" s="49">
        <f>F46*G46*(1-0.833378991859737)</f>
        <v>0</v>
      </c>
      <c r="J46" s="49">
        <f t="shared" si="0"/>
        <v>0</v>
      </c>
      <c r="K46" s="49">
        <v>2.718</v>
      </c>
      <c r="L46" s="49">
        <f t="shared" si="2"/>
        <v>8.154</v>
      </c>
    </row>
    <row r="47" spans="1:12" ht="12.75">
      <c r="A47" s="48" t="s">
        <v>147</v>
      </c>
      <c r="B47" s="48"/>
      <c r="C47" s="48" t="s">
        <v>148</v>
      </c>
      <c r="D47" s="48" t="s">
        <v>149</v>
      </c>
      <c r="E47" s="48" t="s">
        <v>64</v>
      </c>
      <c r="F47" s="49">
        <v>18</v>
      </c>
      <c r="G47" s="49">
        <v>0</v>
      </c>
      <c r="H47" s="49">
        <f>F47*G47*0.680769868923179</f>
        <v>0</v>
      </c>
      <c r="I47" s="49">
        <f>F47*G47*(1-0.680769868923179)</f>
        <v>0</v>
      </c>
      <c r="J47" s="49">
        <f t="shared" si="0"/>
        <v>0</v>
      </c>
      <c r="K47" s="49">
        <v>0.06387</v>
      </c>
      <c r="L47" s="49">
        <f t="shared" si="2"/>
        <v>1.14966</v>
      </c>
    </row>
    <row r="48" spans="1:12" ht="12.75">
      <c r="A48" s="50"/>
      <c r="B48" s="50"/>
      <c r="C48" s="51" t="s">
        <v>150</v>
      </c>
      <c r="D48" s="52" t="s">
        <v>151</v>
      </c>
      <c r="E48" s="53"/>
      <c r="F48" s="53"/>
      <c r="G48" s="53"/>
      <c r="H48" s="54">
        <f>SUM(H49:H50)</f>
        <v>0</v>
      </c>
      <c r="I48" s="54">
        <f>SUM(I49:I50)</f>
        <v>0</v>
      </c>
      <c r="J48" s="54">
        <f t="shared" si="0"/>
        <v>0</v>
      </c>
      <c r="K48" s="55"/>
      <c r="L48" s="54">
        <f>SUM(L49:L50)</f>
        <v>0</v>
      </c>
    </row>
    <row r="49" spans="1:12" ht="12.75">
      <c r="A49" s="48" t="s">
        <v>152</v>
      </c>
      <c r="B49" s="48"/>
      <c r="C49" s="48" t="s">
        <v>153</v>
      </c>
      <c r="D49" s="48" t="s">
        <v>154</v>
      </c>
      <c r="E49" s="48" t="s">
        <v>155</v>
      </c>
      <c r="F49" s="49">
        <v>642</v>
      </c>
      <c r="G49" s="49">
        <v>0</v>
      </c>
      <c r="H49" s="49">
        <f>F49*G49*0</f>
        <v>0</v>
      </c>
      <c r="I49" s="49">
        <f>F49*G49*(1-0)</f>
        <v>0</v>
      </c>
      <c r="J49" s="49">
        <f t="shared" si="0"/>
        <v>0</v>
      </c>
      <c r="K49" s="49">
        <v>0</v>
      </c>
      <c r="L49" s="49">
        <f>F49*K49</f>
        <v>0</v>
      </c>
    </row>
    <row r="50" spans="1:12" ht="12.75">
      <c r="A50" s="56" t="s">
        <v>156</v>
      </c>
      <c r="B50" s="56"/>
      <c r="C50" s="56" t="s">
        <v>157</v>
      </c>
      <c r="D50" s="56" t="s">
        <v>158</v>
      </c>
      <c r="E50" s="56" t="s">
        <v>155</v>
      </c>
      <c r="F50" s="57">
        <v>317</v>
      </c>
      <c r="G50" s="57">
        <v>0</v>
      </c>
      <c r="H50" s="57">
        <f>F50*G50*0</f>
        <v>0</v>
      </c>
      <c r="I50" s="57">
        <f>F50*G50*(1-0)</f>
        <v>0</v>
      </c>
      <c r="J50" s="57">
        <f t="shared" si="0"/>
        <v>0</v>
      </c>
      <c r="K50" s="57">
        <v>0</v>
      </c>
      <c r="L50" s="57">
        <f>F50*K50</f>
        <v>0</v>
      </c>
    </row>
    <row r="51" spans="1:12" ht="12.75">
      <c r="A51" s="58"/>
      <c r="B51" s="58"/>
      <c r="C51" s="58"/>
      <c r="D51" s="58"/>
      <c r="E51" s="58"/>
      <c r="F51" s="58"/>
      <c r="G51" s="58"/>
      <c r="H51" s="14" t="s">
        <v>159</v>
      </c>
      <c r="I51" s="59"/>
      <c r="J51" s="60">
        <f>J12+J14+J17+J23+J25+J32+J34+J36+J39+J48</f>
        <v>0</v>
      </c>
      <c r="K51" s="58"/>
      <c r="L51" s="58"/>
    </row>
    <row r="52" spans="1:12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</sheetData>
  <mergeCells count="38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4:G14"/>
    <mergeCell ref="D17:G17"/>
    <mergeCell ref="D23:G23"/>
    <mergeCell ref="D25:G25"/>
    <mergeCell ref="D32:G32"/>
    <mergeCell ref="H51:I51"/>
    <mergeCell ref="D34:G34"/>
    <mergeCell ref="D36:G36"/>
    <mergeCell ref="D39:G39"/>
    <mergeCell ref="D48:G48"/>
  </mergeCells>
  <printOptions/>
  <pageMargins left="0.54" right="0.39" top="0.51" bottom="0.56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33"/>
  <sheetViews>
    <sheetView workbookViewId="0" topLeftCell="A1">
      <selection activeCell="N18" sqref="N18"/>
    </sheetView>
  </sheetViews>
  <sheetFormatPr defaultColWidth="9.140625" defaultRowHeight="15"/>
  <cols>
    <col min="1" max="1" width="9.140625" style="11" customWidth="1"/>
    <col min="2" max="2" width="11.8515625" style="11" customWidth="1"/>
    <col min="3" max="3" width="21.7109375" style="11" customWidth="1"/>
    <col min="4" max="4" width="8.8515625" style="11" customWidth="1"/>
    <col min="5" max="5" width="14.00390625" style="11" customWidth="1"/>
    <col min="6" max="6" width="22.57421875" style="11" customWidth="1"/>
    <col min="7" max="7" width="9.140625" style="11" customWidth="1"/>
    <col min="8" max="8" width="11.8515625" style="11" customWidth="1"/>
    <col min="9" max="9" width="22.421875" style="11" customWidth="1"/>
    <col min="10" max="13" width="11.421875" style="11" customWidth="1"/>
    <col min="14" max="14" width="18.421875" style="11" customWidth="1"/>
    <col min="15" max="16384" width="11.421875" style="11" customWidth="1"/>
  </cols>
  <sheetData>
    <row r="1" spans="1:9" ht="28.5" customHeight="1">
      <c r="A1" s="62" t="s">
        <v>160</v>
      </c>
      <c r="B1" s="63"/>
      <c r="C1" s="63"/>
      <c r="D1" s="63"/>
      <c r="E1" s="63"/>
      <c r="F1" s="63"/>
      <c r="G1" s="63"/>
      <c r="H1" s="63"/>
      <c r="I1" s="63"/>
    </row>
    <row r="2" spans="1:10" ht="12.75">
      <c r="A2" s="64" t="s">
        <v>20</v>
      </c>
      <c r="B2" s="65"/>
      <c r="C2" s="66" t="s">
        <v>21</v>
      </c>
      <c r="D2" s="67"/>
      <c r="E2" s="68" t="s">
        <v>23</v>
      </c>
      <c r="F2" s="68"/>
      <c r="G2" s="65"/>
      <c r="H2" s="68" t="s">
        <v>161</v>
      </c>
      <c r="I2" s="69"/>
      <c r="J2" s="17"/>
    </row>
    <row r="3" spans="1:10" ht="12.75">
      <c r="A3" s="70"/>
      <c r="B3" s="71"/>
      <c r="C3" s="72"/>
      <c r="D3" s="72"/>
      <c r="E3" s="71"/>
      <c r="F3" s="71"/>
      <c r="G3" s="71"/>
      <c r="H3" s="71"/>
      <c r="I3" s="73"/>
      <c r="J3" s="17"/>
    </row>
    <row r="4" spans="1:10" ht="12.75">
      <c r="A4" s="74" t="s">
        <v>24</v>
      </c>
      <c r="B4" s="71"/>
      <c r="C4" s="75" t="s">
        <v>25</v>
      </c>
      <c r="D4" s="71"/>
      <c r="E4" s="75" t="s">
        <v>27</v>
      </c>
      <c r="F4" s="75"/>
      <c r="G4" s="71"/>
      <c r="H4" s="75" t="s">
        <v>161</v>
      </c>
      <c r="I4" s="76"/>
      <c r="J4" s="17"/>
    </row>
    <row r="5" spans="1:10" ht="12.75">
      <c r="A5" s="70"/>
      <c r="B5" s="71"/>
      <c r="C5" s="71"/>
      <c r="D5" s="71"/>
      <c r="E5" s="71"/>
      <c r="F5" s="71"/>
      <c r="G5" s="71"/>
      <c r="H5" s="71"/>
      <c r="I5" s="73"/>
      <c r="J5" s="17"/>
    </row>
    <row r="6" spans="1:10" ht="12.75">
      <c r="A6" s="74" t="s">
        <v>28</v>
      </c>
      <c r="B6" s="71"/>
      <c r="C6" s="75" t="s">
        <v>29</v>
      </c>
      <c r="D6" s="71"/>
      <c r="E6" s="75" t="s">
        <v>31</v>
      </c>
      <c r="F6" s="75"/>
      <c r="G6" s="71"/>
      <c r="H6" s="75" t="s">
        <v>161</v>
      </c>
      <c r="I6" s="76"/>
      <c r="J6" s="17"/>
    </row>
    <row r="7" spans="1:10" ht="12.75">
      <c r="A7" s="70"/>
      <c r="B7" s="71"/>
      <c r="C7" s="71"/>
      <c r="D7" s="71"/>
      <c r="E7" s="71"/>
      <c r="F7" s="71"/>
      <c r="G7" s="71"/>
      <c r="H7" s="71"/>
      <c r="I7" s="73"/>
      <c r="J7" s="17"/>
    </row>
    <row r="8" spans="1:10" ht="12.75">
      <c r="A8" s="74" t="s">
        <v>26</v>
      </c>
      <c r="B8" s="71"/>
      <c r="C8" s="77"/>
      <c r="D8" s="71"/>
      <c r="E8" s="75" t="s">
        <v>30</v>
      </c>
      <c r="F8" s="71"/>
      <c r="G8" s="71"/>
      <c r="H8" s="75" t="s">
        <v>162</v>
      </c>
      <c r="I8" s="76" t="s">
        <v>156</v>
      </c>
      <c r="J8" s="17"/>
    </row>
    <row r="9" spans="1:10" ht="12.75">
      <c r="A9" s="70"/>
      <c r="B9" s="71"/>
      <c r="C9" s="71"/>
      <c r="D9" s="71"/>
      <c r="E9" s="71"/>
      <c r="F9" s="71"/>
      <c r="G9" s="71"/>
      <c r="H9" s="71"/>
      <c r="I9" s="73"/>
      <c r="J9" s="17"/>
    </row>
    <row r="10" spans="1:10" ht="12.75">
      <c r="A10" s="74" t="s">
        <v>32</v>
      </c>
      <c r="B10" s="71"/>
      <c r="C10" s="75"/>
      <c r="D10" s="71"/>
      <c r="E10" s="75" t="s">
        <v>34</v>
      </c>
      <c r="F10" s="75"/>
      <c r="G10" s="71"/>
      <c r="H10" s="75" t="s">
        <v>163</v>
      </c>
      <c r="I10" s="78">
        <v>41014</v>
      </c>
      <c r="J10" s="17"/>
    </row>
    <row r="11" spans="1:10" ht="12.75">
      <c r="A11" s="79"/>
      <c r="B11" s="80"/>
      <c r="C11" s="80"/>
      <c r="D11" s="80"/>
      <c r="E11" s="80"/>
      <c r="F11" s="80"/>
      <c r="G11" s="80"/>
      <c r="H11" s="80"/>
      <c r="I11" s="81"/>
      <c r="J11" s="17"/>
    </row>
    <row r="12" spans="1:9" ht="23.25" customHeight="1">
      <c r="A12" s="82" t="s">
        <v>164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84" t="s">
        <v>165</v>
      </c>
      <c r="B13" s="85" t="s">
        <v>166</v>
      </c>
      <c r="C13" s="86"/>
      <c r="D13" s="84" t="s">
        <v>167</v>
      </c>
      <c r="E13" s="85" t="s">
        <v>168</v>
      </c>
      <c r="F13" s="86"/>
      <c r="G13" s="84" t="s">
        <v>169</v>
      </c>
      <c r="H13" s="85" t="s">
        <v>170</v>
      </c>
      <c r="I13" s="86"/>
      <c r="J13" s="17"/>
    </row>
    <row r="14" spans="1:10" ht="15" customHeight="1">
      <c r="A14" s="87" t="s">
        <v>171</v>
      </c>
      <c r="B14" s="88" t="s">
        <v>172</v>
      </c>
      <c r="C14" s="89">
        <f>SUM('Stavební rozpočet'!H12+'Stavební rozpočet'!H14+'Stavební rozpočet'!H17+'Stavební rozpočet'!H23+'Stavební rozpočet'!H25+'Stavební rozpočet'!H32+'Stavební rozpočet'!H34+'Stavební rozpočet'!H36+'Stavební rozpočet'!H39+'Stavební rozpočet'!H48)</f>
        <v>0</v>
      </c>
      <c r="D14" s="90" t="s">
        <v>173</v>
      </c>
      <c r="E14" s="91"/>
      <c r="F14" s="89">
        <v>0</v>
      </c>
      <c r="G14" s="90" t="s">
        <v>174</v>
      </c>
      <c r="H14" s="91"/>
      <c r="I14" s="89">
        <v>0</v>
      </c>
      <c r="J14" s="17"/>
    </row>
    <row r="15" spans="1:10" ht="15" customHeight="1">
      <c r="A15" s="92"/>
      <c r="B15" s="88" t="s">
        <v>47</v>
      </c>
      <c r="C15" s="89">
        <f>SUM('Stavební rozpočet'!I12+'Stavební rozpočet'!I14+'Stavební rozpočet'!I17+'Stavební rozpočet'!I23+'Stavební rozpočet'!I25+'Stavební rozpočet'!I32+'Stavební rozpočet'!I34+'Stavební rozpočet'!I36+'Stavební rozpočet'!I39+'Stavební rozpočet'!I48)</f>
        <v>0</v>
      </c>
      <c r="D15" s="90" t="s">
        <v>175</v>
      </c>
      <c r="E15" s="91"/>
      <c r="F15" s="89">
        <v>0</v>
      </c>
      <c r="G15" s="90" t="s">
        <v>176</v>
      </c>
      <c r="H15" s="91"/>
      <c r="I15" s="89">
        <v>0</v>
      </c>
      <c r="J15" s="17"/>
    </row>
    <row r="16" spans="1:10" ht="15" customHeight="1">
      <c r="A16" s="87" t="s">
        <v>177</v>
      </c>
      <c r="B16" s="88" t="s">
        <v>172</v>
      </c>
      <c r="C16" s="89">
        <v>0</v>
      </c>
      <c r="D16" s="90" t="s">
        <v>178</v>
      </c>
      <c r="E16" s="91"/>
      <c r="F16" s="89">
        <v>0</v>
      </c>
      <c r="G16" s="90" t="s">
        <v>179</v>
      </c>
      <c r="H16" s="91"/>
      <c r="I16" s="89">
        <v>0</v>
      </c>
      <c r="J16" s="17"/>
    </row>
    <row r="17" spans="1:10" ht="15" customHeight="1">
      <c r="A17" s="92"/>
      <c r="B17" s="88" t="s">
        <v>47</v>
      </c>
      <c r="C17" s="89">
        <v>0</v>
      </c>
      <c r="D17" s="90"/>
      <c r="E17" s="91"/>
      <c r="F17" s="93"/>
      <c r="G17" s="90" t="s">
        <v>180</v>
      </c>
      <c r="H17" s="91"/>
      <c r="I17" s="89">
        <v>0</v>
      </c>
      <c r="J17" s="17"/>
    </row>
    <row r="18" spans="1:10" ht="15" customHeight="1">
      <c r="A18" s="87" t="s">
        <v>181</v>
      </c>
      <c r="B18" s="88" t="s">
        <v>172</v>
      </c>
      <c r="C18" s="89">
        <v>0</v>
      </c>
      <c r="D18" s="90"/>
      <c r="E18" s="91"/>
      <c r="F18" s="93"/>
      <c r="G18" s="90" t="s">
        <v>182</v>
      </c>
      <c r="H18" s="91"/>
      <c r="I18" s="89">
        <v>0</v>
      </c>
      <c r="J18" s="17"/>
    </row>
    <row r="19" spans="1:10" ht="15" customHeight="1">
      <c r="A19" s="92"/>
      <c r="B19" s="88" t="s">
        <v>47</v>
      </c>
      <c r="C19" s="89">
        <v>0</v>
      </c>
      <c r="D19" s="90"/>
      <c r="E19" s="91"/>
      <c r="F19" s="93"/>
      <c r="G19" s="90" t="s">
        <v>183</v>
      </c>
      <c r="H19" s="91"/>
      <c r="I19" s="89">
        <v>0</v>
      </c>
      <c r="J19" s="17"/>
    </row>
    <row r="20" spans="1:10" ht="15" customHeight="1">
      <c r="A20" s="94" t="s">
        <v>184</v>
      </c>
      <c r="B20" s="95"/>
      <c r="C20" s="89">
        <v>0</v>
      </c>
      <c r="D20" s="90"/>
      <c r="E20" s="91"/>
      <c r="F20" s="93"/>
      <c r="G20" s="90"/>
      <c r="H20" s="91"/>
      <c r="I20" s="93"/>
      <c r="J20" s="17"/>
    </row>
    <row r="21" spans="1:10" ht="15" customHeight="1">
      <c r="A21" s="94" t="s">
        <v>185</v>
      </c>
      <c r="B21" s="95"/>
      <c r="C21" s="89">
        <v>0</v>
      </c>
      <c r="D21" s="90"/>
      <c r="E21" s="91"/>
      <c r="F21" s="89"/>
      <c r="G21" s="90"/>
      <c r="H21" s="91"/>
      <c r="I21" s="93"/>
      <c r="J21" s="17"/>
    </row>
    <row r="22" spans="1:10" ht="39.75" customHeight="1">
      <c r="A22" s="94" t="s">
        <v>186</v>
      </c>
      <c r="B22" s="95"/>
      <c r="C22" s="89">
        <f>SUM(C14:C19)</f>
        <v>0</v>
      </c>
      <c r="D22" s="94" t="s">
        <v>187</v>
      </c>
      <c r="E22" s="95"/>
      <c r="F22" s="89">
        <f>SUM(F14:F16)</f>
        <v>0</v>
      </c>
      <c r="G22" s="94" t="s">
        <v>188</v>
      </c>
      <c r="H22" s="95"/>
      <c r="I22" s="89">
        <v>0</v>
      </c>
      <c r="J22" s="17"/>
    </row>
    <row r="23" spans="1:9" ht="12.75">
      <c r="A23" s="96"/>
      <c r="B23" s="96"/>
      <c r="C23" s="96"/>
      <c r="D23" s="97"/>
      <c r="E23" s="97"/>
      <c r="F23" s="97"/>
      <c r="G23" s="97"/>
      <c r="H23" s="97"/>
      <c r="I23" s="97"/>
    </row>
    <row r="24" spans="1:9" ht="15" customHeight="1">
      <c r="A24" s="98" t="s">
        <v>189</v>
      </c>
      <c r="B24" s="99"/>
      <c r="C24" s="100">
        <v>0</v>
      </c>
      <c r="D24" s="101"/>
      <c r="E24" s="102"/>
      <c r="F24" s="102"/>
      <c r="G24" s="102"/>
      <c r="H24" s="102"/>
      <c r="I24" s="102"/>
    </row>
    <row r="25" spans="1:10" ht="15" customHeight="1">
      <c r="A25" s="98" t="s">
        <v>190</v>
      </c>
      <c r="B25" s="99"/>
      <c r="C25" s="100">
        <v>0</v>
      </c>
      <c r="D25" s="98" t="s">
        <v>191</v>
      </c>
      <c r="E25" s="99"/>
      <c r="F25" s="100">
        <v>0</v>
      </c>
      <c r="G25" s="98" t="s">
        <v>192</v>
      </c>
      <c r="H25" s="99"/>
      <c r="I25" s="100">
        <f>SUM(C26)</f>
        <v>0</v>
      </c>
      <c r="J25" s="17"/>
    </row>
    <row r="26" spans="1:10" ht="15" customHeight="1">
      <c r="A26" s="98" t="s">
        <v>193</v>
      </c>
      <c r="B26" s="99"/>
      <c r="C26" s="100">
        <f>SUM(C22+F22+I22)</f>
        <v>0</v>
      </c>
      <c r="D26" s="98" t="s">
        <v>194</v>
      </c>
      <c r="E26" s="99"/>
      <c r="F26" s="100">
        <f>SUM(C26/100*20)</f>
        <v>0</v>
      </c>
      <c r="G26" s="98" t="s">
        <v>195</v>
      </c>
      <c r="H26" s="99"/>
      <c r="I26" s="100">
        <f>SUM(I25+F26)</f>
        <v>0</v>
      </c>
      <c r="J26" s="17"/>
    </row>
    <row r="27" spans="1:9" ht="12.75">
      <c r="A27" s="103"/>
      <c r="B27" s="103"/>
      <c r="C27" s="103"/>
      <c r="D27" s="103"/>
      <c r="E27" s="103"/>
      <c r="F27" s="103"/>
      <c r="G27" s="103"/>
      <c r="H27" s="103"/>
      <c r="I27" s="103"/>
    </row>
    <row r="28" spans="1:10" ht="14.25" customHeight="1">
      <c r="A28" s="104" t="s">
        <v>196</v>
      </c>
      <c r="B28" s="105"/>
      <c r="C28" s="106"/>
      <c r="D28" s="104" t="s">
        <v>197</v>
      </c>
      <c r="E28" s="105"/>
      <c r="F28" s="106"/>
      <c r="G28" s="104" t="s">
        <v>198</v>
      </c>
      <c r="H28" s="105"/>
      <c r="I28" s="106"/>
      <c r="J28" s="34"/>
    </row>
    <row r="29" spans="1:10" ht="14.25" customHeight="1">
      <c r="A29" s="107"/>
      <c r="B29" s="108"/>
      <c r="C29" s="109"/>
      <c r="D29" s="107"/>
      <c r="E29" s="108"/>
      <c r="F29" s="109"/>
      <c r="G29" s="107"/>
      <c r="H29" s="108"/>
      <c r="I29" s="109"/>
      <c r="J29" s="34"/>
    </row>
    <row r="30" spans="1:10" ht="14.25" customHeight="1">
      <c r="A30" s="107"/>
      <c r="B30" s="108"/>
      <c r="C30" s="109"/>
      <c r="D30" s="107"/>
      <c r="E30" s="108"/>
      <c r="F30" s="109"/>
      <c r="G30" s="107"/>
      <c r="H30" s="108"/>
      <c r="I30" s="109"/>
      <c r="J30" s="34"/>
    </row>
    <row r="31" spans="1:10" ht="14.25" customHeight="1">
      <c r="A31" s="107"/>
      <c r="B31" s="108"/>
      <c r="C31" s="109"/>
      <c r="D31" s="107"/>
      <c r="E31" s="108"/>
      <c r="F31" s="109"/>
      <c r="G31" s="107"/>
      <c r="H31" s="108"/>
      <c r="I31" s="109"/>
      <c r="J31" s="34"/>
    </row>
    <row r="32" spans="1:10" ht="14.25" customHeight="1">
      <c r="A32" s="110" t="s">
        <v>199</v>
      </c>
      <c r="B32" s="111"/>
      <c r="C32" s="112"/>
      <c r="D32" s="110" t="s">
        <v>199</v>
      </c>
      <c r="E32" s="111"/>
      <c r="F32" s="112"/>
      <c r="G32" s="110" t="s">
        <v>199</v>
      </c>
      <c r="H32" s="111"/>
      <c r="I32" s="112"/>
      <c r="J32" s="34"/>
    </row>
    <row r="33" spans="1:9" ht="12.75">
      <c r="A33" s="113"/>
      <c r="B33" s="113"/>
      <c r="C33" s="113"/>
      <c r="D33" s="113"/>
      <c r="E33" s="113"/>
      <c r="F33" s="113"/>
      <c r="G33" s="113"/>
      <c r="H33" s="113"/>
      <c r="I33" s="113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0.59" bottom="0.5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M34"/>
  <sheetViews>
    <sheetView workbookViewId="0" topLeftCell="B1">
      <selection activeCell="G36" sqref="G36"/>
    </sheetView>
  </sheetViews>
  <sheetFormatPr defaultColWidth="9.140625" defaultRowHeight="15"/>
  <cols>
    <col min="1" max="1" width="3.7109375" style="337" customWidth="1"/>
    <col min="2" max="2" width="1.1484375" style="337" customWidth="1"/>
    <col min="3" max="3" width="13.28125" style="337" customWidth="1"/>
    <col min="4" max="4" width="40.140625" style="337" customWidth="1"/>
    <col min="5" max="5" width="4.28125" style="337" customWidth="1"/>
    <col min="6" max="6" width="9.7109375" style="337" customWidth="1"/>
    <col min="7" max="7" width="10.421875" style="337" customWidth="1"/>
    <col min="8" max="8" width="11.28125" style="337" customWidth="1"/>
    <col min="9" max="10" width="11.421875" style="337" customWidth="1"/>
    <col min="11" max="11" width="9.8515625" style="337" customWidth="1"/>
    <col min="12" max="12" width="9.7109375" style="337" customWidth="1"/>
    <col min="13" max="16384" width="11.421875" style="337" customWidth="1"/>
  </cols>
  <sheetData>
    <row r="1" spans="1:12" ht="21.7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3" ht="12.75">
      <c r="A2" s="338" t="s">
        <v>20</v>
      </c>
      <c r="B2" s="339"/>
      <c r="C2" s="339"/>
      <c r="D2" s="340" t="s">
        <v>21</v>
      </c>
      <c r="E2" s="341" t="s">
        <v>22</v>
      </c>
      <c r="F2" s="339"/>
      <c r="G2" s="341"/>
      <c r="H2" s="339"/>
      <c r="I2" s="341" t="s">
        <v>23</v>
      </c>
      <c r="J2" s="341"/>
      <c r="K2" s="339"/>
      <c r="L2" s="342"/>
      <c r="M2" s="343"/>
    </row>
    <row r="3" spans="1:13" ht="12.75">
      <c r="A3" s="344"/>
      <c r="B3" s="345"/>
      <c r="C3" s="345"/>
      <c r="D3" s="346"/>
      <c r="E3" s="345"/>
      <c r="F3" s="345"/>
      <c r="G3" s="345"/>
      <c r="H3" s="345"/>
      <c r="I3" s="345"/>
      <c r="J3" s="345"/>
      <c r="K3" s="345"/>
      <c r="L3" s="347"/>
      <c r="M3" s="343"/>
    </row>
    <row r="4" spans="1:13" ht="12.75">
      <c r="A4" s="348" t="s">
        <v>24</v>
      </c>
      <c r="B4" s="345"/>
      <c r="C4" s="345"/>
      <c r="D4" s="349" t="s">
        <v>290</v>
      </c>
      <c r="E4" s="349" t="s">
        <v>26</v>
      </c>
      <c r="F4" s="345"/>
      <c r="G4" s="350"/>
      <c r="H4" s="345"/>
      <c r="I4" s="349" t="s">
        <v>27</v>
      </c>
      <c r="J4" s="349"/>
      <c r="K4" s="345"/>
      <c r="L4" s="347"/>
      <c r="M4" s="343"/>
    </row>
    <row r="5" spans="1:13" ht="12.75">
      <c r="A5" s="34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7"/>
      <c r="M5" s="343"/>
    </row>
    <row r="6" spans="1:13" ht="12.75">
      <c r="A6" s="348" t="s">
        <v>28</v>
      </c>
      <c r="B6" s="345"/>
      <c r="C6" s="345"/>
      <c r="D6" s="349" t="s">
        <v>29</v>
      </c>
      <c r="E6" s="349" t="s">
        <v>30</v>
      </c>
      <c r="F6" s="345"/>
      <c r="G6" s="345"/>
      <c r="H6" s="345"/>
      <c r="I6" s="349" t="s">
        <v>31</v>
      </c>
      <c r="J6" s="349"/>
      <c r="K6" s="345"/>
      <c r="L6" s="347"/>
      <c r="M6" s="343"/>
    </row>
    <row r="7" spans="1:13" ht="12.75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7"/>
      <c r="M7" s="343"/>
    </row>
    <row r="8" spans="1:13" ht="12.75">
      <c r="A8" s="348" t="s">
        <v>32</v>
      </c>
      <c r="B8" s="345"/>
      <c r="C8" s="345"/>
      <c r="D8" s="349"/>
      <c r="E8" s="349" t="s">
        <v>33</v>
      </c>
      <c r="F8" s="345"/>
      <c r="G8" s="350">
        <v>41014</v>
      </c>
      <c r="H8" s="345"/>
      <c r="I8" s="349" t="s">
        <v>34</v>
      </c>
      <c r="J8" s="349"/>
      <c r="K8" s="345"/>
      <c r="L8" s="347"/>
      <c r="M8" s="343"/>
    </row>
    <row r="9" spans="1:13" ht="12.75">
      <c r="A9" s="351"/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3"/>
      <c r="M9" s="343"/>
    </row>
    <row r="10" spans="1:13" ht="12.75">
      <c r="A10" s="354" t="s">
        <v>35</v>
      </c>
      <c r="B10" s="355" t="s">
        <v>35</v>
      </c>
      <c r="C10" s="355" t="s">
        <v>35</v>
      </c>
      <c r="D10" s="355" t="s">
        <v>35</v>
      </c>
      <c r="E10" s="355" t="s">
        <v>35</v>
      </c>
      <c r="F10" s="355" t="s">
        <v>35</v>
      </c>
      <c r="G10" s="356" t="s">
        <v>36</v>
      </c>
      <c r="H10" s="357" t="s">
        <v>37</v>
      </c>
      <c r="I10" s="358"/>
      <c r="J10" s="359"/>
      <c r="K10" s="357" t="s">
        <v>38</v>
      </c>
      <c r="L10" s="359"/>
      <c r="M10" s="360"/>
    </row>
    <row r="11" spans="1:13" ht="12.75">
      <c r="A11" s="361" t="s">
        <v>39</v>
      </c>
      <c r="B11" s="362" t="s">
        <v>40</v>
      </c>
      <c r="C11" s="362" t="s">
        <v>41</v>
      </c>
      <c r="D11" s="362" t="s">
        <v>42</v>
      </c>
      <c r="E11" s="362" t="s">
        <v>43</v>
      </c>
      <c r="F11" s="363" t="s">
        <v>44</v>
      </c>
      <c r="G11" s="364" t="s">
        <v>45</v>
      </c>
      <c r="H11" s="365" t="s">
        <v>46</v>
      </c>
      <c r="I11" s="366" t="s">
        <v>47</v>
      </c>
      <c r="J11" s="367" t="s">
        <v>48</v>
      </c>
      <c r="K11" s="365" t="s">
        <v>36</v>
      </c>
      <c r="L11" s="367" t="s">
        <v>48</v>
      </c>
      <c r="M11" s="360"/>
    </row>
    <row r="12" spans="1:12" ht="12.75">
      <c r="A12" s="368"/>
      <c r="B12" s="368"/>
      <c r="C12" s="369" t="s">
        <v>96</v>
      </c>
      <c r="D12" s="370" t="s">
        <v>291</v>
      </c>
      <c r="E12" s="371"/>
      <c r="F12" s="371"/>
      <c r="G12" s="371"/>
      <c r="H12" s="372">
        <f>SUM(H13:H14)</f>
        <v>0</v>
      </c>
      <c r="I12" s="372">
        <f>SUM(I13:I14)</f>
        <v>0</v>
      </c>
      <c r="J12" s="372">
        <f aca="true" t="shared" si="0" ref="J12:J32">H12+I12</f>
        <v>0</v>
      </c>
      <c r="K12" s="373"/>
      <c r="L12" s="372">
        <f>SUM(L13:L14)</f>
        <v>0</v>
      </c>
    </row>
    <row r="13" spans="1:12" ht="12.75">
      <c r="A13" s="374" t="s">
        <v>51</v>
      </c>
      <c r="B13" s="374"/>
      <c r="C13" s="374" t="s">
        <v>292</v>
      </c>
      <c r="D13" s="374" t="s">
        <v>293</v>
      </c>
      <c r="E13" s="374" t="s">
        <v>54</v>
      </c>
      <c r="F13" s="375">
        <v>391</v>
      </c>
      <c r="G13" s="375">
        <v>0</v>
      </c>
      <c r="H13" s="375">
        <f>F13*G13*0</f>
        <v>0</v>
      </c>
      <c r="I13" s="375">
        <f>F13*G13*(1-0)</f>
        <v>0</v>
      </c>
      <c r="J13" s="375">
        <f t="shared" si="0"/>
        <v>0</v>
      </c>
      <c r="K13" s="375">
        <v>0</v>
      </c>
      <c r="L13" s="375">
        <f>F13*K13</f>
        <v>0</v>
      </c>
    </row>
    <row r="14" spans="1:12" ht="12.75">
      <c r="A14" s="374" t="s">
        <v>57</v>
      </c>
      <c r="B14" s="374"/>
      <c r="C14" s="374" t="s">
        <v>294</v>
      </c>
      <c r="D14" s="374" t="s">
        <v>295</v>
      </c>
      <c r="E14" s="374" t="s">
        <v>54</v>
      </c>
      <c r="F14" s="375">
        <v>391</v>
      </c>
      <c r="G14" s="375">
        <v>0</v>
      </c>
      <c r="H14" s="375">
        <f>F14*G14*0</f>
        <v>0</v>
      </c>
      <c r="I14" s="375">
        <f>F14*G14*(1-0)</f>
        <v>0</v>
      </c>
      <c r="J14" s="375">
        <f t="shared" si="0"/>
        <v>0</v>
      </c>
      <c r="K14" s="375">
        <v>0</v>
      </c>
      <c r="L14" s="375">
        <f>F14*K14</f>
        <v>0</v>
      </c>
    </row>
    <row r="15" spans="1:12" ht="12.75">
      <c r="A15" s="376"/>
      <c r="B15" s="376"/>
      <c r="C15" s="377" t="s">
        <v>112</v>
      </c>
      <c r="D15" s="378" t="s">
        <v>296</v>
      </c>
      <c r="E15" s="379"/>
      <c r="F15" s="379"/>
      <c r="G15" s="379"/>
      <c r="H15" s="380">
        <f>SUM(H16:H16)</f>
        <v>0</v>
      </c>
      <c r="I15" s="380">
        <f>SUM(I16:I16)</f>
        <v>0</v>
      </c>
      <c r="J15" s="380">
        <f t="shared" si="0"/>
        <v>0</v>
      </c>
      <c r="K15" s="381"/>
      <c r="L15" s="380">
        <f>SUM(L16:L16)</f>
        <v>0</v>
      </c>
    </row>
    <row r="16" spans="1:12" ht="12.75">
      <c r="A16" s="374" t="s">
        <v>61</v>
      </c>
      <c r="B16" s="374"/>
      <c r="C16" s="374" t="s">
        <v>297</v>
      </c>
      <c r="D16" s="374" t="s">
        <v>298</v>
      </c>
      <c r="E16" s="374" t="s">
        <v>54</v>
      </c>
      <c r="F16" s="375">
        <v>391</v>
      </c>
      <c r="G16" s="375">
        <v>0</v>
      </c>
      <c r="H16" s="375">
        <f>F16*G16*0</f>
        <v>0</v>
      </c>
      <c r="I16" s="375">
        <f>F16*G16*(1-0)</f>
        <v>0</v>
      </c>
      <c r="J16" s="375">
        <f t="shared" si="0"/>
        <v>0</v>
      </c>
      <c r="K16" s="375">
        <v>0</v>
      </c>
      <c r="L16" s="375">
        <f>F16*K16</f>
        <v>0</v>
      </c>
    </row>
    <row r="17" spans="1:12" ht="12.75">
      <c r="A17" s="376"/>
      <c r="B17" s="376"/>
      <c r="C17" s="377" t="s">
        <v>55</v>
      </c>
      <c r="D17" s="378" t="s">
        <v>56</v>
      </c>
      <c r="E17" s="379"/>
      <c r="F17" s="379"/>
      <c r="G17" s="379"/>
      <c r="H17" s="380">
        <f>SUM(H18:H19)</f>
        <v>0</v>
      </c>
      <c r="I17" s="380">
        <f>SUM(I18:I19)</f>
        <v>0</v>
      </c>
      <c r="J17" s="380">
        <f t="shared" si="0"/>
        <v>0</v>
      </c>
      <c r="K17" s="381"/>
      <c r="L17" s="380">
        <f>SUM(L18:L19)</f>
        <v>240.2918</v>
      </c>
    </row>
    <row r="18" spans="1:12" ht="12.75">
      <c r="A18" s="374" t="s">
        <v>67</v>
      </c>
      <c r="B18" s="374"/>
      <c r="C18" s="374" t="s">
        <v>299</v>
      </c>
      <c r="D18" s="374" t="s">
        <v>300</v>
      </c>
      <c r="E18" s="374" t="s">
        <v>54</v>
      </c>
      <c r="F18" s="375">
        <v>41</v>
      </c>
      <c r="G18" s="375">
        <v>0</v>
      </c>
      <c r="H18" s="375">
        <f>F18*G18*0.701317162083157</f>
        <v>0</v>
      </c>
      <c r="I18" s="375">
        <f>F18*G18*(1-0.701317162083157)</f>
        <v>0</v>
      </c>
      <c r="J18" s="375">
        <f t="shared" si="0"/>
        <v>0</v>
      </c>
      <c r="K18" s="375">
        <v>2.088</v>
      </c>
      <c r="L18" s="375">
        <f>F18*K18</f>
        <v>85.608</v>
      </c>
    </row>
    <row r="19" spans="1:12" ht="12.75">
      <c r="A19" s="374" t="s">
        <v>70</v>
      </c>
      <c r="B19" s="374"/>
      <c r="C19" s="374" t="s">
        <v>301</v>
      </c>
      <c r="D19" s="374" t="s">
        <v>302</v>
      </c>
      <c r="E19" s="374" t="s">
        <v>54</v>
      </c>
      <c r="F19" s="375">
        <v>81.8</v>
      </c>
      <c r="G19" s="375">
        <v>0</v>
      </c>
      <c r="H19" s="375">
        <f>F19*G19*0.675728763006123</f>
        <v>0</v>
      </c>
      <c r="I19" s="375">
        <f>F19*G19*(1-0.675728763006123)</f>
        <v>0</v>
      </c>
      <c r="J19" s="375">
        <f t="shared" si="0"/>
        <v>0</v>
      </c>
      <c r="K19" s="375">
        <v>1.891</v>
      </c>
      <c r="L19" s="375">
        <f>F19*K19</f>
        <v>154.6838</v>
      </c>
    </row>
    <row r="20" spans="1:12" ht="12.75">
      <c r="A20" s="376"/>
      <c r="B20" s="376"/>
      <c r="C20" s="377" t="s">
        <v>303</v>
      </c>
      <c r="D20" s="378" t="s">
        <v>304</v>
      </c>
      <c r="E20" s="379"/>
      <c r="F20" s="379"/>
      <c r="G20" s="379"/>
      <c r="H20" s="380">
        <f>SUM(H21:H23)</f>
        <v>0</v>
      </c>
      <c r="I20" s="380">
        <f>SUM(I21:I23)</f>
        <v>0</v>
      </c>
      <c r="J20" s="380">
        <f t="shared" si="0"/>
        <v>0</v>
      </c>
      <c r="K20" s="381"/>
      <c r="L20" s="380">
        <f>SUM(L21:L23)</f>
        <v>0</v>
      </c>
    </row>
    <row r="21" spans="1:12" ht="12.75">
      <c r="A21" s="374" t="s">
        <v>73</v>
      </c>
      <c r="B21" s="374"/>
      <c r="C21" s="374" t="s">
        <v>305</v>
      </c>
      <c r="D21" s="374" t="s">
        <v>306</v>
      </c>
      <c r="E21" s="374" t="s">
        <v>64</v>
      </c>
      <c r="F21" s="375">
        <v>144.9</v>
      </c>
      <c r="G21" s="375">
        <v>0</v>
      </c>
      <c r="H21" s="375">
        <f>F21*G21*0.517063134412965</f>
        <v>0</v>
      </c>
      <c r="I21" s="375">
        <f>F21*G21*(1-0.517063134412965)</f>
        <v>0</v>
      </c>
      <c r="J21" s="375">
        <f t="shared" si="0"/>
        <v>0</v>
      </c>
      <c r="K21" s="375">
        <v>0</v>
      </c>
      <c r="L21" s="375">
        <f>F21*K21</f>
        <v>0</v>
      </c>
    </row>
    <row r="22" spans="1:12" ht="12.75">
      <c r="A22" s="374" t="s">
        <v>76</v>
      </c>
      <c r="B22" s="374"/>
      <c r="C22" s="374" t="s">
        <v>307</v>
      </c>
      <c r="D22" s="374" t="s">
        <v>308</v>
      </c>
      <c r="E22" s="374" t="s">
        <v>64</v>
      </c>
      <c r="F22" s="375">
        <v>33.6</v>
      </c>
      <c r="G22" s="375">
        <v>0</v>
      </c>
      <c r="H22" s="375">
        <f>F22*G22*0.513172095927884</f>
        <v>0</v>
      </c>
      <c r="I22" s="375">
        <f>F22*G22*(1-0.513172095927884)</f>
        <v>0</v>
      </c>
      <c r="J22" s="375">
        <f t="shared" si="0"/>
        <v>0</v>
      </c>
      <c r="K22" s="375">
        <v>0</v>
      </c>
      <c r="L22" s="375">
        <f>F22*K22</f>
        <v>0</v>
      </c>
    </row>
    <row r="23" spans="1:12" ht="12.75">
      <c r="A23" s="374" t="s">
        <v>79</v>
      </c>
      <c r="B23" s="374"/>
      <c r="C23" s="374" t="s">
        <v>309</v>
      </c>
      <c r="D23" s="374" t="s">
        <v>310</v>
      </c>
      <c r="E23" s="374" t="s">
        <v>64</v>
      </c>
      <c r="F23" s="375">
        <v>399.6</v>
      </c>
      <c r="G23" s="375">
        <v>0</v>
      </c>
      <c r="H23" s="375">
        <f>F23*G23*0.837436497532765</f>
        <v>0</v>
      </c>
      <c r="I23" s="375">
        <f>F23*G23*(1-0.837436497532765)</f>
        <v>0</v>
      </c>
      <c r="J23" s="375">
        <f t="shared" si="0"/>
        <v>0</v>
      </c>
      <c r="K23" s="375">
        <v>0</v>
      </c>
      <c r="L23" s="375">
        <f>F23*K23</f>
        <v>0</v>
      </c>
    </row>
    <row r="24" spans="1:12" ht="12.75">
      <c r="A24" s="376"/>
      <c r="B24" s="376"/>
      <c r="C24" s="377" t="s">
        <v>115</v>
      </c>
      <c r="D24" s="378" t="s">
        <v>116</v>
      </c>
      <c r="E24" s="379"/>
      <c r="F24" s="379"/>
      <c r="G24" s="379"/>
      <c r="H24" s="380">
        <f>SUM(H25:H30)</f>
        <v>0</v>
      </c>
      <c r="I24" s="380">
        <f>SUM(I25:I30)</f>
        <v>0</v>
      </c>
      <c r="J24" s="380">
        <f t="shared" si="0"/>
        <v>0</v>
      </c>
      <c r="K24" s="381"/>
      <c r="L24" s="380">
        <f>SUM(L25:L30)</f>
        <v>36.16748</v>
      </c>
    </row>
    <row r="25" spans="1:12" ht="12.75">
      <c r="A25" s="374" t="s">
        <v>84</v>
      </c>
      <c r="B25" s="374"/>
      <c r="C25" s="374" t="s">
        <v>311</v>
      </c>
      <c r="D25" s="374" t="s">
        <v>312</v>
      </c>
      <c r="E25" s="374" t="s">
        <v>120</v>
      </c>
      <c r="F25" s="375">
        <v>1</v>
      </c>
      <c r="G25" s="375">
        <v>0</v>
      </c>
      <c r="H25" s="375">
        <f>F25*G25*0.933333333333333</f>
        <v>0</v>
      </c>
      <c r="I25" s="375">
        <f>F25*G25*(1-0.933333333333333)</f>
        <v>0</v>
      </c>
      <c r="J25" s="375">
        <f t="shared" si="0"/>
        <v>0</v>
      </c>
      <c r="K25" s="375">
        <v>0.003</v>
      </c>
      <c r="L25" s="375">
        <f aca="true" t="shared" si="1" ref="L25:L30">F25*K25</f>
        <v>0.003</v>
      </c>
    </row>
    <row r="26" spans="1:12" ht="12.75">
      <c r="A26" s="374" t="s">
        <v>89</v>
      </c>
      <c r="B26" s="374"/>
      <c r="C26" s="374" t="s">
        <v>313</v>
      </c>
      <c r="D26" s="374" t="s">
        <v>314</v>
      </c>
      <c r="E26" s="374" t="s">
        <v>120</v>
      </c>
      <c r="F26" s="375">
        <v>5</v>
      </c>
      <c r="G26" s="375">
        <v>0</v>
      </c>
      <c r="H26" s="375">
        <f>F26*G26*0.107879906023436</f>
        <v>0</v>
      </c>
      <c r="I26" s="375">
        <f>F26*G26*(1-0.107879906023436)</f>
        <v>0</v>
      </c>
      <c r="J26" s="375">
        <f t="shared" si="0"/>
        <v>0</v>
      </c>
      <c r="K26" s="375">
        <v>0.001</v>
      </c>
      <c r="L26" s="375">
        <f t="shared" si="1"/>
        <v>0.005</v>
      </c>
    </row>
    <row r="27" spans="1:12" ht="12.75">
      <c r="A27" s="374" t="s">
        <v>92</v>
      </c>
      <c r="B27" s="374"/>
      <c r="C27" s="374" t="s">
        <v>315</v>
      </c>
      <c r="D27" s="374" t="s">
        <v>316</v>
      </c>
      <c r="E27" s="374" t="s">
        <v>64</v>
      </c>
      <c r="F27" s="375">
        <v>578.1</v>
      </c>
      <c r="G27" s="375">
        <v>0</v>
      </c>
      <c r="H27" s="375">
        <f>F27*G27*0.0278911429479611</f>
        <v>0</v>
      </c>
      <c r="I27" s="375">
        <f>F27*G27*(1-0.0278911429479611)</f>
        <v>0</v>
      </c>
      <c r="J27" s="375">
        <f t="shared" si="0"/>
        <v>0</v>
      </c>
      <c r="K27" s="375">
        <v>0</v>
      </c>
      <c r="L27" s="375">
        <f t="shared" si="1"/>
        <v>0</v>
      </c>
    </row>
    <row r="28" spans="1:12" ht="12.75">
      <c r="A28" s="374" t="s">
        <v>49</v>
      </c>
      <c r="B28" s="374"/>
      <c r="C28" s="374" t="s">
        <v>317</v>
      </c>
      <c r="D28" s="374" t="s">
        <v>318</v>
      </c>
      <c r="E28" s="374" t="s">
        <v>120</v>
      </c>
      <c r="F28" s="375">
        <v>18</v>
      </c>
      <c r="G28" s="375">
        <v>0</v>
      </c>
      <c r="H28" s="375">
        <f>F28*G28*0.905078308543264</f>
        <v>0</v>
      </c>
      <c r="I28" s="375">
        <f>F28*G28*(1-0.905078308543264)</f>
        <v>0</v>
      </c>
      <c r="J28" s="375">
        <f t="shared" si="0"/>
        <v>0</v>
      </c>
      <c r="K28" s="375">
        <v>2.00886</v>
      </c>
      <c r="L28" s="375">
        <f t="shared" si="1"/>
        <v>36.159479999999995</v>
      </c>
    </row>
    <row r="29" spans="1:12" ht="12.75">
      <c r="A29" s="374" t="s">
        <v>96</v>
      </c>
      <c r="B29" s="374"/>
      <c r="C29" s="374" t="s">
        <v>315</v>
      </c>
      <c r="D29" s="374" t="s">
        <v>319</v>
      </c>
      <c r="E29" s="374" t="s">
        <v>64</v>
      </c>
      <c r="F29" s="375">
        <v>578.1</v>
      </c>
      <c r="G29" s="375">
        <v>0</v>
      </c>
      <c r="H29" s="375">
        <f>F29*G29*0.0278911429479611</f>
        <v>0</v>
      </c>
      <c r="I29" s="375">
        <f>F29*G29*(1-0.0278911429479611)</f>
        <v>0</v>
      </c>
      <c r="J29" s="375">
        <f t="shared" si="0"/>
        <v>0</v>
      </c>
      <c r="K29" s="375">
        <v>0</v>
      </c>
      <c r="L29" s="375">
        <f t="shared" si="1"/>
        <v>0</v>
      </c>
    </row>
    <row r="30" spans="1:12" ht="12.75">
      <c r="A30" s="374" t="s">
        <v>99</v>
      </c>
      <c r="B30" s="374"/>
      <c r="C30" s="374" t="s">
        <v>320</v>
      </c>
      <c r="D30" s="374" t="s">
        <v>321</v>
      </c>
      <c r="E30" s="374" t="s">
        <v>120</v>
      </c>
      <c r="F30" s="375">
        <v>1</v>
      </c>
      <c r="G30" s="375">
        <v>0</v>
      </c>
      <c r="H30" s="375">
        <f>F30*G30*0.859121462657326</f>
        <v>0</v>
      </c>
      <c r="I30" s="375">
        <f>F30*G30*(1-0.859121462657326)</f>
        <v>0</v>
      </c>
      <c r="J30" s="375">
        <f t="shared" si="0"/>
        <v>0</v>
      </c>
      <c r="K30" s="375">
        <v>0</v>
      </c>
      <c r="L30" s="375">
        <f t="shared" si="1"/>
        <v>0</v>
      </c>
    </row>
    <row r="31" spans="1:12" ht="12.75">
      <c r="A31" s="376"/>
      <c r="B31" s="376"/>
      <c r="C31" s="377" t="s">
        <v>322</v>
      </c>
      <c r="D31" s="378" t="s">
        <v>323</v>
      </c>
      <c r="E31" s="379"/>
      <c r="F31" s="379"/>
      <c r="G31" s="379"/>
      <c r="H31" s="380">
        <f>SUM(H32:H32)</f>
        <v>0</v>
      </c>
      <c r="I31" s="380">
        <f>SUM(I32:I32)</f>
        <v>0</v>
      </c>
      <c r="J31" s="380">
        <f t="shared" si="0"/>
        <v>0</v>
      </c>
      <c r="K31" s="381"/>
      <c r="L31" s="380">
        <f>SUM(L32:L32)</f>
        <v>0</v>
      </c>
    </row>
    <row r="32" spans="1:12" ht="12.75">
      <c r="A32" s="382" t="s">
        <v>102</v>
      </c>
      <c r="B32" s="382"/>
      <c r="C32" s="382" t="s">
        <v>324</v>
      </c>
      <c r="D32" s="382" t="s">
        <v>325</v>
      </c>
      <c r="E32" s="382" t="s">
        <v>155</v>
      </c>
      <c r="F32" s="383">
        <v>36.1</v>
      </c>
      <c r="G32" s="383">
        <v>0</v>
      </c>
      <c r="H32" s="383">
        <f>F32*G32*0</f>
        <v>0</v>
      </c>
      <c r="I32" s="383">
        <f>F32*G32*(1-0)</f>
        <v>0</v>
      </c>
      <c r="J32" s="383">
        <f t="shared" si="0"/>
        <v>0</v>
      </c>
      <c r="K32" s="383">
        <v>0</v>
      </c>
      <c r="L32" s="383">
        <f>F32*K32</f>
        <v>0</v>
      </c>
    </row>
    <row r="33" spans="1:12" ht="12.75">
      <c r="A33" s="384"/>
      <c r="B33" s="384"/>
      <c r="C33" s="384"/>
      <c r="D33" s="384"/>
      <c r="E33" s="384"/>
      <c r="F33" s="384"/>
      <c r="G33" s="384"/>
      <c r="H33" s="340" t="s">
        <v>159</v>
      </c>
      <c r="I33" s="385"/>
      <c r="J33" s="386">
        <f>J12+J15+J17+J20+J24+J31</f>
        <v>0</v>
      </c>
      <c r="K33" s="384"/>
      <c r="L33" s="384"/>
    </row>
    <row r="34" spans="1:12" ht="12.75">
      <c r="A34" s="387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</row>
  </sheetData>
  <mergeCells count="34">
    <mergeCell ref="H33:I33"/>
    <mergeCell ref="D17:G17"/>
    <mergeCell ref="D20:G20"/>
    <mergeCell ref="D24:G24"/>
    <mergeCell ref="D31:G31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5" right="0.54" top="0.55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33"/>
  <sheetViews>
    <sheetView workbookViewId="0" topLeftCell="A1">
      <selection activeCell="K22" sqref="K22"/>
    </sheetView>
  </sheetViews>
  <sheetFormatPr defaultColWidth="9.140625" defaultRowHeight="15"/>
  <cols>
    <col min="1" max="1" width="9.140625" style="337" customWidth="1"/>
    <col min="2" max="2" width="11.8515625" style="337" customWidth="1"/>
    <col min="3" max="3" width="21.7109375" style="337" customWidth="1"/>
    <col min="4" max="4" width="8.8515625" style="337" customWidth="1"/>
    <col min="5" max="5" width="14.00390625" style="337" customWidth="1"/>
    <col min="6" max="6" width="22.57421875" style="337" customWidth="1"/>
    <col min="7" max="7" width="9.140625" style="337" customWidth="1"/>
    <col min="8" max="8" width="11.8515625" style="337" customWidth="1"/>
    <col min="9" max="9" width="22.421875" style="337" customWidth="1"/>
    <col min="10" max="10" width="11.421875" style="337" customWidth="1"/>
    <col min="11" max="11" width="16.140625" style="337" customWidth="1"/>
    <col min="12" max="16384" width="11.421875" style="337" customWidth="1"/>
  </cols>
  <sheetData>
    <row r="1" spans="1:9" ht="28.5" customHeight="1">
      <c r="A1" s="388" t="s">
        <v>160</v>
      </c>
      <c r="B1" s="389"/>
      <c r="C1" s="389"/>
      <c r="D1" s="389"/>
      <c r="E1" s="389"/>
      <c r="F1" s="389"/>
      <c r="G1" s="389"/>
      <c r="H1" s="389"/>
      <c r="I1" s="389"/>
    </row>
    <row r="2" spans="1:10" ht="12.75">
      <c r="A2" s="390" t="s">
        <v>20</v>
      </c>
      <c r="B2" s="391"/>
      <c r="C2" s="392" t="s">
        <v>21</v>
      </c>
      <c r="D2" s="393"/>
      <c r="E2" s="394" t="s">
        <v>23</v>
      </c>
      <c r="F2" s="394"/>
      <c r="G2" s="391"/>
      <c r="H2" s="394" t="s">
        <v>161</v>
      </c>
      <c r="I2" s="395"/>
      <c r="J2" s="343"/>
    </row>
    <row r="3" spans="1:10" ht="12.75">
      <c r="A3" s="396"/>
      <c r="B3" s="397"/>
      <c r="C3" s="398"/>
      <c r="D3" s="398"/>
      <c r="E3" s="397"/>
      <c r="F3" s="397"/>
      <c r="G3" s="397"/>
      <c r="H3" s="397"/>
      <c r="I3" s="399"/>
      <c r="J3" s="343"/>
    </row>
    <row r="4" spans="1:10" ht="12.75">
      <c r="A4" s="400" t="s">
        <v>24</v>
      </c>
      <c r="B4" s="397"/>
      <c r="C4" s="401" t="s">
        <v>290</v>
      </c>
      <c r="D4" s="397"/>
      <c r="E4" s="401" t="s">
        <v>27</v>
      </c>
      <c r="F4" s="401"/>
      <c r="G4" s="397"/>
      <c r="H4" s="401" t="s">
        <v>161</v>
      </c>
      <c r="I4" s="402"/>
      <c r="J4" s="343"/>
    </row>
    <row r="5" spans="1:10" ht="12.75">
      <c r="A5" s="396"/>
      <c r="B5" s="397"/>
      <c r="C5" s="397"/>
      <c r="D5" s="397"/>
      <c r="E5" s="397"/>
      <c r="F5" s="397"/>
      <c r="G5" s="397"/>
      <c r="H5" s="397"/>
      <c r="I5" s="399"/>
      <c r="J5" s="343"/>
    </row>
    <row r="6" spans="1:10" ht="12.75">
      <c r="A6" s="400" t="s">
        <v>28</v>
      </c>
      <c r="B6" s="397"/>
      <c r="C6" s="401" t="s">
        <v>29</v>
      </c>
      <c r="D6" s="397"/>
      <c r="E6" s="401" t="s">
        <v>31</v>
      </c>
      <c r="F6" s="401"/>
      <c r="G6" s="397"/>
      <c r="H6" s="401" t="s">
        <v>161</v>
      </c>
      <c r="I6" s="402"/>
      <c r="J6" s="343"/>
    </row>
    <row r="7" spans="1:10" ht="12.75">
      <c r="A7" s="396"/>
      <c r="B7" s="397"/>
      <c r="C7" s="397"/>
      <c r="D7" s="397"/>
      <c r="E7" s="397"/>
      <c r="F7" s="397"/>
      <c r="G7" s="397"/>
      <c r="H7" s="397"/>
      <c r="I7" s="399"/>
      <c r="J7" s="343"/>
    </row>
    <row r="8" spans="1:10" ht="12.75">
      <c r="A8" s="400" t="s">
        <v>26</v>
      </c>
      <c r="B8" s="397"/>
      <c r="C8" s="403"/>
      <c r="D8" s="397"/>
      <c r="E8" s="401" t="s">
        <v>30</v>
      </c>
      <c r="F8" s="397"/>
      <c r="G8" s="397"/>
      <c r="H8" s="401" t="s">
        <v>162</v>
      </c>
      <c r="I8" s="402" t="s">
        <v>102</v>
      </c>
      <c r="J8" s="343"/>
    </row>
    <row r="9" spans="1:10" ht="12.75">
      <c r="A9" s="396"/>
      <c r="B9" s="397"/>
      <c r="C9" s="397"/>
      <c r="D9" s="397"/>
      <c r="E9" s="397"/>
      <c r="F9" s="397"/>
      <c r="G9" s="397"/>
      <c r="H9" s="397"/>
      <c r="I9" s="399"/>
      <c r="J9" s="343"/>
    </row>
    <row r="10" spans="1:10" ht="12.75">
      <c r="A10" s="400" t="s">
        <v>32</v>
      </c>
      <c r="B10" s="397"/>
      <c r="C10" s="401"/>
      <c r="D10" s="397"/>
      <c r="E10" s="401" t="s">
        <v>34</v>
      </c>
      <c r="F10" s="401"/>
      <c r="G10" s="397"/>
      <c r="H10" s="401" t="s">
        <v>163</v>
      </c>
      <c r="I10" s="404">
        <v>41014</v>
      </c>
      <c r="J10" s="343"/>
    </row>
    <row r="11" spans="1:10" ht="12.75">
      <c r="A11" s="405"/>
      <c r="B11" s="406"/>
      <c r="C11" s="406"/>
      <c r="D11" s="406"/>
      <c r="E11" s="406"/>
      <c r="F11" s="406"/>
      <c r="G11" s="406"/>
      <c r="H11" s="406"/>
      <c r="I11" s="407"/>
      <c r="J11" s="343"/>
    </row>
    <row r="12" spans="1:9" ht="23.25" customHeight="1">
      <c r="A12" s="408" t="s">
        <v>164</v>
      </c>
      <c r="B12" s="409"/>
      <c r="C12" s="409"/>
      <c r="D12" s="409"/>
      <c r="E12" s="409"/>
      <c r="F12" s="409"/>
      <c r="G12" s="409"/>
      <c r="H12" s="409"/>
      <c r="I12" s="409"/>
    </row>
    <row r="13" spans="1:10" ht="26.25" customHeight="1">
      <c r="A13" s="410" t="s">
        <v>165</v>
      </c>
      <c r="B13" s="411" t="s">
        <v>166</v>
      </c>
      <c r="C13" s="412"/>
      <c r="D13" s="410" t="s">
        <v>167</v>
      </c>
      <c r="E13" s="411" t="s">
        <v>168</v>
      </c>
      <c r="F13" s="412"/>
      <c r="G13" s="410" t="s">
        <v>169</v>
      </c>
      <c r="H13" s="411" t="s">
        <v>170</v>
      </c>
      <c r="I13" s="412"/>
      <c r="J13" s="343"/>
    </row>
    <row r="14" spans="1:10" ht="15" customHeight="1">
      <c r="A14" s="413" t="s">
        <v>171</v>
      </c>
      <c r="B14" s="414" t="s">
        <v>172</v>
      </c>
      <c r="C14" s="415">
        <f>SUM('Stavební rozpočet (4)'!H12+'Stavební rozpočet (4)'!H15+'Stavební rozpočet (4)'!H17+'Stavební rozpočet (4)'!H20+'Stavební rozpočet (4)'!H24+'Stavební rozpočet (4)'!H31)</f>
        <v>0</v>
      </c>
      <c r="D14" s="416" t="s">
        <v>173</v>
      </c>
      <c r="E14" s="417"/>
      <c r="F14" s="415">
        <v>0</v>
      </c>
      <c r="G14" s="416" t="s">
        <v>174</v>
      </c>
      <c r="H14" s="417"/>
      <c r="I14" s="415">
        <v>0</v>
      </c>
      <c r="J14" s="343"/>
    </row>
    <row r="15" spans="1:10" ht="15" customHeight="1">
      <c r="A15" s="418"/>
      <c r="B15" s="414" t="s">
        <v>47</v>
      </c>
      <c r="C15" s="415">
        <f>SUM('Stavební rozpočet (4)'!I12+'Stavební rozpočet (4)'!I15+'Stavební rozpočet (4)'!I17+'Stavební rozpočet (4)'!I20+'Stavební rozpočet (4)'!I24+'Stavební rozpočet (4)'!I31)</f>
        <v>0</v>
      </c>
      <c r="D15" s="416" t="s">
        <v>175</v>
      </c>
      <c r="E15" s="417"/>
      <c r="F15" s="415">
        <v>0</v>
      </c>
      <c r="G15" s="416" t="s">
        <v>176</v>
      </c>
      <c r="H15" s="417"/>
      <c r="I15" s="415">
        <v>0</v>
      </c>
      <c r="J15" s="343"/>
    </row>
    <row r="16" spans="1:10" ht="15" customHeight="1">
      <c r="A16" s="413" t="s">
        <v>177</v>
      </c>
      <c r="B16" s="414" t="s">
        <v>172</v>
      </c>
      <c r="C16" s="415">
        <v>0</v>
      </c>
      <c r="D16" s="416" t="s">
        <v>178</v>
      </c>
      <c r="E16" s="417"/>
      <c r="F16" s="415">
        <v>0</v>
      </c>
      <c r="G16" s="416" t="s">
        <v>179</v>
      </c>
      <c r="H16" s="417"/>
      <c r="I16" s="415">
        <v>0</v>
      </c>
      <c r="J16" s="343"/>
    </row>
    <row r="17" spans="1:10" ht="15" customHeight="1">
      <c r="A17" s="418"/>
      <c r="B17" s="414" t="s">
        <v>47</v>
      </c>
      <c r="C17" s="415">
        <v>0</v>
      </c>
      <c r="D17" s="416"/>
      <c r="E17" s="417"/>
      <c r="F17" s="419"/>
      <c r="G17" s="416" t="s">
        <v>180</v>
      </c>
      <c r="H17" s="417"/>
      <c r="I17" s="415">
        <v>0</v>
      </c>
      <c r="J17" s="343"/>
    </row>
    <row r="18" spans="1:10" ht="15" customHeight="1">
      <c r="A18" s="413" t="s">
        <v>181</v>
      </c>
      <c r="B18" s="414" t="s">
        <v>172</v>
      </c>
      <c r="C18" s="415">
        <v>0</v>
      </c>
      <c r="D18" s="416"/>
      <c r="E18" s="417"/>
      <c r="F18" s="419"/>
      <c r="G18" s="416" t="s">
        <v>182</v>
      </c>
      <c r="H18" s="417"/>
      <c r="I18" s="415">
        <v>0</v>
      </c>
      <c r="J18" s="343"/>
    </row>
    <row r="19" spans="1:10" ht="15" customHeight="1">
      <c r="A19" s="418"/>
      <c r="B19" s="414" t="s">
        <v>47</v>
      </c>
      <c r="C19" s="415">
        <v>0</v>
      </c>
      <c r="D19" s="416"/>
      <c r="E19" s="417"/>
      <c r="F19" s="419"/>
      <c r="G19" s="416" t="s">
        <v>183</v>
      </c>
      <c r="H19" s="417"/>
      <c r="I19" s="415">
        <v>0</v>
      </c>
      <c r="J19" s="343"/>
    </row>
    <row r="20" spans="1:10" ht="15" customHeight="1">
      <c r="A20" s="420" t="s">
        <v>184</v>
      </c>
      <c r="B20" s="421"/>
      <c r="C20" s="415">
        <v>0</v>
      </c>
      <c r="D20" s="416"/>
      <c r="E20" s="417"/>
      <c r="F20" s="419"/>
      <c r="G20" s="416"/>
      <c r="H20" s="417"/>
      <c r="I20" s="419"/>
      <c r="J20" s="343"/>
    </row>
    <row r="21" spans="1:10" ht="15" customHeight="1">
      <c r="A21" s="420" t="s">
        <v>185</v>
      </c>
      <c r="B21" s="421"/>
      <c r="C21" s="415">
        <v>0</v>
      </c>
      <c r="D21" s="416"/>
      <c r="E21" s="417"/>
      <c r="F21" s="419"/>
      <c r="G21" s="416"/>
      <c r="H21" s="417"/>
      <c r="I21" s="419"/>
      <c r="J21" s="343"/>
    </row>
    <row r="22" spans="1:10" ht="39.75" customHeight="1">
      <c r="A22" s="420" t="s">
        <v>186</v>
      </c>
      <c r="B22" s="421"/>
      <c r="C22" s="415">
        <f>SUM(C14+C15)</f>
        <v>0</v>
      </c>
      <c r="D22" s="420" t="s">
        <v>187</v>
      </c>
      <c r="E22" s="421"/>
      <c r="F22" s="415">
        <f>SUM(F14:F16)</f>
        <v>0</v>
      </c>
      <c r="G22" s="420" t="s">
        <v>188</v>
      </c>
      <c r="H22" s="421"/>
      <c r="I22" s="415">
        <v>0</v>
      </c>
      <c r="J22" s="343"/>
    </row>
    <row r="23" spans="1:9" ht="12.75">
      <c r="A23" s="422"/>
      <c r="B23" s="422"/>
      <c r="C23" s="422"/>
      <c r="D23" s="423"/>
      <c r="E23" s="423"/>
      <c r="F23" s="423"/>
      <c r="G23" s="423"/>
      <c r="H23" s="423"/>
      <c r="I23" s="423"/>
    </row>
    <row r="24" spans="1:9" ht="15" customHeight="1">
      <c r="A24" s="424" t="s">
        <v>189</v>
      </c>
      <c r="B24" s="425"/>
      <c r="C24" s="426">
        <v>0</v>
      </c>
      <c r="D24" s="427"/>
      <c r="E24" s="428"/>
      <c r="F24" s="428"/>
      <c r="G24" s="428"/>
      <c r="H24" s="428"/>
      <c r="I24" s="428"/>
    </row>
    <row r="25" spans="1:10" ht="15" customHeight="1">
      <c r="A25" s="424" t="s">
        <v>190</v>
      </c>
      <c r="B25" s="425"/>
      <c r="C25" s="426">
        <v>0</v>
      </c>
      <c r="D25" s="424" t="s">
        <v>191</v>
      </c>
      <c r="E25" s="425"/>
      <c r="F25" s="426">
        <v>0</v>
      </c>
      <c r="G25" s="424" t="s">
        <v>192</v>
      </c>
      <c r="H25" s="425"/>
      <c r="I25" s="426">
        <f>SUM(C26)</f>
        <v>0</v>
      </c>
      <c r="J25" s="343"/>
    </row>
    <row r="26" spans="1:10" ht="15" customHeight="1">
      <c r="A26" s="424" t="s">
        <v>193</v>
      </c>
      <c r="B26" s="425"/>
      <c r="C26" s="426">
        <f>SUM(C22+F22+I22)</f>
        <v>0</v>
      </c>
      <c r="D26" s="424" t="s">
        <v>194</v>
      </c>
      <c r="E26" s="425"/>
      <c r="F26" s="426">
        <f>SUM(C26/100*20)</f>
        <v>0</v>
      </c>
      <c r="G26" s="424" t="s">
        <v>195</v>
      </c>
      <c r="H26" s="425"/>
      <c r="I26" s="426">
        <f>SUM(I25+F26)</f>
        <v>0</v>
      </c>
      <c r="J26" s="343"/>
    </row>
    <row r="27" spans="1:9" ht="12.75">
      <c r="A27" s="429"/>
      <c r="B27" s="429"/>
      <c r="C27" s="429"/>
      <c r="D27" s="429"/>
      <c r="E27" s="429"/>
      <c r="F27" s="429"/>
      <c r="G27" s="429"/>
      <c r="H27" s="429"/>
      <c r="I27" s="429"/>
    </row>
    <row r="28" spans="1:10" ht="14.25" customHeight="1">
      <c r="A28" s="430" t="s">
        <v>196</v>
      </c>
      <c r="B28" s="431"/>
      <c r="C28" s="432"/>
      <c r="D28" s="430" t="s">
        <v>197</v>
      </c>
      <c r="E28" s="431"/>
      <c r="F28" s="432"/>
      <c r="G28" s="430" t="s">
        <v>198</v>
      </c>
      <c r="H28" s="431"/>
      <c r="I28" s="432"/>
      <c r="J28" s="360"/>
    </row>
    <row r="29" spans="1:10" ht="14.25" customHeight="1">
      <c r="A29" s="433"/>
      <c r="B29" s="434"/>
      <c r="C29" s="435"/>
      <c r="D29" s="433"/>
      <c r="E29" s="434"/>
      <c r="F29" s="435"/>
      <c r="G29" s="433"/>
      <c r="H29" s="434"/>
      <c r="I29" s="435"/>
      <c r="J29" s="360"/>
    </row>
    <row r="30" spans="1:10" ht="14.25" customHeight="1">
      <c r="A30" s="433"/>
      <c r="B30" s="434"/>
      <c r="C30" s="435"/>
      <c r="D30" s="433"/>
      <c r="E30" s="434"/>
      <c r="F30" s="435"/>
      <c r="G30" s="433"/>
      <c r="H30" s="434"/>
      <c r="I30" s="435"/>
      <c r="J30" s="360"/>
    </row>
    <row r="31" spans="1:10" ht="14.25" customHeight="1">
      <c r="A31" s="433"/>
      <c r="B31" s="434"/>
      <c r="C31" s="435"/>
      <c r="D31" s="433"/>
      <c r="E31" s="434"/>
      <c r="F31" s="435"/>
      <c r="G31" s="433"/>
      <c r="H31" s="434"/>
      <c r="I31" s="435"/>
      <c r="J31" s="360"/>
    </row>
    <row r="32" spans="1:10" ht="14.25" customHeight="1">
      <c r="A32" s="436" t="s">
        <v>199</v>
      </c>
      <c r="B32" s="437"/>
      <c r="C32" s="438"/>
      <c r="D32" s="436" t="s">
        <v>199</v>
      </c>
      <c r="E32" s="437"/>
      <c r="F32" s="438"/>
      <c r="G32" s="436" t="s">
        <v>199</v>
      </c>
      <c r="H32" s="437"/>
      <c r="I32" s="438"/>
      <c r="J32" s="360"/>
    </row>
    <row r="33" spans="1:9" ht="12.75">
      <c r="A33" s="439"/>
      <c r="B33" s="439"/>
      <c r="C33" s="439"/>
      <c r="D33" s="439"/>
      <c r="E33" s="439"/>
      <c r="F33" s="439"/>
      <c r="G33" s="439"/>
      <c r="H33" s="439"/>
      <c r="I33" s="439"/>
    </row>
  </sheetData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5" right="0.75" top="0.59" bottom="0.55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M36"/>
  <sheetViews>
    <sheetView workbookViewId="0" topLeftCell="A1">
      <selection activeCell="G34" sqref="G34"/>
    </sheetView>
  </sheetViews>
  <sheetFormatPr defaultColWidth="9.140625" defaultRowHeight="15"/>
  <cols>
    <col min="1" max="1" width="3.7109375" style="442" customWidth="1"/>
    <col min="2" max="2" width="1.421875" style="442" customWidth="1"/>
    <col min="3" max="3" width="13.28125" style="442" customWidth="1"/>
    <col min="4" max="4" width="38.7109375" style="442" customWidth="1"/>
    <col min="5" max="5" width="4.28125" style="442" customWidth="1"/>
    <col min="6" max="6" width="9.7109375" style="442" customWidth="1"/>
    <col min="7" max="7" width="10.7109375" style="442" customWidth="1"/>
    <col min="8" max="8" width="12.28125" style="442" customWidth="1"/>
    <col min="9" max="9" width="12.00390625" style="442" customWidth="1"/>
    <col min="10" max="10" width="11.421875" style="442" customWidth="1"/>
    <col min="11" max="11" width="10.28125" style="442" customWidth="1"/>
    <col min="12" max="12" width="9.7109375" style="442" customWidth="1"/>
    <col min="13" max="16384" width="11.421875" style="442" customWidth="1"/>
  </cols>
  <sheetData>
    <row r="1" spans="1:12" ht="21.75" customHeight="1">
      <c r="A1" s="440" t="s">
        <v>19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3" ht="12.75">
      <c r="A2" s="443" t="s">
        <v>20</v>
      </c>
      <c r="B2" s="444"/>
      <c r="C2" s="444"/>
      <c r="D2" s="445" t="s">
        <v>21</v>
      </c>
      <c r="E2" s="446" t="s">
        <v>22</v>
      </c>
      <c r="F2" s="444"/>
      <c r="G2" s="446"/>
      <c r="H2" s="444"/>
      <c r="I2" s="446" t="s">
        <v>23</v>
      </c>
      <c r="J2" s="446"/>
      <c r="K2" s="444"/>
      <c r="L2" s="447"/>
      <c r="M2" s="448"/>
    </row>
    <row r="3" spans="1:13" ht="12.75">
      <c r="A3" s="449"/>
      <c r="B3" s="450"/>
      <c r="C3" s="450"/>
      <c r="D3" s="451"/>
      <c r="E3" s="450"/>
      <c r="F3" s="450"/>
      <c r="G3" s="450"/>
      <c r="H3" s="450"/>
      <c r="I3" s="450"/>
      <c r="J3" s="450"/>
      <c r="K3" s="450"/>
      <c r="L3" s="452"/>
      <c r="M3" s="448"/>
    </row>
    <row r="4" spans="1:13" ht="12.75">
      <c r="A4" s="453" t="s">
        <v>24</v>
      </c>
      <c r="B4" s="450"/>
      <c r="C4" s="450"/>
      <c r="D4" s="454" t="s">
        <v>326</v>
      </c>
      <c r="E4" s="454" t="s">
        <v>26</v>
      </c>
      <c r="F4" s="450"/>
      <c r="G4" s="455"/>
      <c r="H4" s="450"/>
      <c r="I4" s="454" t="s">
        <v>27</v>
      </c>
      <c r="J4" s="454"/>
      <c r="K4" s="450"/>
      <c r="L4" s="452"/>
      <c r="M4" s="448"/>
    </row>
    <row r="5" spans="1:13" ht="12.75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2"/>
      <c r="M5" s="448"/>
    </row>
    <row r="6" spans="1:13" ht="12.75">
      <c r="A6" s="453" t="s">
        <v>28</v>
      </c>
      <c r="B6" s="450"/>
      <c r="C6" s="450"/>
      <c r="D6" s="454" t="s">
        <v>327</v>
      </c>
      <c r="E6" s="454" t="s">
        <v>30</v>
      </c>
      <c r="F6" s="450"/>
      <c r="G6" s="450"/>
      <c r="H6" s="450"/>
      <c r="I6" s="454" t="s">
        <v>31</v>
      </c>
      <c r="J6" s="454"/>
      <c r="K6" s="450"/>
      <c r="L6" s="452"/>
      <c r="M6" s="448"/>
    </row>
    <row r="7" spans="1:13" ht="12.75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2"/>
      <c r="M7" s="448"/>
    </row>
    <row r="8" spans="1:13" ht="12.75">
      <c r="A8" s="453" t="s">
        <v>32</v>
      </c>
      <c r="B8" s="450"/>
      <c r="C8" s="450"/>
      <c r="D8" s="454"/>
      <c r="E8" s="454" t="s">
        <v>33</v>
      </c>
      <c r="F8" s="450"/>
      <c r="G8" s="455">
        <v>41014</v>
      </c>
      <c r="H8" s="450"/>
      <c r="I8" s="454" t="s">
        <v>34</v>
      </c>
      <c r="J8" s="454"/>
      <c r="K8" s="450"/>
      <c r="L8" s="452"/>
      <c r="M8" s="448"/>
    </row>
    <row r="9" spans="1:13" ht="12.75">
      <c r="A9" s="456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8"/>
      <c r="M9" s="448"/>
    </row>
    <row r="10" spans="1:13" ht="12.75">
      <c r="A10" s="459" t="s">
        <v>35</v>
      </c>
      <c r="B10" s="460" t="s">
        <v>35</v>
      </c>
      <c r="C10" s="460" t="s">
        <v>35</v>
      </c>
      <c r="D10" s="460" t="s">
        <v>35</v>
      </c>
      <c r="E10" s="460" t="s">
        <v>35</v>
      </c>
      <c r="F10" s="460" t="s">
        <v>35</v>
      </c>
      <c r="G10" s="461" t="s">
        <v>36</v>
      </c>
      <c r="H10" s="462" t="s">
        <v>37</v>
      </c>
      <c r="I10" s="463"/>
      <c r="J10" s="464"/>
      <c r="K10" s="462" t="s">
        <v>38</v>
      </c>
      <c r="L10" s="464"/>
      <c r="M10" s="465"/>
    </row>
    <row r="11" spans="1:13" ht="12.75">
      <c r="A11" s="466" t="s">
        <v>39</v>
      </c>
      <c r="B11" s="467" t="s">
        <v>40</v>
      </c>
      <c r="C11" s="467" t="s">
        <v>41</v>
      </c>
      <c r="D11" s="467" t="s">
        <v>42</v>
      </c>
      <c r="E11" s="467" t="s">
        <v>43</v>
      </c>
      <c r="F11" s="468" t="s">
        <v>44</v>
      </c>
      <c r="G11" s="469" t="s">
        <v>45</v>
      </c>
      <c r="H11" s="470" t="s">
        <v>46</v>
      </c>
      <c r="I11" s="471" t="s">
        <v>47</v>
      </c>
      <c r="J11" s="472" t="s">
        <v>48</v>
      </c>
      <c r="K11" s="470" t="s">
        <v>36</v>
      </c>
      <c r="L11" s="472" t="s">
        <v>48</v>
      </c>
      <c r="M11" s="465"/>
    </row>
    <row r="12" spans="1:12" ht="12.75">
      <c r="A12" s="473"/>
      <c r="B12" s="473"/>
      <c r="C12" s="474" t="s">
        <v>96</v>
      </c>
      <c r="D12" s="475" t="s">
        <v>291</v>
      </c>
      <c r="E12" s="476"/>
      <c r="F12" s="476"/>
      <c r="G12" s="476"/>
      <c r="H12" s="477">
        <f>SUM(H13:H14)</f>
        <v>0</v>
      </c>
      <c r="I12" s="477">
        <f>SUM(I13:I14)</f>
        <v>0</v>
      </c>
      <c r="J12" s="477">
        <f aca="true" t="shared" si="0" ref="J12:J34">H12+I12</f>
        <v>0</v>
      </c>
      <c r="K12" s="478"/>
      <c r="L12" s="477">
        <f>SUM(L13:L14)</f>
        <v>0</v>
      </c>
    </row>
    <row r="13" spans="1:12" ht="12.75">
      <c r="A13" s="479" t="s">
        <v>51</v>
      </c>
      <c r="B13" s="479"/>
      <c r="C13" s="479" t="s">
        <v>328</v>
      </c>
      <c r="D13" s="479" t="s">
        <v>329</v>
      </c>
      <c r="E13" s="479" t="s">
        <v>54</v>
      </c>
      <c r="F13" s="480">
        <v>1648</v>
      </c>
      <c r="G13" s="480">
        <v>0</v>
      </c>
      <c r="H13" s="480">
        <f>F13*G13*0</f>
        <v>0</v>
      </c>
      <c r="I13" s="480">
        <f>F13*G13*(1-0)</f>
        <v>0</v>
      </c>
      <c r="J13" s="480">
        <f t="shared" si="0"/>
        <v>0</v>
      </c>
      <c r="K13" s="480">
        <v>0</v>
      </c>
      <c r="L13" s="480">
        <f>F13*K13</f>
        <v>0</v>
      </c>
    </row>
    <row r="14" spans="1:12" ht="12.75">
      <c r="A14" s="479" t="s">
        <v>57</v>
      </c>
      <c r="B14" s="479"/>
      <c r="C14" s="479" t="s">
        <v>330</v>
      </c>
      <c r="D14" s="479" t="s">
        <v>331</v>
      </c>
      <c r="E14" s="479" t="s">
        <v>54</v>
      </c>
      <c r="F14" s="480">
        <v>1648</v>
      </c>
      <c r="G14" s="480">
        <v>0</v>
      </c>
      <c r="H14" s="480">
        <f>F14*G14*0</f>
        <v>0</v>
      </c>
      <c r="I14" s="480">
        <f>F14*G14*(1-0)</f>
        <v>0</v>
      </c>
      <c r="J14" s="480">
        <f t="shared" si="0"/>
        <v>0</v>
      </c>
      <c r="K14" s="480">
        <v>0</v>
      </c>
      <c r="L14" s="480">
        <f>F14*K14</f>
        <v>0</v>
      </c>
    </row>
    <row r="15" spans="1:12" ht="12.75">
      <c r="A15" s="481"/>
      <c r="B15" s="481"/>
      <c r="C15" s="482" t="s">
        <v>102</v>
      </c>
      <c r="D15" s="483" t="s">
        <v>332</v>
      </c>
      <c r="E15" s="484"/>
      <c r="F15" s="484"/>
      <c r="G15" s="484"/>
      <c r="H15" s="485">
        <f>SUM(H16:H16)</f>
        <v>0</v>
      </c>
      <c r="I15" s="485">
        <f>SUM(I16:I16)</f>
        <v>0</v>
      </c>
      <c r="J15" s="485">
        <f t="shared" si="0"/>
        <v>0</v>
      </c>
      <c r="K15" s="486"/>
      <c r="L15" s="485">
        <f>SUM(L16:L16)</f>
        <v>0.3268</v>
      </c>
    </row>
    <row r="16" spans="1:12" ht="12.75">
      <c r="A16" s="479" t="s">
        <v>61</v>
      </c>
      <c r="B16" s="479"/>
      <c r="C16" s="479" t="s">
        <v>333</v>
      </c>
      <c r="D16" s="479" t="s">
        <v>334</v>
      </c>
      <c r="E16" s="479" t="s">
        <v>60</v>
      </c>
      <c r="F16" s="480">
        <v>380</v>
      </c>
      <c r="G16" s="480">
        <v>0</v>
      </c>
      <c r="H16" s="480">
        <f>F16*G16*0.0813945555024903</f>
        <v>0</v>
      </c>
      <c r="I16" s="480">
        <f>F16*G16*(1-0.0813945555024903)</f>
        <v>0</v>
      </c>
      <c r="J16" s="480">
        <f t="shared" si="0"/>
        <v>0</v>
      </c>
      <c r="K16" s="480">
        <v>0.00086</v>
      </c>
      <c r="L16" s="480">
        <f>F16*K16</f>
        <v>0.3268</v>
      </c>
    </row>
    <row r="17" spans="1:12" ht="12.75">
      <c r="A17" s="481"/>
      <c r="B17" s="481"/>
      <c r="C17" s="482" t="s">
        <v>112</v>
      </c>
      <c r="D17" s="483" t="s">
        <v>296</v>
      </c>
      <c r="E17" s="484"/>
      <c r="F17" s="484"/>
      <c r="G17" s="484"/>
      <c r="H17" s="485">
        <f>SUM(H18:H18)</f>
        <v>0</v>
      </c>
      <c r="I17" s="485">
        <f>SUM(I18:I18)</f>
        <v>0</v>
      </c>
      <c r="J17" s="485">
        <f t="shared" si="0"/>
        <v>0</v>
      </c>
      <c r="K17" s="486"/>
      <c r="L17" s="485">
        <f>SUM(L18:L18)</f>
        <v>0</v>
      </c>
    </row>
    <row r="18" spans="1:12" ht="12.75">
      <c r="A18" s="479" t="s">
        <v>67</v>
      </c>
      <c r="B18" s="479"/>
      <c r="C18" s="479" t="s">
        <v>297</v>
      </c>
      <c r="D18" s="479" t="s">
        <v>298</v>
      </c>
      <c r="E18" s="479" t="s">
        <v>54</v>
      </c>
      <c r="F18" s="480">
        <v>1648</v>
      </c>
      <c r="G18" s="480">
        <v>0</v>
      </c>
      <c r="H18" s="480">
        <f>F18*G18*0</f>
        <v>0</v>
      </c>
      <c r="I18" s="480">
        <f>F18*G18*(1-0)</f>
        <v>0</v>
      </c>
      <c r="J18" s="480">
        <f t="shared" si="0"/>
        <v>0</v>
      </c>
      <c r="K18" s="480">
        <v>0</v>
      </c>
      <c r="L18" s="480">
        <f>F18*K18</f>
        <v>0</v>
      </c>
    </row>
    <row r="19" spans="1:12" ht="12.75">
      <c r="A19" s="481"/>
      <c r="B19" s="481"/>
      <c r="C19" s="482" t="s">
        <v>55</v>
      </c>
      <c r="D19" s="483" t="s">
        <v>56</v>
      </c>
      <c r="E19" s="484"/>
      <c r="F19" s="484"/>
      <c r="G19" s="484"/>
      <c r="H19" s="485">
        <f>SUM(H20:H21)</f>
        <v>0</v>
      </c>
      <c r="I19" s="485">
        <f>SUM(I20:I21)</f>
        <v>0</v>
      </c>
      <c r="J19" s="485">
        <f t="shared" si="0"/>
        <v>0</v>
      </c>
      <c r="K19" s="486"/>
      <c r="L19" s="485">
        <f>SUM(L20:L21)</f>
        <v>389.54699999999997</v>
      </c>
    </row>
    <row r="20" spans="1:12" ht="12.75">
      <c r="A20" s="479" t="s">
        <v>70</v>
      </c>
      <c r="B20" s="479"/>
      <c r="C20" s="479" t="s">
        <v>299</v>
      </c>
      <c r="D20" s="479" t="s">
        <v>300</v>
      </c>
      <c r="E20" s="479" t="s">
        <v>54</v>
      </c>
      <c r="F20" s="480">
        <v>48</v>
      </c>
      <c r="G20" s="480">
        <v>0</v>
      </c>
      <c r="H20" s="480">
        <f>F20*G20*0.701317162083157</f>
        <v>0</v>
      </c>
      <c r="I20" s="480">
        <f>F20*G20*(1-0.701317162083157)</f>
        <v>0</v>
      </c>
      <c r="J20" s="480">
        <f t="shared" si="0"/>
        <v>0</v>
      </c>
      <c r="K20" s="480">
        <v>2.088</v>
      </c>
      <c r="L20" s="480">
        <f>F20*K20</f>
        <v>100.224</v>
      </c>
    </row>
    <row r="21" spans="1:12" ht="12.75">
      <c r="A21" s="479" t="s">
        <v>73</v>
      </c>
      <c r="B21" s="479"/>
      <c r="C21" s="479" t="s">
        <v>301</v>
      </c>
      <c r="D21" s="479" t="s">
        <v>335</v>
      </c>
      <c r="E21" s="479" t="s">
        <v>54</v>
      </c>
      <c r="F21" s="480">
        <v>153</v>
      </c>
      <c r="G21" s="480">
        <v>0</v>
      </c>
      <c r="H21" s="480">
        <f>F21*G21*0.675728753953483</f>
        <v>0</v>
      </c>
      <c r="I21" s="480">
        <f>F21*G21*(1-0.675728753953483)</f>
        <v>0</v>
      </c>
      <c r="J21" s="480">
        <f t="shared" si="0"/>
        <v>0</v>
      </c>
      <c r="K21" s="480">
        <v>1.891</v>
      </c>
      <c r="L21" s="480">
        <f>F21*K21</f>
        <v>289.323</v>
      </c>
    </row>
    <row r="22" spans="1:12" ht="12.75">
      <c r="A22" s="481"/>
      <c r="B22" s="481"/>
      <c r="C22" s="482" t="s">
        <v>303</v>
      </c>
      <c r="D22" s="483" t="s">
        <v>304</v>
      </c>
      <c r="E22" s="484"/>
      <c r="F22" s="484"/>
      <c r="G22" s="484"/>
      <c r="H22" s="485">
        <f>SUM(H23:H26)</f>
        <v>0</v>
      </c>
      <c r="I22" s="485">
        <f>SUM(I23:I26)</f>
        <v>0</v>
      </c>
      <c r="J22" s="485">
        <f t="shared" si="0"/>
        <v>0</v>
      </c>
      <c r="K22" s="486"/>
      <c r="L22" s="485">
        <f>SUM(L23:L26)</f>
        <v>4.044444</v>
      </c>
    </row>
    <row r="23" spans="1:12" ht="12.75">
      <c r="A23" s="479" t="s">
        <v>76</v>
      </c>
      <c r="B23" s="479"/>
      <c r="C23" s="479" t="s">
        <v>336</v>
      </c>
      <c r="D23" s="479" t="s">
        <v>337</v>
      </c>
      <c r="E23" s="479" t="s">
        <v>64</v>
      </c>
      <c r="F23" s="480">
        <v>237.6</v>
      </c>
      <c r="G23" s="480">
        <v>0</v>
      </c>
      <c r="H23" s="480">
        <f>F23*G23*0.730376600897786</f>
        <v>0</v>
      </c>
      <c r="I23" s="480">
        <f>F23*G23*(1-0.730376600897786)</f>
        <v>0</v>
      </c>
      <c r="J23" s="480">
        <f t="shared" si="0"/>
        <v>0</v>
      </c>
      <c r="K23" s="480">
        <v>0.00506</v>
      </c>
      <c r="L23" s="480">
        <f>F23*K23</f>
        <v>1.202256</v>
      </c>
    </row>
    <row r="24" spans="1:12" ht="12.75">
      <c r="A24" s="479" t="s">
        <v>79</v>
      </c>
      <c r="B24" s="479"/>
      <c r="C24" s="479" t="s">
        <v>338</v>
      </c>
      <c r="D24" s="479" t="s">
        <v>339</v>
      </c>
      <c r="E24" s="479" t="s">
        <v>64</v>
      </c>
      <c r="F24" s="480">
        <v>179.3</v>
      </c>
      <c r="G24" s="480">
        <v>0</v>
      </c>
      <c r="H24" s="480">
        <f>F24*G24*0.870164870645055</f>
        <v>0</v>
      </c>
      <c r="I24" s="480">
        <f>F24*G24*(1-0.870164870645055)</f>
        <v>0</v>
      </c>
      <c r="J24" s="480">
        <f t="shared" si="0"/>
        <v>0</v>
      </c>
      <c r="K24" s="480">
        <v>0.01266</v>
      </c>
      <c r="L24" s="480">
        <f>F24*K24</f>
        <v>2.2699380000000002</v>
      </c>
    </row>
    <row r="25" spans="1:12" ht="12.75">
      <c r="A25" s="479" t="s">
        <v>84</v>
      </c>
      <c r="B25" s="479"/>
      <c r="C25" s="479" t="s">
        <v>340</v>
      </c>
      <c r="D25" s="479" t="s">
        <v>341</v>
      </c>
      <c r="E25" s="479" t="s">
        <v>64</v>
      </c>
      <c r="F25" s="480">
        <v>175</v>
      </c>
      <c r="G25" s="480">
        <v>0</v>
      </c>
      <c r="H25" s="480">
        <f>F25*G25*0.712268205820951</f>
        <v>0</v>
      </c>
      <c r="I25" s="480">
        <f>F25*G25*(1-0.712268205820951)</f>
        <v>0</v>
      </c>
      <c r="J25" s="480">
        <f t="shared" si="0"/>
        <v>0</v>
      </c>
      <c r="K25" s="480">
        <v>0.00327</v>
      </c>
      <c r="L25" s="480">
        <f>F25*K25</f>
        <v>0.57225</v>
      </c>
    </row>
    <row r="26" spans="1:12" ht="12.75">
      <c r="A26" s="479" t="s">
        <v>89</v>
      </c>
      <c r="B26" s="479"/>
      <c r="C26" s="479" t="s">
        <v>342</v>
      </c>
      <c r="D26" s="479" t="s">
        <v>343</v>
      </c>
      <c r="E26" s="479" t="s">
        <v>64</v>
      </c>
      <c r="F26" s="480">
        <v>75</v>
      </c>
      <c r="G26" s="480">
        <v>0</v>
      </c>
      <c r="H26" s="480">
        <f>F26*G26*0.755788654009115</f>
        <v>0</v>
      </c>
      <c r="I26" s="480">
        <f>F26*G26*(1-0.755788654009115)</f>
        <v>0</v>
      </c>
      <c r="J26" s="480">
        <f t="shared" si="0"/>
        <v>0</v>
      </c>
      <c r="K26" s="480">
        <v>0</v>
      </c>
      <c r="L26" s="480">
        <f>F26*K26</f>
        <v>0</v>
      </c>
    </row>
    <row r="27" spans="1:12" ht="12.75">
      <c r="A27" s="481"/>
      <c r="B27" s="481"/>
      <c r="C27" s="482" t="s">
        <v>115</v>
      </c>
      <c r="D27" s="483" t="s">
        <v>116</v>
      </c>
      <c r="E27" s="484"/>
      <c r="F27" s="484"/>
      <c r="G27" s="484"/>
      <c r="H27" s="485">
        <f>SUM(H28:H32)</f>
        <v>0</v>
      </c>
      <c r="I27" s="485">
        <f>SUM(I28:I32)</f>
        <v>0</v>
      </c>
      <c r="J27" s="485">
        <f t="shared" si="0"/>
        <v>0</v>
      </c>
      <c r="K27" s="486"/>
      <c r="L27" s="485">
        <f>SUM(L28:L32)</f>
        <v>75.3905</v>
      </c>
    </row>
    <row r="28" spans="1:12" ht="12.75">
      <c r="A28" s="479" t="s">
        <v>92</v>
      </c>
      <c r="B28" s="479"/>
      <c r="C28" s="479" t="s">
        <v>344</v>
      </c>
      <c r="D28" s="479" t="s">
        <v>345</v>
      </c>
      <c r="E28" s="479" t="s">
        <v>120</v>
      </c>
      <c r="F28" s="480">
        <v>14</v>
      </c>
      <c r="G28" s="480">
        <v>0</v>
      </c>
      <c r="H28" s="480">
        <f>F28*G28*0.576092529608102</f>
        <v>0</v>
      </c>
      <c r="I28" s="480">
        <f>F28*G28*(1-0.576092529608102)</f>
        <v>0</v>
      </c>
      <c r="J28" s="480">
        <f t="shared" si="0"/>
        <v>0</v>
      </c>
      <c r="K28" s="480">
        <v>3.81325</v>
      </c>
      <c r="L28" s="480">
        <f>F28*K28</f>
        <v>53.3855</v>
      </c>
    </row>
    <row r="29" spans="1:12" ht="12.75">
      <c r="A29" s="479" t="s">
        <v>49</v>
      </c>
      <c r="B29" s="479"/>
      <c r="C29" s="479" t="s">
        <v>346</v>
      </c>
      <c r="D29" s="479" t="s">
        <v>347</v>
      </c>
      <c r="E29" s="479" t="s">
        <v>120</v>
      </c>
      <c r="F29" s="480">
        <v>3</v>
      </c>
      <c r="G29" s="480">
        <v>0</v>
      </c>
      <c r="H29" s="480">
        <f>F29*G29*0</f>
        <v>0</v>
      </c>
      <c r="I29" s="480">
        <f>F29*G29*(1-0)</f>
        <v>0</v>
      </c>
      <c r="J29" s="480">
        <f t="shared" si="0"/>
        <v>0</v>
      </c>
      <c r="K29" s="480">
        <v>0</v>
      </c>
      <c r="L29" s="480">
        <f>F29*K29</f>
        <v>0</v>
      </c>
    </row>
    <row r="30" spans="1:12" ht="12.75">
      <c r="A30" s="479" t="s">
        <v>96</v>
      </c>
      <c r="B30" s="479"/>
      <c r="C30" s="479" t="s">
        <v>315</v>
      </c>
      <c r="D30" s="479" t="s">
        <v>319</v>
      </c>
      <c r="E30" s="479" t="s">
        <v>64</v>
      </c>
      <c r="F30" s="480">
        <v>669.6</v>
      </c>
      <c r="G30" s="480">
        <v>0</v>
      </c>
      <c r="H30" s="480">
        <f>F30*G30*0.0278912381377092</f>
        <v>0</v>
      </c>
      <c r="I30" s="480">
        <f>F30*G30*(1-0.0278912381377092)</f>
        <v>0</v>
      </c>
      <c r="J30" s="480">
        <f t="shared" si="0"/>
        <v>0</v>
      </c>
      <c r="K30" s="480">
        <v>0</v>
      </c>
      <c r="L30" s="480">
        <f>F30*K30</f>
        <v>0</v>
      </c>
    </row>
    <row r="31" spans="1:12" ht="12.75">
      <c r="A31" s="479" t="s">
        <v>99</v>
      </c>
      <c r="B31" s="479"/>
      <c r="C31" s="479" t="s">
        <v>348</v>
      </c>
      <c r="D31" s="479" t="s">
        <v>349</v>
      </c>
      <c r="E31" s="479" t="s">
        <v>120</v>
      </c>
      <c r="F31" s="480">
        <v>15</v>
      </c>
      <c r="G31" s="480">
        <v>0</v>
      </c>
      <c r="H31" s="480">
        <f>F31*G31*0.223070100070172</f>
        <v>0</v>
      </c>
      <c r="I31" s="480">
        <f>F31*G31*(1-0.223070100070172)</f>
        <v>0</v>
      </c>
      <c r="J31" s="480">
        <f t="shared" si="0"/>
        <v>0</v>
      </c>
      <c r="K31" s="480">
        <v>1.467</v>
      </c>
      <c r="L31" s="480">
        <f>F31*K31</f>
        <v>22.005000000000003</v>
      </c>
    </row>
    <row r="32" spans="1:12" ht="12.75">
      <c r="A32" s="479" t="s">
        <v>102</v>
      </c>
      <c r="B32" s="479"/>
      <c r="C32" s="479" t="s">
        <v>350</v>
      </c>
      <c r="D32" s="479" t="s">
        <v>351</v>
      </c>
      <c r="E32" s="479" t="s">
        <v>64</v>
      </c>
      <c r="F32" s="480">
        <v>669.6</v>
      </c>
      <c r="G32" s="480">
        <v>0</v>
      </c>
      <c r="H32" s="480">
        <f>F32*G32*0.102195806921361</f>
        <v>0</v>
      </c>
      <c r="I32" s="480">
        <f>F32*G32*(1-0.102195806921361)</f>
        <v>0</v>
      </c>
      <c r="J32" s="480">
        <f t="shared" si="0"/>
        <v>0</v>
      </c>
      <c r="K32" s="480">
        <v>0</v>
      </c>
      <c r="L32" s="480">
        <f>F32*K32</f>
        <v>0</v>
      </c>
    </row>
    <row r="33" spans="1:12" ht="12.75">
      <c r="A33" s="481"/>
      <c r="B33" s="481"/>
      <c r="C33" s="482" t="s">
        <v>322</v>
      </c>
      <c r="D33" s="483" t="s">
        <v>323</v>
      </c>
      <c r="E33" s="484"/>
      <c r="F33" s="484"/>
      <c r="G33" s="484"/>
      <c r="H33" s="485">
        <f>SUM(H34:H34)</f>
        <v>0</v>
      </c>
      <c r="I33" s="485">
        <f>SUM(I34:I34)</f>
        <v>0</v>
      </c>
      <c r="J33" s="485">
        <f t="shared" si="0"/>
        <v>0</v>
      </c>
      <c r="K33" s="486"/>
      <c r="L33" s="485">
        <f>SUM(L34:L34)</f>
        <v>0</v>
      </c>
    </row>
    <row r="34" spans="1:12" ht="12.75">
      <c r="A34" s="487" t="s">
        <v>107</v>
      </c>
      <c r="B34" s="487"/>
      <c r="C34" s="487" t="s">
        <v>352</v>
      </c>
      <c r="D34" s="487" t="s">
        <v>353</v>
      </c>
      <c r="E34" s="487" t="s">
        <v>155</v>
      </c>
      <c r="F34" s="488">
        <v>84</v>
      </c>
      <c r="G34" s="488">
        <v>0</v>
      </c>
      <c r="H34" s="488">
        <f>F34*G34*0</f>
        <v>0</v>
      </c>
      <c r="I34" s="488">
        <f>F34*G34*(1-0)</f>
        <v>0</v>
      </c>
      <c r="J34" s="488">
        <f t="shared" si="0"/>
        <v>0</v>
      </c>
      <c r="K34" s="488">
        <v>0</v>
      </c>
      <c r="L34" s="488">
        <f>F34*K34</f>
        <v>0</v>
      </c>
    </row>
    <row r="35" spans="1:12" ht="12.75">
      <c r="A35" s="489"/>
      <c r="B35" s="489"/>
      <c r="C35" s="489"/>
      <c r="D35" s="489"/>
      <c r="E35" s="489"/>
      <c r="F35" s="489"/>
      <c r="G35" s="489"/>
      <c r="H35" s="445" t="s">
        <v>159</v>
      </c>
      <c r="I35" s="490"/>
      <c r="J35" s="491">
        <f>J12+J15+J17+J19+J22+J27+J33</f>
        <v>0</v>
      </c>
      <c r="K35" s="489"/>
      <c r="L35" s="489"/>
    </row>
    <row r="36" spans="1:12" ht="12.75">
      <c r="A36" s="492"/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</row>
  </sheetData>
  <mergeCells count="35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5:G15"/>
    <mergeCell ref="D33:G33"/>
    <mergeCell ref="H35:I35"/>
    <mergeCell ref="D17:G17"/>
    <mergeCell ref="D19:G19"/>
    <mergeCell ref="D22:G22"/>
    <mergeCell ref="D27:G27"/>
  </mergeCells>
  <printOptions/>
  <pageMargins left="0.51" right="0.46" top="0.58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A1:J33"/>
  <sheetViews>
    <sheetView workbookViewId="0" topLeftCell="A1">
      <selection activeCell="K25" sqref="K25"/>
    </sheetView>
  </sheetViews>
  <sheetFormatPr defaultColWidth="9.140625" defaultRowHeight="15"/>
  <cols>
    <col min="1" max="1" width="9.140625" style="442" customWidth="1"/>
    <col min="2" max="2" width="11.8515625" style="442" customWidth="1"/>
    <col min="3" max="3" width="21.7109375" style="442" customWidth="1"/>
    <col min="4" max="4" width="8.8515625" style="442" customWidth="1"/>
    <col min="5" max="5" width="14.00390625" style="442" customWidth="1"/>
    <col min="6" max="6" width="22.57421875" style="442" customWidth="1"/>
    <col min="7" max="7" width="9.140625" style="442" customWidth="1"/>
    <col min="8" max="8" width="11.8515625" style="442" customWidth="1"/>
    <col min="9" max="9" width="22.421875" style="442" customWidth="1"/>
    <col min="10" max="16384" width="11.421875" style="442" customWidth="1"/>
  </cols>
  <sheetData>
    <row r="1" spans="1:9" ht="28.5" customHeight="1">
      <c r="A1" s="493" t="s">
        <v>160</v>
      </c>
      <c r="B1" s="494"/>
      <c r="C1" s="494"/>
      <c r="D1" s="494"/>
      <c r="E1" s="494"/>
      <c r="F1" s="494"/>
      <c r="G1" s="494"/>
      <c r="H1" s="494"/>
      <c r="I1" s="494"/>
    </row>
    <row r="2" spans="1:10" ht="12.75">
      <c r="A2" s="495" t="s">
        <v>20</v>
      </c>
      <c r="B2" s="496"/>
      <c r="C2" s="497" t="s">
        <v>21</v>
      </c>
      <c r="D2" s="498"/>
      <c r="E2" s="499" t="s">
        <v>23</v>
      </c>
      <c r="F2" s="499"/>
      <c r="G2" s="496"/>
      <c r="H2" s="499" t="s">
        <v>161</v>
      </c>
      <c r="I2" s="500"/>
      <c r="J2" s="448"/>
    </row>
    <row r="3" spans="1:10" ht="12.75">
      <c r="A3" s="501"/>
      <c r="B3" s="502"/>
      <c r="C3" s="503"/>
      <c r="D3" s="503"/>
      <c r="E3" s="502"/>
      <c r="F3" s="502"/>
      <c r="G3" s="502"/>
      <c r="H3" s="502"/>
      <c r="I3" s="504"/>
      <c r="J3" s="448"/>
    </row>
    <row r="4" spans="1:10" ht="12.75">
      <c r="A4" s="505" t="s">
        <v>24</v>
      </c>
      <c r="B4" s="502"/>
      <c r="C4" s="506" t="s">
        <v>326</v>
      </c>
      <c r="D4" s="502"/>
      <c r="E4" s="506" t="s">
        <v>27</v>
      </c>
      <c r="F4" s="506"/>
      <c r="G4" s="502"/>
      <c r="H4" s="506" t="s">
        <v>161</v>
      </c>
      <c r="I4" s="507"/>
      <c r="J4" s="448"/>
    </row>
    <row r="5" spans="1:10" ht="12.75">
      <c r="A5" s="501"/>
      <c r="B5" s="502"/>
      <c r="C5" s="502"/>
      <c r="D5" s="502"/>
      <c r="E5" s="502"/>
      <c r="F5" s="502"/>
      <c r="G5" s="502"/>
      <c r="H5" s="502"/>
      <c r="I5" s="504"/>
      <c r="J5" s="448"/>
    </row>
    <row r="6" spans="1:10" ht="12.75">
      <c r="A6" s="505" t="s">
        <v>28</v>
      </c>
      <c r="B6" s="502"/>
      <c r="C6" s="506" t="s">
        <v>354</v>
      </c>
      <c r="D6" s="502"/>
      <c r="E6" s="506" t="s">
        <v>31</v>
      </c>
      <c r="F6" s="506"/>
      <c r="G6" s="502"/>
      <c r="H6" s="506" t="s">
        <v>161</v>
      </c>
      <c r="I6" s="507"/>
      <c r="J6" s="448"/>
    </row>
    <row r="7" spans="1:10" ht="12.75">
      <c r="A7" s="501"/>
      <c r="B7" s="502"/>
      <c r="C7" s="502"/>
      <c r="D7" s="502"/>
      <c r="E7" s="502"/>
      <c r="F7" s="502"/>
      <c r="G7" s="502"/>
      <c r="H7" s="502"/>
      <c r="I7" s="504"/>
      <c r="J7" s="448"/>
    </row>
    <row r="8" spans="1:10" ht="12.75">
      <c r="A8" s="505" t="s">
        <v>26</v>
      </c>
      <c r="B8" s="502"/>
      <c r="C8" s="508"/>
      <c r="D8" s="502"/>
      <c r="E8" s="506" t="s">
        <v>30</v>
      </c>
      <c r="F8" s="502"/>
      <c r="G8" s="502"/>
      <c r="H8" s="506" t="s">
        <v>162</v>
      </c>
      <c r="I8" s="507" t="s">
        <v>107</v>
      </c>
      <c r="J8" s="448"/>
    </row>
    <row r="9" spans="1:10" ht="12.75">
      <c r="A9" s="501"/>
      <c r="B9" s="502"/>
      <c r="C9" s="502"/>
      <c r="D9" s="502"/>
      <c r="E9" s="502"/>
      <c r="F9" s="502"/>
      <c r="G9" s="502"/>
      <c r="H9" s="502"/>
      <c r="I9" s="504"/>
      <c r="J9" s="448"/>
    </row>
    <row r="10" spans="1:10" ht="12.75">
      <c r="A10" s="505" t="s">
        <v>32</v>
      </c>
      <c r="B10" s="502"/>
      <c r="C10" s="506"/>
      <c r="D10" s="502"/>
      <c r="E10" s="506" t="s">
        <v>34</v>
      </c>
      <c r="F10" s="506"/>
      <c r="G10" s="502"/>
      <c r="H10" s="506" t="s">
        <v>163</v>
      </c>
      <c r="I10" s="509">
        <v>41014</v>
      </c>
      <c r="J10" s="448"/>
    </row>
    <row r="11" spans="1:10" ht="12.75">
      <c r="A11" s="510"/>
      <c r="B11" s="511"/>
      <c r="C11" s="511"/>
      <c r="D11" s="511"/>
      <c r="E11" s="511"/>
      <c r="F11" s="511"/>
      <c r="G11" s="511"/>
      <c r="H11" s="511"/>
      <c r="I11" s="512"/>
      <c r="J11" s="448"/>
    </row>
    <row r="12" spans="1:9" ht="23.25" customHeight="1">
      <c r="A12" s="513" t="s">
        <v>164</v>
      </c>
      <c r="B12" s="514"/>
      <c r="C12" s="514"/>
      <c r="D12" s="514"/>
      <c r="E12" s="514"/>
      <c r="F12" s="514"/>
      <c r="G12" s="514"/>
      <c r="H12" s="514"/>
      <c r="I12" s="514"/>
    </row>
    <row r="13" spans="1:10" ht="26.25" customHeight="1">
      <c r="A13" s="515" t="s">
        <v>165</v>
      </c>
      <c r="B13" s="516" t="s">
        <v>166</v>
      </c>
      <c r="C13" s="517"/>
      <c r="D13" s="515" t="s">
        <v>167</v>
      </c>
      <c r="E13" s="516" t="s">
        <v>168</v>
      </c>
      <c r="F13" s="517"/>
      <c r="G13" s="515" t="s">
        <v>169</v>
      </c>
      <c r="H13" s="516" t="s">
        <v>170</v>
      </c>
      <c r="I13" s="517"/>
      <c r="J13" s="448"/>
    </row>
    <row r="14" spans="1:10" ht="15" customHeight="1">
      <c r="A14" s="518" t="s">
        <v>171</v>
      </c>
      <c r="B14" s="519" t="s">
        <v>172</v>
      </c>
      <c r="C14" s="520">
        <f>SUM('Stavební rozpočet (5)'!H12+'Stavební rozpočet (5)'!H15+'Stavební rozpočet (5)'!H17+'Stavební rozpočet (5)'!H19+'Stavební rozpočet (5)'!H22+'Stavební rozpočet (5)'!H27+'Stavební rozpočet (5)'!H33)</f>
        <v>0</v>
      </c>
      <c r="D14" s="521" t="s">
        <v>173</v>
      </c>
      <c r="E14" s="522"/>
      <c r="F14" s="520">
        <v>0</v>
      </c>
      <c r="G14" s="521" t="s">
        <v>174</v>
      </c>
      <c r="H14" s="522"/>
      <c r="I14" s="520">
        <v>0</v>
      </c>
      <c r="J14" s="448"/>
    </row>
    <row r="15" spans="1:10" ht="15" customHeight="1">
      <c r="A15" s="523"/>
      <c r="B15" s="519" t="s">
        <v>47</v>
      </c>
      <c r="C15" s="520">
        <f>SUM('Stavební rozpočet (5)'!I12+'Stavební rozpočet (5)'!I15+'Stavební rozpočet (5)'!I17+'Stavební rozpočet (5)'!I19+'Stavební rozpočet (5)'!I22+'Stavební rozpočet (5)'!I27+'Stavební rozpočet (5)'!I33)</f>
        <v>0</v>
      </c>
      <c r="D15" s="521" t="s">
        <v>175</v>
      </c>
      <c r="E15" s="522"/>
      <c r="F15" s="520">
        <v>0</v>
      </c>
      <c r="G15" s="521" t="s">
        <v>176</v>
      </c>
      <c r="H15" s="522"/>
      <c r="I15" s="520">
        <v>0</v>
      </c>
      <c r="J15" s="448"/>
    </row>
    <row r="16" spans="1:10" ht="15" customHeight="1">
      <c r="A16" s="518" t="s">
        <v>177</v>
      </c>
      <c r="B16" s="519" t="s">
        <v>172</v>
      </c>
      <c r="C16" s="520">
        <v>0</v>
      </c>
      <c r="D16" s="521" t="s">
        <v>178</v>
      </c>
      <c r="E16" s="522"/>
      <c r="F16" s="520">
        <v>0</v>
      </c>
      <c r="G16" s="521" t="s">
        <v>179</v>
      </c>
      <c r="H16" s="522"/>
      <c r="I16" s="520">
        <v>0</v>
      </c>
      <c r="J16" s="448"/>
    </row>
    <row r="17" spans="1:10" ht="15" customHeight="1">
      <c r="A17" s="523"/>
      <c r="B17" s="519" t="s">
        <v>47</v>
      </c>
      <c r="C17" s="520">
        <v>0</v>
      </c>
      <c r="D17" s="521"/>
      <c r="E17" s="522"/>
      <c r="F17" s="524"/>
      <c r="G17" s="521" t="s">
        <v>180</v>
      </c>
      <c r="H17" s="522"/>
      <c r="I17" s="520">
        <v>0</v>
      </c>
      <c r="J17" s="448"/>
    </row>
    <row r="18" spans="1:10" ht="15" customHeight="1">
      <c r="A18" s="518" t="s">
        <v>181</v>
      </c>
      <c r="B18" s="519" t="s">
        <v>172</v>
      </c>
      <c r="C18" s="520">
        <v>0</v>
      </c>
      <c r="D18" s="521"/>
      <c r="E18" s="522"/>
      <c r="F18" s="524"/>
      <c r="G18" s="521" t="s">
        <v>182</v>
      </c>
      <c r="H18" s="522"/>
      <c r="I18" s="520">
        <v>0</v>
      </c>
      <c r="J18" s="448"/>
    </row>
    <row r="19" spans="1:10" ht="15" customHeight="1">
      <c r="A19" s="523"/>
      <c r="B19" s="519" t="s">
        <v>47</v>
      </c>
      <c r="C19" s="520">
        <v>0</v>
      </c>
      <c r="D19" s="521"/>
      <c r="E19" s="522"/>
      <c r="F19" s="524"/>
      <c r="G19" s="521" t="s">
        <v>183</v>
      </c>
      <c r="H19" s="522"/>
      <c r="I19" s="520">
        <v>0</v>
      </c>
      <c r="J19" s="448"/>
    </row>
    <row r="20" spans="1:10" ht="15" customHeight="1">
      <c r="A20" s="525" t="s">
        <v>184</v>
      </c>
      <c r="B20" s="526"/>
      <c r="C20" s="520">
        <v>0</v>
      </c>
      <c r="D20" s="521"/>
      <c r="E20" s="522"/>
      <c r="F20" s="524"/>
      <c r="G20" s="521"/>
      <c r="H20" s="522"/>
      <c r="I20" s="524"/>
      <c r="J20" s="448"/>
    </row>
    <row r="21" spans="1:10" ht="15" customHeight="1">
      <c r="A21" s="525" t="s">
        <v>185</v>
      </c>
      <c r="B21" s="526"/>
      <c r="C21" s="520"/>
      <c r="D21" s="521"/>
      <c r="E21" s="522"/>
      <c r="F21" s="524"/>
      <c r="G21" s="521"/>
      <c r="H21" s="522"/>
      <c r="I21" s="524"/>
      <c r="J21" s="448"/>
    </row>
    <row r="22" spans="1:10" ht="39.75" customHeight="1">
      <c r="A22" s="525" t="s">
        <v>186</v>
      </c>
      <c r="B22" s="526"/>
      <c r="C22" s="520">
        <f>SUM(C14:C19)</f>
        <v>0</v>
      </c>
      <c r="D22" s="525" t="s">
        <v>187</v>
      </c>
      <c r="E22" s="526"/>
      <c r="F22" s="520">
        <f>SUM(F14:F16)</f>
        <v>0</v>
      </c>
      <c r="G22" s="525" t="s">
        <v>188</v>
      </c>
      <c r="H22" s="526"/>
      <c r="I22" s="520">
        <v>0</v>
      </c>
      <c r="J22" s="448"/>
    </row>
    <row r="23" spans="1:9" ht="12.75">
      <c r="A23" s="527"/>
      <c r="B23" s="527"/>
      <c r="C23" s="527"/>
      <c r="D23" s="528"/>
      <c r="E23" s="528"/>
      <c r="F23" s="528"/>
      <c r="G23" s="528"/>
      <c r="H23" s="528"/>
      <c r="I23" s="528"/>
    </row>
    <row r="24" spans="1:9" ht="15" customHeight="1">
      <c r="A24" s="529" t="s">
        <v>189</v>
      </c>
      <c r="B24" s="530"/>
      <c r="C24" s="531">
        <v>0</v>
      </c>
      <c r="D24" s="532"/>
      <c r="E24" s="533"/>
      <c r="F24" s="533"/>
      <c r="G24" s="533"/>
      <c r="H24" s="533"/>
      <c r="I24" s="533"/>
    </row>
    <row r="25" spans="1:10" ht="15" customHeight="1">
      <c r="A25" s="529" t="s">
        <v>190</v>
      </c>
      <c r="B25" s="530"/>
      <c r="C25" s="531">
        <v>0</v>
      </c>
      <c r="D25" s="529" t="s">
        <v>191</v>
      </c>
      <c r="E25" s="530"/>
      <c r="F25" s="531">
        <v>0</v>
      </c>
      <c r="G25" s="529" t="s">
        <v>192</v>
      </c>
      <c r="H25" s="530"/>
      <c r="I25" s="531">
        <f>SUM(C26)</f>
        <v>0</v>
      </c>
      <c r="J25" s="448"/>
    </row>
    <row r="26" spans="1:10" ht="15" customHeight="1">
      <c r="A26" s="529" t="s">
        <v>193</v>
      </c>
      <c r="B26" s="530"/>
      <c r="C26" s="531">
        <f>SUM(C22+F22+I22)</f>
        <v>0</v>
      </c>
      <c r="D26" s="529" t="s">
        <v>194</v>
      </c>
      <c r="E26" s="530"/>
      <c r="F26" s="531">
        <f>SUM(C26/100*20)</f>
        <v>0</v>
      </c>
      <c r="G26" s="529" t="s">
        <v>195</v>
      </c>
      <c r="H26" s="530"/>
      <c r="I26" s="531">
        <f>SUM(I25+F26)</f>
        <v>0</v>
      </c>
      <c r="J26" s="448"/>
    </row>
    <row r="27" spans="1:9" ht="12.75">
      <c r="A27" s="534"/>
      <c r="B27" s="534"/>
      <c r="C27" s="534"/>
      <c r="D27" s="534"/>
      <c r="E27" s="534"/>
      <c r="F27" s="534"/>
      <c r="G27" s="534"/>
      <c r="H27" s="534"/>
      <c r="I27" s="534"/>
    </row>
    <row r="28" spans="1:10" ht="14.25" customHeight="1">
      <c r="A28" s="535" t="s">
        <v>196</v>
      </c>
      <c r="B28" s="536"/>
      <c r="C28" s="537"/>
      <c r="D28" s="535" t="s">
        <v>197</v>
      </c>
      <c r="E28" s="536"/>
      <c r="F28" s="537"/>
      <c r="G28" s="535" t="s">
        <v>198</v>
      </c>
      <c r="H28" s="536"/>
      <c r="I28" s="537"/>
      <c r="J28" s="465"/>
    </row>
    <row r="29" spans="1:10" ht="14.25" customHeight="1">
      <c r="A29" s="538"/>
      <c r="B29" s="539"/>
      <c r="C29" s="540"/>
      <c r="D29" s="538"/>
      <c r="E29" s="539"/>
      <c r="F29" s="540"/>
      <c r="G29" s="538"/>
      <c r="H29" s="539"/>
      <c r="I29" s="540"/>
      <c r="J29" s="465"/>
    </row>
    <row r="30" spans="1:10" ht="14.25" customHeight="1">
      <c r="A30" s="538"/>
      <c r="B30" s="539"/>
      <c r="C30" s="540"/>
      <c r="D30" s="538"/>
      <c r="E30" s="539"/>
      <c r="F30" s="540"/>
      <c r="G30" s="538"/>
      <c r="H30" s="539"/>
      <c r="I30" s="540"/>
      <c r="J30" s="465"/>
    </row>
    <row r="31" spans="1:10" ht="14.25" customHeight="1">
      <c r="A31" s="538"/>
      <c r="B31" s="539"/>
      <c r="C31" s="540"/>
      <c r="D31" s="538"/>
      <c r="E31" s="539"/>
      <c r="F31" s="540"/>
      <c r="G31" s="538"/>
      <c r="H31" s="539"/>
      <c r="I31" s="540"/>
      <c r="J31" s="465"/>
    </row>
    <row r="32" spans="1:10" ht="14.25" customHeight="1">
      <c r="A32" s="541" t="s">
        <v>199</v>
      </c>
      <c r="B32" s="542"/>
      <c r="C32" s="543"/>
      <c r="D32" s="541" t="s">
        <v>199</v>
      </c>
      <c r="E32" s="542"/>
      <c r="F32" s="543"/>
      <c r="G32" s="541" t="s">
        <v>199</v>
      </c>
      <c r="H32" s="542"/>
      <c r="I32" s="543"/>
      <c r="J32" s="465"/>
    </row>
    <row r="33" spans="1:9" ht="12.75">
      <c r="A33" s="544"/>
      <c r="B33" s="544"/>
      <c r="C33" s="544"/>
      <c r="D33" s="544"/>
      <c r="E33" s="544"/>
      <c r="F33" s="544"/>
      <c r="G33" s="544"/>
      <c r="H33" s="544"/>
      <c r="I33" s="544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0.55" bottom="0.56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M36"/>
  <sheetViews>
    <sheetView workbookViewId="0" topLeftCell="A1">
      <selection activeCell="G34" sqref="G34"/>
    </sheetView>
  </sheetViews>
  <sheetFormatPr defaultColWidth="9.140625" defaultRowHeight="15"/>
  <cols>
    <col min="1" max="1" width="3.7109375" style="547" customWidth="1"/>
    <col min="2" max="2" width="1.28515625" style="547" customWidth="1"/>
    <col min="3" max="3" width="13.28125" style="547" customWidth="1"/>
    <col min="4" max="4" width="38.00390625" style="547" customWidth="1"/>
    <col min="5" max="5" width="4.28125" style="547" customWidth="1"/>
    <col min="6" max="6" width="9.140625" style="547" customWidth="1"/>
    <col min="7" max="7" width="11.00390625" style="547" customWidth="1"/>
    <col min="8" max="8" width="11.57421875" style="547" customWidth="1"/>
    <col min="9" max="9" width="12.00390625" style="547" customWidth="1"/>
    <col min="10" max="10" width="12.28125" style="547" customWidth="1"/>
    <col min="11" max="11" width="9.421875" style="547" customWidth="1"/>
    <col min="12" max="12" width="10.57421875" style="547" customWidth="1"/>
    <col min="13" max="16384" width="11.421875" style="547" customWidth="1"/>
  </cols>
  <sheetData>
    <row r="1" spans="1:12" ht="21.75" customHeight="1">
      <c r="A1" s="545" t="s">
        <v>19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3" ht="12.75">
      <c r="A2" s="548" t="s">
        <v>20</v>
      </c>
      <c r="B2" s="549"/>
      <c r="C2" s="549"/>
      <c r="D2" s="550" t="s">
        <v>21</v>
      </c>
      <c r="E2" s="551" t="s">
        <v>22</v>
      </c>
      <c r="F2" s="549"/>
      <c r="G2" s="551"/>
      <c r="H2" s="549"/>
      <c r="I2" s="551" t="s">
        <v>23</v>
      </c>
      <c r="J2" s="551"/>
      <c r="K2" s="549"/>
      <c r="L2" s="552"/>
      <c r="M2" s="553"/>
    </row>
    <row r="3" spans="1:13" ht="12.75">
      <c r="A3" s="554"/>
      <c r="B3" s="555"/>
      <c r="C3" s="555"/>
      <c r="D3" s="556"/>
      <c r="E3" s="555"/>
      <c r="F3" s="555"/>
      <c r="G3" s="555"/>
      <c r="H3" s="555"/>
      <c r="I3" s="555"/>
      <c r="J3" s="555"/>
      <c r="K3" s="555"/>
      <c r="L3" s="557"/>
      <c r="M3" s="553"/>
    </row>
    <row r="4" spans="1:13" ht="12.75">
      <c r="A4" s="558" t="s">
        <v>24</v>
      </c>
      <c r="B4" s="555"/>
      <c r="C4" s="555"/>
      <c r="D4" s="559" t="s">
        <v>355</v>
      </c>
      <c r="E4" s="559" t="s">
        <v>26</v>
      </c>
      <c r="F4" s="555"/>
      <c r="G4" s="560"/>
      <c r="H4" s="555"/>
      <c r="I4" s="559" t="s">
        <v>27</v>
      </c>
      <c r="J4" s="559"/>
      <c r="K4" s="555"/>
      <c r="L4" s="557"/>
      <c r="M4" s="553"/>
    </row>
    <row r="5" spans="1:13" ht="12.75">
      <c r="A5" s="554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7"/>
      <c r="M5" s="553"/>
    </row>
    <row r="6" spans="1:13" ht="12.75">
      <c r="A6" s="558" t="s">
        <v>28</v>
      </c>
      <c r="B6" s="555"/>
      <c r="C6" s="555"/>
      <c r="D6" s="559" t="s">
        <v>354</v>
      </c>
      <c r="E6" s="559" t="s">
        <v>30</v>
      </c>
      <c r="F6" s="555"/>
      <c r="G6" s="555"/>
      <c r="H6" s="555"/>
      <c r="I6" s="559" t="s">
        <v>31</v>
      </c>
      <c r="J6" s="559"/>
      <c r="K6" s="555"/>
      <c r="L6" s="557"/>
      <c r="M6" s="553"/>
    </row>
    <row r="7" spans="1:13" ht="12.75">
      <c r="A7" s="554"/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7"/>
      <c r="M7" s="553"/>
    </row>
    <row r="8" spans="1:13" ht="12.75">
      <c r="A8" s="558" t="s">
        <v>32</v>
      </c>
      <c r="B8" s="555"/>
      <c r="C8" s="555"/>
      <c r="D8" s="559"/>
      <c r="E8" s="559" t="s">
        <v>33</v>
      </c>
      <c r="F8" s="555"/>
      <c r="G8" s="560">
        <v>41014</v>
      </c>
      <c r="H8" s="555"/>
      <c r="I8" s="559" t="s">
        <v>34</v>
      </c>
      <c r="J8" s="559"/>
      <c r="K8" s="555"/>
      <c r="L8" s="557"/>
      <c r="M8" s="553"/>
    </row>
    <row r="9" spans="1:13" ht="12.75">
      <c r="A9" s="561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3"/>
      <c r="M9" s="553"/>
    </row>
    <row r="10" spans="1:13" ht="12.75">
      <c r="A10" s="564" t="s">
        <v>35</v>
      </c>
      <c r="B10" s="565" t="s">
        <v>35</v>
      </c>
      <c r="C10" s="565" t="s">
        <v>35</v>
      </c>
      <c r="D10" s="565" t="s">
        <v>35</v>
      </c>
      <c r="E10" s="565" t="s">
        <v>35</v>
      </c>
      <c r="F10" s="565" t="s">
        <v>35</v>
      </c>
      <c r="G10" s="566" t="s">
        <v>36</v>
      </c>
      <c r="H10" s="567" t="s">
        <v>37</v>
      </c>
      <c r="I10" s="568"/>
      <c r="J10" s="569"/>
      <c r="K10" s="567" t="s">
        <v>38</v>
      </c>
      <c r="L10" s="569"/>
      <c r="M10" s="570"/>
    </row>
    <row r="11" spans="1:13" ht="12.75">
      <c r="A11" s="571" t="s">
        <v>39</v>
      </c>
      <c r="B11" s="572" t="s">
        <v>40</v>
      </c>
      <c r="C11" s="572" t="s">
        <v>41</v>
      </c>
      <c r="D11" s="572" t="s">
        <v>42</v>
      </c>
      <c r="E11" s="572" t="s">
        <v>43</v>
      </c>
      <c r="F11" s="573" t="s">
        <v>44</v>
      </c>
      <c r="G11" s="574" t="s">
        <v>45</v>
      </c>
      <c r="H11" s="575" t="s">
        <v>46</v>
      </c>
      <c r="I11" s="576" t="s">
        <v>47</v>
      </c>
      <c r="J11" s="577" t="s">
        <v>48</v>
      </c>
      <c r="K11" s="575" t="s">
        <v>36</v>
      </c>
      <c r="L11" s="577" t="s">
        <v>48</v>
      </c>
      <c r="M11" s="570"/>
    </row>
    <row r="12" spans="1:12" ht="12.75">
      <c r="A12" s="578"/>
      <c r="B12" s="578"/>
      <c r="C12" s="579" t="s">
        <v>96</v>
      </c>
      <c r="D12" s="580" t="s">
        <v>291</v>
      </c>
      <c r="E12" s="581"/>
      <c r="F12" s="581"/>
      <c r="G12" s="581"/>
      <c r="H12" s="582">
        <f>SUM(H13:H14)</f>
        <v>0</v>
      </c>
      <c r="I12" s="582">
        <f>SUM(I13:I14)</f>
        <v>0</v>
      </c>
      <c r="J12" s="582">
        <f aca="true" t="shared" si="0" ref="J12:J34">H12+I12</f>
        <v>0</v>
      </c>
      <c r="K12" s="583"/>
      <c r="L12" s="582">
        <f>SUM(L13:L14)</f>
        <v>0</v>
      </c>
    </row>
    <row r="13" spans="1:12" ht="12.75">
      <c r="A13" s="584" t="s">
        <v>51</v>
      </c>
      <c r="B13" s="584"/>
      <c r="C13" s="584" t="s">
        <v>328</v>
      </c>
      <c r="D13" s="584" t="s">
        <v>329</v>
      </c>
      <c r="E13" s="584" t="s">
        <v>54</v>
      </c>
      <c r="F13" s="585">
        <v>460</v>
      </c>
      <c r="G13" s="585">
        <v>0</v>
      </c>
      <c r="H13" s="585">
        <f>F13*G13*0</f>
        <v>0</v>
      </c>
      <c r="I13" s="585">
        <f>F13*G13*(1-0)</f>
        <v>0</v>
      </c>
      <c r="J13" s="585">
        <f t="shared" si="0"/>
        <v>0</v>
      </c>
      <c r="K13" s="585">
        <v>0</v>
      </c>
      <c r="L13" s="585">
        <f>F13*K13</f>
        <v>0</v>
      </c>
    </row>
    <row r="14" spans="1:12" ht="12.75">
      <c r="A14" s="584" t="s">
        <v>57</v>
      </c>
      <c r="B14" s="584"/>
      <c r="C14" s="584" t="s">
        <v>330</v>
      </c>
      <c r="D14" s="584" t="s">
        <v>331</v>
      </c>
      <c r="E14" s="584" t="s">
        <v>54</v>
      </c>
      <c r="F14" s="585">
        <v>460</v>
      </c>
      <c r="G14" s="585">
        <v>0</v>
      </c>
      <c r="H14" s="585">
        <f>F14*G14*0</f>
        <v>0</v>
      </c>
      <c r="I14" s="585">
        <f>F14*G14*(1-0)</f>
        <v>0</v>
      </c>
      <c r="J14" s="585">
        <f t="shared" si="0"/>
        <v>0</v>
      </c>
      <c r="K14" s="585">
        <v>0</v>
      </c>
      <c r="L14" s="585">
        <f>F14*K14</f>
        <v>0</v>
      </c>
    </row>
    <row r="15" spans="1:12" ht="12.75">
      <c r="A15" s="586"/>
      <c r="B15" s="586"/>
      <c r="C15" s="587" t="s">
        <v>112</v>
      </c>
      <c r="D15" s="588" t="s">
        <v>296</v>
      </c>
      <c r="E15" s="589"/>
      <c r="F15" s="589"/>
      <c r="G15" s="589"/>
      <c r="H15" s="590">
        <f>SUM(H16:H16)</f>
        <v>0</v>
      </c>
      <c r="I15" s="590">
        <f>SUM(I16:I16)</f>
        <v>0</v>
      </c>
      <c r="J15" s="590">
        <f t="shared" si="0"/>
        <v>0</v>
      </c>
      <c r="K15" s="591"/>
      <c r="L15" s="590">
        <f>SUM(L16:L16)</f>
        <v>0</v>
      </c>
    </row>
    <row r="16" spans="1:12" ht="12.75">
      <c r="A16" s="584" t="s">
        <v>61</v>
      </c>
      <c r="B16" s="584"/>
      <c r="C16" s="584" t="s">
        <v>297</v>
      </c>
      <c r="D16" s="584" t="s">
        <v>298</v>
      </c>
      <c r="E16" s="584" t="s">
        <v>54</v>
      </c>
      <c r="F16" s="585">
        <v>460</v>
      </c>
      <c r="G16" s="585">
        <v>0</v>
      </c>
      <c r="H16" s="585">
        <f>F16*G16*0</f>
        <v>0</v>
      </c>
      <c r="I16" s="585">
        <f>F16*G16*(1-0)</f>
        <v>0</v>
      </c>
      <c r="J16" s="585">
        <f t="shared" si="0"/>
        <v>0</v>
      </c>
      <c r="K16" s="585">
        <v>0</v>
      </c>
      <c r="L16" s="585">
        <f>F16*K16</f>
        <v>0</v>
      </c>
    </row>
    <row r="17" spans="1:12" ht="12.75">
      <c r="A17" s="586"/>
      <c r="B17" s="586"/>
      <c r="C17" s="587" t="s">
        <v>55</v>
      </c>
      <c r="D17" s="588" t="s">
        <v>56</v>
      </c>
      <c r="E17" s="589"/>
      <c r="F17" s="589"/>
      <c r="G17" s="589"/>
      <c r="H17" s="590">
        <f>SUM(H18:H19)</f>
        <v>0</v>
      </c>
      <c r="I17" s="590">
        <f>SUM(I18:I19)</f>
        <v>0</v>
      </c>
      <c r="J17" s="590">
        <f t="shared" si="0"/>
        <v>0</v>
      </c>
      <c r="K17" s="591"/>
      <c r="L17" s="590">
        <f>SUM(L18:L19)</f>
        <v>349.245</v>
      </c>
    </row>
    <row r="18" spans="1:12" ht="12.75">
      <c r="A18" s="584" t="s">
        <v>67</v>
      </c>
      <c r="B18" s="584"/>
      <c r="C18" s="584" t="s">
        <v>299</v>
      </c>
      <c r="D18" s="584" t="s">
        <v>300</v>
      </c>
      <c r="E18" s="584" t="s">
        <v>54</v>
      </c>
      <c r="F18" s="585">
        <v>45</v>
      </c>
      <c r="G18" s="585">
        <v>0</v>
      </c>
      <c r="H18" s="585">
        <f>F18*G18*0.701317162083157</f>
        <v>0</v>
      </c>
      <c r="I18" s="585">
        <f>F18*G18*(1-0.701317162083157)</f>
        <v>0</v>
      </c>
      <c r="J18" s="585">
        <f t="shared" si="0"/>
        <v>0</v>
      </c>
      <c r="K18" s="585">
        <v>2.088</v>
      </c>
      <c r="L18" s="585">
        <f>F18*K18</f>
        <v>93.96000000000001</v>
      </c>
    </row>
    <row r="19" spans="1:12" ht="12.75">
      <c r="A19" s="584" t="s">
        <v>70</v>
      </c>
      <c r="B19" s="584"/>
      <c r="C19" s="584" t="s">
        <v>301</v>
      </c>
      <c r="D19" s="584" t="s">
        <v>335</v>
      </c>
      <c r="E19" s="584" t="s">
        <v>54</v>
      </c>
      <c r="F19" s="585">
        <v>135</v>
      </c>
      <c r="G19" s="585">
        <v>0</v>
      </c>
      <c r="H19" s="585">
        <f>F19*G19*0.675728753953483</f>
        <v>0</v>
      </c>
      <c r="I19" s="585">
        <f>F19*G19*(1-0.675728753953483)</f>
        <v>0</v>
      </c>
      <c r="J19" s="585">
        <f t="shared" si="0"/>
        <v>0</v>
      </c>
      <c r="K19" s="585">
        <v>1.891</v>
      </c>
      <c r="L19" s="585">
        <f>F19*K19</f>
        <v>255.285</v>
      </c>
    </row>
    <row r="20" spans="1:12" ht="12.75">
      <c r="A20" s="586"/>
      <c r="B20" s="586"/>
      <c r="C20" s="587" t="s">
        <v>87</v>
      </c>
      <c r="D20" s="588" t="s">
        <v>88</v>
      </c>
      <c r="E20" s="589"/>
      <c r="F20" s="589"/>
      <c r="G20" s="589"/>
      <c r="H20" s="590">
        <f>SUM(H21:H21)</f>
        <v>0</v>
      </c>
      <c r="I20" s="590">
        <f>SUM(I21:I21)</f>
        <v>0</v>
      </c>
      <c r="J20" s="590">
        <f t="shared" si="0"/>
        <v>0</v>
      </c>
      <c r="K20" s="591"/>
      <c r="L20" s="590">
        <f>SUM(L21:L21)</f>
        <v>8.28165</v>
      </c>
    </row>
    <row r="21" spans="1:12" ht="12.75">
      <c r="A21" s="584" t="s">
        <v>73</v>
      </c>
      <c r="B21" s="584"/>
      <c r="C21" s="584" t="s">
        <v>356</v>
      </c>
      <c r="D21" s="584" t="s">
        <v>357</v>
      </c>
      <c r="E21" s="584" t="s">
        <v>64</v>
      </c>
      <c r="F21" s="585">
        <v>97.5</v>
      </c>
      <c r="G21" s="585">
        <v>0</v>
      </c>
      <c r="H21" s="585">
        <f>F21*G21*0.466304347826087</f>
        <v>0</v>
      </c>
      <c r="I21" s="585">
        <f>F21*G21*(1-0.466304347826087)</f>
        <v>0</v>
      </c>
      <c r="J21" s="585">
        <f t="shared" si="0"/>
        <v>0</v>
      </c>
      <c r="K21" s="585">
        <v>0.08494</v>
      </c>
      <c r="L21" s="585">
        <f>F21*K21</f>
        <v>8.28165</v>
      </c>
    </row>
    <row r="22" spans="1:12" ht="12.75">
      <c r="A22" s="586"/>
      <c r="B22" s="586"/>
      <c r="C22" s="587" t="s">
        <v>105</v>
      </c>
      <c r="D22" s="588" t="s">
        <v>106</v>
      </c>
      <c r="E22" s="589"/>
      <c r="F22" s="589"/>
      <c r="G22" s="589"/>
      <c r="H22" s="590">
        <f>SUM(H23:H23)</f>
        <v>0</v>
      </c>
      <c r="I22" s="590">
        <f>SUM(I23:I23)</f>
        <v>0</v>
      </c>
      <c r="J22" s="590">
        <f t="shared" si="0"/>
        <v>0</v>
      </c>
      <c r="K22" s="591"/>
      <c r="L22" s="590">
        <f>SUM(L23:L23)</f>
        <v>0.05670000000000001</v>
      </c>
    </row>
    <row r="23" spans="1:12" ht="12.75">
      <c r="A23" s="584" t="s">
        <v>76</v>
      </c>
      <c r="B23" s="584"/>
      <c r="C23" s="584" t="s">
        <v>358</v>
      </c>
      <c r="D23" s="584" t="s">
        <v>359</v>
      </c>
      <c r="E23" s="584" t="s">
        <v>64</v>
      </c>
      <c r="F23" s="585">
        <v>56.7</v>
      </c>
      <c r="G23" s="585">
        <v>0</v>
      </c>
      <c r="H23" s="585">
        <f>F23*G23*0.00284802371932538</f>
        <v>0</v>
      </c>
      <c r="I23" s="585">
        <f>F23*G23*(1-0.00284802371932538)</f>
        <v>0</v>
      </c>
      <c r="J23" s="585">
        <f t="shared" si="0"/>
        <v>0</v>
      </c>
      <c r="K23" s="585">
        <v>0.001</v>
      </c>
      <c r="L23" s="585">
        <f>F23*K23</f>
        <v>0.05670000000000001</v>
      </c>
    </row>
    <row r="24" spans="1:12" ht="12.75">
      <c r="A24" s="586"/>
      <c r="B24" s="586"/>
      <c r="C24" s="587" t="s">
        <v>303</v>
      </c>
      <c r="D24" s="588" t="s">
        <v>304</v>
      </c>
      <c r="E24" s="589"/>
      <c r="F24" s="589"/>
      <c r="G24" s="589"/>
      <c r="H24" s="590">
        <f>SUM(H25:H27)</f>
        <v>0</v>
      </c>
      <c r="I24" s="590">
        <f>SUM(I25:I27)</f>
        <v>0</v>
      </c>
      <c r="J24" s="590">
        <f t="shared" si="0"/>
        <v>0</v>
      </c>
      <c r="K24" s="591"/>
      <c r="L24" s="590">
        <f>SUM(L25:L27)</f>
        <v>0.9596279999999999</v>
      </c>
    </row>
    <row r="25" spans="1:12" ht="12.75">
      <c r="A25" s="584" t="s">
        <v>79</v>
      </c>
      <c r="B25" s="584"/>
      <c r="C25" s="584" t="s">
        <v>338</v>
      </c>
      <c r="D25" s="584" t="s">
        <v>360</v>
      </c>
      <c r="E25" s="584" t="s">
        <v>64</v>
      </c>
      <c r="F25" s="585">
        <v>75.8</v>
      </c>
      <c r="G25" s="585">
        <v>0</v>
      </c>
      <c r="H25" s="585">
        <f>F25*G25*0.841681455639939</f>
        <v>0</v>
      </c>
      <c r="I25" s="585">
        <f>F25*G25*(1-0.841681455639939)</f>
        <v>0</v>
      </c>
      <c r="J25" s="585">
        <f t="shared" si="0"/>
        <v>0</v>
      </c>
      <c r="K25" s="585">
        <v>0.01266</v>
      </c>
      <c r="L25" s="585">
        <f>F25*K25</f>
        <v>0.9596279999999999</v>
      </c>
    </row>
    <row r="26" spans="1:12" ht="12.75">
      <c r="A26" s="584" t="s">
        <v>84</v>
      </c>
      <c r="B26" s="584"/>
      <c r="C26" s="584" t="s">
        <v>361</v>
      </c>
      <c r="D26" s="584" t="s">
        <v>362</v>
      </c>
      <c r="E26" s="584" t="s">
        <v>64</v>
      </c>
      <c r="F26" s="585">
        <v>88.8</v>
      </c>
      <c r="G26" s="585">
        <v>0</v>
      </c>
      <c r="H26" s="585">
        <f>F26*G26*0.763496780864613</f>
        <v>0</v>
      </c>
      <c r="I26" s="585">
        <f>F26*G26*(1-0.763496780864613)</f>
        <v>0</v>
      </c>
      <c r="J26" s="585">
        <f t="shared" si="0"/>
        <v>0</v>
      </c>
      <c r="K26" s="585">
        <v>0</v>
      </c>
      <c r="L26" s="585">
        <f>F26*K26</f>
        <v>0</v>
      </c>
    </row>
    <row r="27" spans="1:12" ht="12.75">
      <c r="A27" s="584" t="s">
        <v>89</v>
      </c>
      <c r="B27" s="584"/>
      <c r="C27" s="584" t="s">
        <v>363</v>
      </c>
      <c r="D27" s="584" t="s">
        <v>364</v>
      </c>
      <c r="E27" s="584" t="s">
        <v>64</v>
      </c>
      <c r="F27" s="585">
        <v>182</v>
      </c>
      <c r="G27" s="585">
        <v>0</v>
      </c>
      <c r="H27" s="585">
        <f>F27*G27*0.547724184782609</f>
        <v>0</v>
      </c>
      <c r="I27" s="585">
        <f>F27*G27*(1-0.547724184782609)</f>
        <v>0</v>
      </c>
      <c r="J27" s="585">
        <f t="shared" si="0"/>
        <v>0</v>
      </c>
      <c r="K27" s="585">
        <v>0</v>
      </c>
      <c r="L27" s="585">
        <f>F27*K27</f>
        <v>0</v>
      </c>
    </row>
    <row r="28" spans="1:12" ht="12.75">
      <c r="A28" s="586"/>
      <c r="B28" s="586"/>
      <c r="C28" s="587" t="s">
        <v>115</v>
      </c>
      <c r="D28" s="588" t="s">
        <v>116</v>
      </c>
      <c r="E28" s="589"/>
      <c r="F28" s="589"/>
      <c r="G28" s="589"/>
      <c r="H28" s="590">
        <f>SUM(H29:H32)</f>
        <v>0</v>
      </c>
      <c r="I28" s="590">
        <f>SUM(I29:I32)</f>
        <v>0</v>
      </c>
      <c r="J28" s="590">
        <f t="shared" si="0"/>
        <v>0</v>
      </c>
      <c r="K28" s="591"/>
      <c r="L28" s="590">
        <f>SUM(L29:L32)</f>
        <v>54.2695</v>
      </c>
    </row>
    <row r="29" spans="1:12" ht="12.75">
      <c r="A29" s="584" t="s">
        <v>92</v>
      </c>
      <c r="B29" s="584"/>
      <c r="C29" s="584" t="s">
        <v>344</v>
      </c>
      <c r="D29" s="584" t="s">
        <v>345</v>
      </c>
      <c r="E29" s="584" t="s">
        <v>120</v>
      </c>
      <c r="F29" s="585">
        <v>10</v>
      </c>
      <c r="G29" s="585">
        <v>0</v>
      </c>
      <c r="H29" s="585">
        <f>F29*G29*0.576092529608102</f>
        <v>0</v>
      </c>
      <c r="I29" s="585">
        <f>F29*G29*(1-0.576092529608102)</f>
        <v>0</v>
      </c>
      <c r="J29" s="585">
        <f t="shared" si="0"/>
        <v>0</v>
      </c>
      <c r="K29" s="585">
        <v>3.81325</v>
      </c>
      <c r="L29" s="585">
        <f>F29*K29</f>
        <v>38.1325</v>
      </c>
    </row>
    <row r="30" spans="1:12" ht="12.75">
      <c r="A30" s="584" t="s">
        <v>49</v>
      </c>
      <c r="B30" s="584"/>
      <c r="C30" s="584" t="s">
        <v>346</v>
      </c>
      <c r="D30" s="584" t="s">
        <v>347</v>
      </c>
      <c r="E30" s="584" t="s">
        <v>120</v>
      </c>
      <c r="F30" s="585">
        <v>4</v>
      </c>
      <c r="G30" s="585">
        <v>0</v>
      </c>
      <c r="H30" s="585">
        <f>F30*G30*0</f>
        <v>0</v>
      </c>
      <c r="I30" s="585">
        <f>F30*G30*(1-0)</f>
        <v>0</v>
      </c>
      <c r="J30" s="585">
        <f t="shared" si="0"/>
        <v>0</v>
      </c>
      <c r="K30" s="585">
        <v>0</v>
      </c>
      <c r="L30" s="585">
        <f>F30*K30</f>
        <v>0</v>
      </c>
    </row>
    <row r="31" spans="1:12" ht="12.75">
      <c r="A31" s="584" t="s">
        <v>96</v>
      </c>
      <c r="B31" s="584"/>
      <c r="C31" s="584" t="s">
        <v>315</v>
      </c>
      <c r="D31" s="584" t="s">
        <v>319</v>
      </c>
      <c r="E31" s="584" t="s">
        <v>64</v>
      </c>
      <c r="F31" s="585">
        <v>404</v>
      </c>
      <c r="G31" s="585">
        <v>0</v>
      </c>
      <c r="H31" s="585">
        <f>F31*G31*0.202922077922078</f>
        <v>0</v>
      </c>
      <c r="I31" s="585">
        <f>F31*G31*(1-0.202922077922078)</f>
        <v>0</v>
      </c>
      <c r="J31" s="585">
        <f t="shared" si="0"/>
        <v>0</v>
      </c>
      <c r="K31" s="585">
        <v>0</v>
      </c>
      <c r="L31" s="585">
        <f>F31*K31</f>
        <v>0</v>
      </c>
    </row>
    <row r="32" spans="1:12" ht="12.75">
      <c r="A32" s="584" t="s">
        <v>99</v>
      </c>
      <c r="B32" s="584"/>
      <c r="C32" s="584" t="s">
        <v>348</v>
      </c>
      <c r="D32" s="584" t="s">
        <v>349</v>
      </c>
      <c r="E32" s="584" t="s">
        <v>120</v>
      </c>
      <c r="F32" s="585">
        <v>11</v>
      </c>
      <c r="G32" s="585">
        <v>0</v>
      </c>
      <c r="H32" s="585">
        <f>F32*G32*0.223070100070172</f>
        <v>0</v>
      </c>
      <c r="I32" s="585">
        <f>F32*G32*(1-0.223070100070172)</f>
        <v>0</v>
      </c>
      <c r="J32" s="585">
        <f t="shared" si="0"/>
        <v>0</v>
      </c>
      <c r="K32" s="585">
        <v>1.467</v>
      </c>
      <c r="L32" s="585">
        <f>F32*K32</f>
        <v>16.137</v>
      </c>
    </row>
    <row r="33" spans="1:12" ht="12.75">
      <c r="A33" s="586"/>
      <c r="B33" s="586"/>
      <c r="C33" s="587" t="s">
        <v>322</v>
      </c>
      <c r="D33" s="588" t="s">
        <v>323</v>
      </c>
      <c r="E33" s="589"/>
      <c r="F33" s="589"/>
      <c r="G33" s="589"/>
      <c r="H33" s="590">
        <f>SUM(H34:H34)</f>
        <v>0</v>
      </c>
      <c r="I33" s="590">
        <f>SUM(I34:I34)</f>
        <v>0</v>
      </c>
      <c r="J33" s="590">
        <f t="shared" si="0"/>
        <v>0</v>
      </c>
      <c r="K33" s="591"/>
      <c r="L33" s="590">
        <f>SUM(L34:L34)</f>
        <v>0</v>
      </c>
    </row>
    <row r="34" spans="1:12" ht="12.75">
      <c r="A34" s="592" t="s">
        <v>102</v>
      </c>
      <c r="B34" s="592"/>
      <c r="C34" s="592" t="s">
        <v>352</v>
      </c>
      <c r="D34" s="592" t="s">
        <v>353</v>
      </c>
      <c r="E34" s="592" t="s">
        <v>155</v>
      </c>
      <c r="F34" s="593">
        <v>67</v>
      </c>
      <c r="G34" s="593">
        <v>0</v>
      </c>
      <c r="H34" s="593">
        <f>F34*G34*0</f>
        <v>0</v>
      </c>
      <c r="I34" s="593">
        <f>F34*G34*(1-0)</f>
        <v>0</v>
      </c>
      <c r="J34" s="593">
        <f t="shared" si="0"/>
        <v>0</v>
      </c>
      <c r="K34" s="593">
        <v>0</v>
      </c>
      <c r="L34" s="593">
        <f>F34*K34</f>
        <v>0</v>
      </c>
    </row>
    <row r="35" spans="1:12" ht="12.75">
      <c r="A35" s="594"/>
      <c r="B35" s="594"/>
      <c r="C35" s="594"/>
      <c r="D35" s="594"/>
      <c r="E35" s="594"/>
      <c r="F35" s="594"/>
      <c r="G35" s="594"/>
      <c r="H35" s="550" t="s">
        <v>159</v>
      </c>
      <c r="I35" s="595"/>
      <c r="J35" s="596">
        <f>J12+J15+J17+J20+J22+J24+J28+J33</f>
        <v>0</v>
      </c>
      <c r="K35" s="594"/>
      <c r="L35" s="594"/>
    </row>
    <row r="36" spans="1:12" ht="12.75">
      <c r="A36" s="597"/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</row>
  </sheetData>
  <mergeCells count="36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5:G15"/>
    <mergeCell ref="D28:G28"/>
    <mergeCell ref="D33:G33"/>
    <mergeCell ref="H35:I35"/>
    <mergeCell ref="D17:G17"/>
    <mergeCell ref="D20:G20"/>
    <mergeCell ref="D22:G22"/>
    <mergeCell ref="D24:G24"/>
  </mergeCells>
  <printOptions/>
  <pageMargins left="0.55" right="0.5" top="0.48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J33"/>
  <sheetViews>
    <sheetView workbookViewId="0" topLeftCell="A1">
      <selection activeCell="K23" sqref="K23"/>
    </sheetView>
  </sheetViews>
  <sheetFormatPr defaultColWidth="9.140625" defaultRowHeight="15"/>
  <cols>
    <col min="1" max="1" width="9.140625" style="547" customWidth="1"/>
    <col min="2" max="2" width="11.8515625" style="547" customWidth="1"/>
    <col min="3" max="3" width="21.7109375" style="547" customWidth="1"/>
    <col min="4" max="4" width="8.8515625" style="547" customWidth="1"/>
    <col min="5" max="5" width="14.00390625" style="547" customWidth="1"/>
    <col min="6" max="6" width="22.57421875" style="547" customWidth="1"/>
    <col min="7" max="7" width="9.140625" style="547" customWidth="1"/>
    <col min="8" max="8" width="11.8515625" style="547" customWidth="1"/>
    <col min="9" max="9" width="22.421875" style="547" customWidth="1"/>
    <col min="10" max="16384" width="11.421875" style="547" customWidth="1"/>
  </cols>
  <sheetData>
    <row r="1" spans="1:9" ht="28.5" customHeight="1">
      <c r="A1" s="598" t="s">
        <v>160</v>
      </c>
      <c r="B1" s="599"/>
      <c r="C1" s="599"/>
      <c r="D1" s="599"/>
      <c r="E1" s="599"/>
      <c r="F1" s="599"/>
      <c r="G1" s="599"/>
      <c r="H1" s="599"/>
      <c r="I1" s="599"/>
    </row>
    <row r="2" spans="1:10" ht="12.75">
      <c r="A2" s="600" t="s">
        <v>20</v>
      </c>
      <c r="B2" s="601"/>
      <c r="C2" s="602" t="s">
        <v>21</v>
      </c>
      <c r="D2" s="603"/>
      <c r="E2" s="604" t="s">
        <v>23</v>
      </c>
      <c r="F2" s="604"/>
      <c r="G2" s="601"/>
      <c r="H2" s="604" t="s">
        <v>161</v>
      </c>
      <c r="I2" s="605"/>
      <c r="J2" s="553"/>
    </row>
    <row r="3" spans="1:10" ht="12.75">
      <c r="A3" s="606"/>
      <c r="B3" s="607"/>
      <c r="C3" s="608"/>
      <c r="D3" s="608"/>
      <c r="E3" s="607"/>
      <c r="F3" s="607"/>
      <c r="G3" s="607"/>
      <c r="H3" s="607"/>
      <c r="I3" s="609"/>
      <c r="J3" s="553"/>
    </row>
    <row r="4" spans="1:10" ht="12.75">
      <c r="A4" s="610" t="s">
        <v>24</v>
      </c>
      <c r="B4" s="607"/>
      <c r="C4" s="611" t="s">
        <v>355</v>
      </c>
      <c r="D4" s="607"/>
      <c r="E4" s="611" t="s">
        <v>27</v>
      </c>
      <c r="F4" s="611"/>
      <c r="G4" s="607"/>
      <c r="H4" s="611" t="s">
        <v>161</v>
      </c>
      <c r="I4" s="612"/>
      <c r="J4" s="553"/>
    </row>
    <row r="5" spans="1:10" ht="12.75">
      <c r="A5" s="606"/>
      <c r="B5" s="607"/>
      <c r="C5" s="607"/>
      <c r="D5" s="607"/>
      <c r="E5" s="607"/>
      <c r="F5" s="607"/>
      <c r="G5" s="607"/>
      <c r="H5" s="607"/>
      <c r="I5" s="609"/>
      <c r="J5" s="553"/>
    </row>
    <row r="6" spans="1:10" ht="12.75">
      <c r="A6" s="610" t="s">
        <v>28</v>
      </c>
      <c r="B6" s="607"/>
      <c r="C6" s="611" t="s">
        <v>354</v>
      </c>
      <c r="D6" s="607"/>
      <c r="E6" s="611" t="s">
        <v>31</v>
      </c>
      <c r="F6" s="611"/>
      <c r="G6" s="607"/>
      <c r="H6" s="611" t="s">
        <v>161</v>
      </c>
      <c r="I6" s="612"/>
      <c r="J6" s="553"/>
    </row>
    <row r="7" spans="1:10" ht="12.75">
      <c r="A7" s="606"/>
      <c r="B7" s="607"/>
      <c r="C7" s="607"/>
      <c r="D7" s="607"/>
      <c r="E7" s="607"/>
      <c r="F7" s="607"/>
      <c r="G7" s="607"/>
      <c r="H7" s="607"/>
      <c r="I7" s="609"/>
      <c r="J7" s="553"/>
    </row>
    <row r="8" spans="1:10" ht="12.75">
      <c r="A8" s="610" t="s">
        <v>26</v>
      </c>
      <c r="B8" s="607"/>
      <c r="C8" s="613"/>
      <c r="D8" s="607"/>
      <c r="E8" s="611" t="s">
        <v>30</v>
      </c>
      <c r="F8" s="607"/>
      <c r="G8" s="607"/>
      <c r="H8" s="611" t="s">
        <v>162</v>
      </c>
      <c r="I8" s="612" t="s">
        <v>102</v>
      </c>
      <c r="J8" s="553"/>
    </row>
    <row r="9" spans="1:10" ht="12.75">
      <c r="A9" s="606"/>
      <c r="B9" s="607"/>
      <c r="C9" s="607"/>
      <c r="D9" s="607"/>
      <c r="E9" s="607"/>
      <c r="F9" s="607"/>
      <c r="G9" s="607"/>
      <c r="H9" s="607"/>
      <c r="I9" s="609"/>
      <c r="J9" s="553"/>
    </row>
    <row r="10" spans="1:10" ht="12.75">
      <c r="A10" s="610" t="s">
        <v>32</v>
      </c>
      <c r="B10" s="607"/>
      <c r="C10" s="611"/>
      <c r="D10" s="607"/>
      <c r="E10" s="611" t="s">
        <v>34</v>
      </c>
      <c r="F10" s="611"/>
      <c r="G10" s="607"/>
      <c r="H10" s="611" t="s">
        <v>163</v>
      </c>
      <c r="I10" s="614">
        <v>41014</v>
      </c>
      <c r="J10" s="553"/>
    </row>
    <row r="11" spans="1:10" ht="12.75">
      <c r="A11" s="615"/>
      <c r="B11" s="616"/>
      <c r="C11" s="616"/>
      <c r="D11" s="616"/>
      <c r="E11" s="616"/>
      <c r="F11" s="616"/>
      <c r="G11" s="616"/>
      <c r="H11" s="616"/>
      <c r="I11" s="617"/>
      <c r="J11" s="553"/>
    </row>
    <row r="12" spans="1:9" ht="23.25" customHeight="1">
      <c r="A12" s="618" t="s">
        <v>164</v>
      </c>
      <c r="B12" s="619"/>
      <c r="C12" s="619"/>
      <c r="D12" s="619"/>
      <c r="E12" s="619"/>
      <c r="F12" s="619"/>
      <c r="G12" s="619"/>
      <c r="H12" s="619"/>
      <c r="I12" s="619"/>
    </row>
    <row r="13" spans="1:10" ht="26.25" customHeight="1">
      <c r="A13" s="620" t="s">
        <v>165</v>
      </c>
      <c r="B13" s="621" t="s">
        <v>166</v>
      </c>
      <c r="C13" s="622"/>
      <c r="D13" s="620" t="s">
        <v>167</v>
      </c>
      <c r="E13" s="621" t="s">
        <v>168</v>
      </c>
      <c r="F13" s="622"/>
      <c r="G13" s="620" t="s">
        <v>169</v>
      </c>
      <c r="H13" s="621" t="s">
        <v>170</v>
      </c>
      <c r="I13" s="622"/>
      <c r="J13" s="553"/>
    </row>
    <row r="14" spans="1:10" ht="15" customHeight="1">
      <c r="A14" s="623" t="s">
        <v>171</v>
      </c>
      <c r="B14" s="624" t="s">
        <v>172</v>
      </c>
      <c r="C14" s="625">
        <f>SUM('Stavební rozpočet (6)'!H12+'Stavební rozpočet (6)'!H15+'Stavební rozpočet (6)'!H17+'Stavební rozpočet (6)'!H20+'Stavební rozpočet (6)'!H22+'Stavební rozpočet (6)'!H24+'Stavební rozpočet (6)'!H28+'Stavební rozpočet (6)'!H33)</f>
        <v>0</v>
      </c>
      <c r="D14" s="626" t="s">
        <v>173</v>
      </c>
      <c r="E14" s="627"/>
      <c r="F14" s="625">
        <v>0</v>
      </c>
      <c r="G14" s="626" t="s">
        <v>174</v>
      </c>
      <c r="H14" s="627"/>
      <c r="I14" s="625">
        <v>0</v>
      </c>
      <c r="J14" s="553"/>
    </row>
    <row r="15" spans="1:10" ht="15" customHeight="1">
      <c r="A15" s="628"/>
      <c r="B15" s="624" t="s">
        <v>47</v>
      </c>
      <c r="C15" s="625">
        <f>SUM('Stavební rozpočet (6)'!I12+'Stavební rozpočet (6)'!I15+'Stavební rozpočet (6)'!I17+'Stavební rozpočet (6)'!I20+'Stavební rozpočet (6)'!I22+'Stavební rozpočet (6)'!I24+'Stavební rozpočet (6)'!I28+'Stavební rozpočet (6)'!I33)</f>
        <v>0</v>
      </c>
      <c r="D15" s="626" t="s">
        <v>175</v>
      </c>
      <c r="E15" s="627"/>
      <c r="F15" s="625">
        <v>0</v>
      </c>
      <c r="G15" s="626" t="s">
        <v>176</v>
      </c>
      <c r="H15" s="627"/>
      <c r="I15" s="625">
        <v>0</v>
      </c>
      <c r="J15" s="553"/>
    </row>
    <row r="16" spans="1:10" ht="15" customHeight="1">
      <c r="A16" s="623" t="s">
        <v>177</v>
      </c>
      <c r="B16" s="624" t="s">
        <v>172</v>
      </c>
      <c r="C16" s="625">
        <v>0</v>
      </c>
      <c r="D16" s="626" t="s">
        <v>178</v>
      </c>
      <c r="E16" s="627"/>
      <c r="F16" s="625">
        <v>0</v>
      </c>
      <c r="G16" s="626" t="s">
        <v>179</v>
      </c>
      <c r="H16" s="627"/>
      <c r="I16" s="625">
        <v>0</v>
      </c>
      <c r="J16" s="553"/>
    </row>
    <row r="17" spans="1:10" ht="15" customHeight="1">
      <c r="A17" s="628"/>
      <c r="B17" s="624" t="s">
        <v>47</v>
      </c>
      <c r="C17" s="625">
        <v>0</v>
      </c>
      <c r="D17" s="626"/>
      <c r="E17" s="627"/>
      <c r="F17" s="629"/>
      <c r="G17" s="626" t="s">
        <v>180</v>
      </c>
      <c r="H17" s="627"/>
      <c r="I17" s="625">
        <v>0</v>
      </c>
      <c r="J17" s="553"/>
    </row>
    <row r="18" spans="1:10" ht="15" customHeight="1">
      <c r="A18" s="623" t="s">
        <v>181</v>
      </c>
      <c r="B18" s="624" t="s">
        <v>172</v>
      </c>
      <c r="C18" s="625">
        <v>0</v>
      </c>
      <c r="D18" s="626"/>
      <c r="E18" s="627"/>
      <c r="F18" s="629"/>
      <c r="G18" s="626" t="s">
        <v>182</v>
      </c>
      <c r="H18" s="627"/>
      <c r="I18" s="625">
        <v>0</v>
      </c>
      <c r="J18" s="553"/>
    </row>
    <row r="19" spans="1:10" ht="15" customHeight="1">
      <c r="A19" s="628"/>
      <c r="B19" s="624" t="s">
        <v>47</v>
      </c>
      <c r="C19" s="625">
        <v>0</v>
      </c>
      <c r="D19" s="626"/>
      <c r="E19" s="627"/>
      <c r="F19" s="629"/>
      <c r="G19" s="626" t="s">
        <v>183</v>
      </c>
      <c r="H19" s="627"/>
      <c r="I19" s="625">
        <v>0</v>
      </c>
      <c r="J19" s="553"/>
    </row>
    <row r="20" spans="1:10" ht="15" customHeight="1">
      <c r="A20" s="630" t="s">
        <v>184</v>
      </c>
      <c r="B20" s="631"/>
      <c r="C20" s="625">
        <v>0</v>
      </c>
      <c r="D20" s="626"/>
      <c r="E20" s="627"/>
      <c r="F20" s="629"/>
      <c r="G20" s="626"/>
      <c r="H20" s="627"/>
      <c r="I20" s="629"/>
      <c r="J20" s="553"/>
    </row>
    <row r="21" spans="1:10" ht="15" customHeight="1">
      <c r="A21" s="630" t="s">
        <v>185</v>
      </c>
      <c r="B21" s="631"/>
      <c r="C21" s="625"/>
      <c r="D21" s="626"/>
      <c r="E21" s="627"/>
      <c r="F21" s="629"/>
      <c r="G21" s="626"/>
      <c r="H21" s="627"/>
      <c r="I21" s="629"/>
      <c r="J21" s="553"/>
    </row>
    <row r="22" spans="1:10" ht="39.75" customHeight="1">
      <c r="A22" s="630" t="s">
        <v>186</v>
      </c>
      <c r="B22" s="631"/>
      <c r="C22" s="625">
        <f>SUM(C14:C15)</f>
        <v>0</v>
      </c>
      <c r="D22" s="630" t="s">
        <v>187</v>
      </c>
      <c r="E22" s="631"/>
      <c r="F22" s="625">
        <f>SUM(F14:F16)</f>
        <v>0</v>
      </c>
      <c r="G22" s="630" t="s">
        <v>188</v>
      </c>
      <c r="H22" s="631"/>
      <c r="I22" s="625">
        <v>0</v>
      </c>
      <c r="J22" s="553"/>
    </row>
    <row r="23" spans="1:9" ht="12.75">
      <c r="A23" s="632"/>
      <c r="B23" s="632"/>
      <c r="C23" s="632"/>
      <c r="D23" s="633"/>
      <c r="E23" s="633"/>
      <c r="F23" s="633"/>
      <c r="G23" s="633"/>
      <c r="H23" s="633"/>
      <c r="I23" s="633"/>
    </row>
    <row r="24" spans="1:9" ht="15" customHeight="1">
      <c r="A24" s="634" t="s">
        <v>189</v>
      </c>
      <c r="B24" s="635"/>
      <c r="C24" s="636">
        <v>0</v>
      </c>
      <c r="D24" s="637"/>
      <c r="E24" s="638"/>
      <c r="F24" s="638"/>
      <c r="G24" s="638"/>
      <c r="H24" s="638"/>
      <c r="I24" s="638"/>
    </row>
    <row r="25" spans="1:10" ht="15" customHeight="1">
      <c r="A25" s="634" t="s">
        <v>190</v>
      </c>
      <c r="B25" s="635"/>
      <c r="C25" s="636">
        <v>0</v>
      </c>
      <c r="D25" s="634" t="s">
        <v>191</v>
      </c>
      <c r="E25" s="635"/>
      <c r="F25" s="636">
        <v>0</v>
      </c>
      <c r="G25" s="634" t="s">
        <v>192</v>
      </c>
      <c r="H25" s="635"/>
      <c r="I25" s="636">
        <f>SUM(C26)</f>
        <v>0</v>
      </c>
      <c r="J25" s="553"/>
    </row>
    <row r="26" spans="1:10" ht="15" customHeight="1">
      <c r="A26" s="634" t="s">
        <v>193</v>
      </c>
      <c r="B26" s="635"/>
      <c r="C26" s="636">
        <f>SUM(C22+F22+I22)</f>
        <v>0</v>
      </c>
      <c r="D26" s="634" t="s">
        <v>194</v>
      </c>
      <c r="E26" s="635"/>
      <c r="F26" s="636">
        <f>SUM(C26/100*20)</f>
        <v>0</v>
      </c>
      <c r="G26" s="634" t="s">
        <v>195</v>
      </c>
      <c r="H26" s="635"/>
      <c r="I26" s="636">
        <f>SUM(C26+F26)</f>
        <v>0</v>
      </c>
      <c r="J26" s="553"/>
    </row>
    <row r="27" spans="1:9" ht="12.75">
      <c r="A27" s="639"/>
      <c r="B27" s="639"/>
      <c r="C27" s="639"/>
      <c r="D27" s="639"/>
      <c r="E27" s="639"/>
      <c r="F27" s="639"/>
      <c r="G27" s="639"/>
      <c r="H27" s="639"/>
      <c r="I27" s="639"/>
    </row>
    <row r="28" spans="1:10" ht="14.25" customHeight="1">
      <c r="A28" s="640" t="s">
        <v>196</v>
      </c>
      <c r="B28" s="641"/>
      <c r="C28" s="642"/>
      <c r="D28" s="640" t="s">
        <v>197</v>
      </c>
      <c r="E28" s="641"/>
      <c r="F28" s="642"/>
      <c r="G28" s="640" t="s">
        <v>198</v>
      </c>
      <c r="H28" s="641"/>
      <c r="I28" s="642"/>
      <c r="J28" s="570"/>
    </row>
    <row r="29" spans="1:10" ht="14.25" customHeight="1">
      <c r="A29" s="643"/>
      <c r="B29" s="644"/>
      <c r="C29" s="645"/>
      <c r="D29" s="643"/>
      <c r="E29" s="644"/>
      <c r="F29" s="645"/>
      <c r="G29" s="643"/>
      <c r="H29" s="644"/>
      <c r="I29" s="645"/>
      <c r="J29" s="570"/>
    </row>
    <row r="30" spans="1:10" ht="14.25" customHeight="1">
      <c r="A30" s="643"/>
      <c r="B30" s="644"/>
      <c r="C30" s="645"/>
      <c r="D30" s="643"/>
      <c r="E30" s="644"/>
      <c r="F30" s="645"/>
      <c r="G30" s="643"/>
      <c r="H30" s="644"/>
      <c r="I30" s="645"/>
      <c r="J30" s="570"/>
    </row>
    <row r="31" spans="1:10" ht="14.25" customHeight="1">
      <c r="A31" s="643"/>
      <c r="B31" s="644"/>
      <c r="C31" s="645"/>
      <c r="D31" s="643"/>
      <c r="E31" s="644"/>
      <c r="F31" s="645"/>
      <c r="G31" s="643"/>
      <c r="H31" s="644"/>
      <c r="I31" s="645"/>
      <c r="J31" s="570"/>
    </row>
    <row r="32" spans="1:10" ht="14.25" customHeight="1">
      <c r="A32" s="646" t="s">
        <v>199</v>
      </c>
      <c r="B32" s="647"/>
      <c r="C32" s="648"/>
      <c r="D32" s="646" t="s">
        <v>199</v>
      </c>
      <c r="E32" s="647"/>
      <c r="F32" s="648"/>
      <c r="G32" s="646" t="s">
        <v>199</v>
      </c>
      <c r="H32" s="647"/>
      <c r="I32" s="648"/>
      <c r="J32" s="570"/>
    </row>
    <row r="33" spans="1:9" ht="12.75">
      <c r="A33" s="649"/>
      <c r="B33" s="649"/>
      <c r="C33" s="649"/>
      <c r="D33" s="649"/>
      <c r="E33" s="649"/>
      <c r="F33" s="649"/>
      <c r="G33" s="649"/>
      <c r="H33" s="649"/>
      <c r="I33" s="649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0.59" bottom="0.5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Přemek</dc:creator>
  <cp:keywords/>
  <dc:description/>
  <cp:lastModifiedBy>Intel</cp:lastModifiedBy>
  <cp:lastPrinted>2012-04-18T06:48:59Z</cp:lastPrinted>
  <dcterms:created xsi:type="dcterms:W3CDTF">2009-09-22T09:49:03Z</dcterms:created>
  <dcterms:modified xsi:type="dcterms:W3CDTF">2012-06-13T10:44:32Z</dcterms:modified>
  <cp:category/>
  <cp:version/>
  <cp:contentType/>
  <cp:contentStatus/>
</cp:coreProperties>
</file>