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9840" windowHeight="11325" tabRatio="824" firstSheet="7" activeTab="10"/>
  </bookViews>
  <sheets>
    <sheet name="Energetické vstupy" sheetId="2" r:id="rId1"/>
    <sheet name="Vlastní zdoje energie" sheetId="3" r:id="rId2"/>
    <sheet name="Energetická bilance" sheetId="4" r:id="rId3"/>
    <sheet name="Ekonomické hodnocení" sheetId="5" r:id="rId4"/>
    <sheet name="Obálka budovy" sheetId="7" r:id="rId5"/>
    <sheet name="Emise" sheetId="6" r:id="rId6"/>
    <sheet name="Výpočet spotřeby tepla" sheetId="9" r:id="rId7"/>
    <sheet name="Denostupně" sheetId="8" r:id="rId8"/>
    <sheet name="Spotřeby energie" sheetId="11" r:id="rId9"/>
    <sheet name="Potřeba TV" sheetId="10" r:id="rId10"/>
    <sheet name="LED světla" sheetId="12" r:id="rId11"/>
    <sheet name="Evidenční list" sheetId="13" r:id="rId12"/>
  </sheets>
  <calcPr calcId="125725" iterateCount="1"/>
</workbook>
</file>

<file path=xl/calcChain.xml><?xml version="1.0" encoding="utf-8"?>
<calcChain xmlns="http://schemas.openxmlformats.org/spreadsheetml/2006/main">
  <c r="AC48" i="13"/>
  <c r="AC49"/>
  <c r="AC50"/>
  <c r="AC51"/>
  <c r="AC47"/>
  <c r="Y48"/>
  <c r="Y49"/>
  <c r="Y50"/>
  <c r="Y51"/>
  <c r="Y47"/>
  <c r="T48"/>
  <c r="T49"/>
  <c r="T50"/>
  <c r="T51"/>
  <c r="T47"/>
  <c r="AA42"/>
  <c r="AA41"/>
  <c r="AA40"/>
  <c r="T42"/>
  <c r="T41"/>
  <c r="T40"/>
  <c r="M37"/>
  <c r="O37" s="1"/>
  <c r="M36"/>
  <c r="M35"/>
  <c r="M33"/>
  <c r="M32"/>
  <c r="O32" s="1"/>
  <c r="M31"/>
  <c r="K32"/>
  <c r="C11" i="4"/>
  <c r="K37" i="13"/>
  <c r="K36"/>
  <c r="K35"/>
  <c r="K31"/>
  <c r="O31" s="1"/>
  <c r="K33"/>
  <c r="O33" s="1"/>
  <c r="R27"/>
  <c r="O28"/>
  <c r="O27"/>
  <c r="M28"/>
  <c r="M27"/>
  <c r="Q28" s="1"/>
  <c r="K28"/>
  <c r="Q29" s="1"/>
  <c r="K27"/>
  <c r="D22"/>
  <c r="D21"/>
  <c r="D20"/>
  <c r="D18"/>
  <c r="D17"/>
  <c r="D16"/>
  <c r="O36"/>
  <c r="O35"/>
  <c r="O34"/>
  <c r="D23"/>
  <c r="Q27" l="1"/>
  <c r="T27"/>
  <c r="C35" i="2"/>
  <c r="C28"/>
  <c r="C41" i="11"/>
  <c r="E16" i="4"/>
  <c r="C34" i="2"/>
  <c r="D34"/>
  <c r="E34"/>
  <c r="F34"/>
  <c r="B34"/>
  <c r="A34"/>
  <c r="F27"/>
  <c r="F19"/>
  <c r="E19"/>
  <c r="C19"/>
  <c r="E27"/>
  <c r="C27"/>
  <c r="B43" i="11"/>
  <c r="B42"/>
  <c r="B41"/>
  <c r="I46"/>
  <c r="J46" s="1"/>
  <c r="H46"/>
  <c r="C52"/>
  <c r="J9"/>
  <c r="D23"/>
  <c r="D22"/>
  <c r="G6" i="5" l="1"/>
  <c r="E6"/>
  <c r="K8"/>
  <c r="K3" s="1"/>
  <c r="K18"/>
  <c r="K7"/>
  <c r="F7"/>
  <c r="K6"/>
  <c r="K17"/>
  <c r="K16"/>
  <c r="F19"/>
  <c r="G17"/>
  <c r="E16"/>
  <c r="G16" s="1"/>
  <c r="E18"/>
  <c r="G18" s="1"/>
  <c r="G24"/>
  <c r="G19" s="1"/>
  <c r="H24"/>
  <c r="H19" s="1"/>
  <c r="C3" i="12"/>
  <c r="C4" s="1"/>
  <c r="B3"/>
  <c r="D3" s="1"/>
  <c r="B11" i="11" s="1"/>
  <c r="G20" i="5" l="1"/>
  <c r="H9"/>
  <c r="B4" i="12"/>
  <c r="D4" s="1"/>
  <c r="D5" s="1"/>
  <c r="D17" i="4"/>
  <c r="C17" s="1"/>
  <c r="D16"/>
  <c r="D15"/>
  <c r="C15" s="1"/>
  <c r="N52" i="11"/>
  <c r="T52"/>
  <c r="C43"/>
  <c r="D43" s="1"/>
  <c r="C42"/>
  <c r="J53"/>
  <c r="E51" i="9"/>
  <c r="E28"/>
  <c r="E5"/>
  <c r="D62"/>
  <c r="D63" s="1"/>
  <c r="R8" i="6"/>
  <c r="M38" i="4" l="1"/>
  <c r="L38" s="1"/>
  <c r="M19"/>
  <c r="L19" s="1"/>
  <c r="C31" i="11"/>
  <c r="C30"/>
  <c r="B30" s="1"/>
  <c r="C32"/>
  <c r="D41"/>
  <c r="D42"/>
  <c r="F28" i="9" l="1"/>
  <c r="F8" i="5" l="1"/>
  <c r="G8"/>
  <c r="K12" i="11" l="1"/>
  <c r="G9"/>
  <c r="B26"/>
  <c r="I9" l="1"/>
  <c r="B45"/>
  <c r="B44"/>
  <c r="C44" l="1"/>
  <c r="C45"/>
  <c r="D44" l="1"/>
  <c r="D45"/>
  <c r="E29" i="9" l="1"/>
  <c r="E52" s="1"/>
  <c r="E21"/>
  <c r="H21" s="1"/>
  <c r="J16" i="11" l="1"/>
  <c r="D6" i="10" l="1"/>
  <c r="E36" i="9" l="1"/>
  <c r="E59" s="1"/>
  <c r="B23" i="10"/>
  <c r="C26" i="11" l="1"/>
  <c r="C25"/>
  <c r="K10" l="1"/>
  <c r="F33" i="10"/>
  <c r="F31" s="1"/>
  <c r="F29" s="1"/>
  <c r="E29" s="1"/>
  <c r="C1" i="11"/>
  <c r="F28" i="10"/>
  <c r="D44" i="2"/>
  <c r="D41"/>
  <c r="E44"/>
  <c r="A41"/>
  <c r="F30" i="10"/>
  <c r="E30" s="1"/>
  <c r="G9" i="5" l="1"/>
  <c r="D24" i="11" l="1"/>
  <c r="D26" l="1"/>
  <c r="B15" s="1"/>
  <c r="B14" s="1"/>
  <c r="D20" i="4" s="1"/>
  <c r="B25" i="11"/>
  <c r="E37" i="9"/>
  <c r="E60" s="1"/>
  <c r="E35"/>
  <c r="E58" s="1"/>
  <c r="E34"/>
  <c r="E57" s="1"/>
  <c r="E32"/>
  <c r="E55" s="1"/>
  <c r="E31"/>
  <c r="E54" s="1"/>
  <c r="E30"/>
  <c r="E53" s="1"/>
  <c r="D34" i="11"/>
  <c r="E56" i="9" l="1"/>
  <c r="E61" s="1"/>
  <c r="E65" s="1"/>
  <c r="D25" i="11"/>
  <c r="D39" i="9"/>
  <c r="D40" s="1"/>
  <c r="E31" i="10"/>
  <c r="E10" i="9"/>
  <c r="E15" s="1"/>
  <c r="E22" s="1"/>
  <c r="H40" i="11" l="1"/>
  <c r="C7" i="2" s="1"/>
  <c r="E7" s="1"/>
  <c r="L22" i="6" s="1"/>
  <c r="E33" i="10"/>
  <c r="E19" i="9"/>
  <c r="D14" i="4"/>
  <c r="I11" i="11"/>
  <c r="C26" i="2" l="1"/>
  <c r="K31" i="6" s="1"/>
  <c r="C6" i="2"/>
  <c r="E6" s="1"/>
  <c r="C13" i="4"/>
  <c r="D13" s="1"/>
  <c r="H19" i="9"/>
  <c r="G7" i="5"/>
  <c r="G10" s="1"/>
  <c r="E33" i="2" l="1"/>
  <c r="K22" i="6"/>
  <c r="G19" i="9"/>
  <c r="E26" i="2"/>
  <c r="K13" i="5"/>
  <c r="C14" i="4"/>
  <c r="C33" i="2" l="1"/>
  <c r="J13" i="4"/>
  <c r="I13"/>
  <c r="E33" i="9"/>
  <c r="E38" s="1"/>
  <c r="M14" i="4" s="1"/>
  <c r="K9" i="11"/>
  <c r="E28" i="10"/>
  <c r="O42" i="5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5"/>
  <c r="O6" s="1"/>
  <c r="M33" i="4" l="1"/>
  <c r="I32"/>
  <c r="J32"/>
  <c r="C16"/>
  <c r="E42" i="9"/>
  <c r="L52" i="5"/>
  <c r="L53" s="1"/>
  <c r="L54" s="1"/>
  <c r="L55" s="1"/>
  <c r="L56" s="1"/>
  <c r="L57" s="1"/>
  <c r="L58" s="1"/>
  <c r="L59" s="1"/>
  <c r="L60" s="1"/>
  <c r="L61" s="1"/>
  <c r="L62" s="1"/>
  <c r="L15"/>
  <c r="L16" s="1"/>
  <c r="L17" s="1"/>
  <c r="L18" s="1"/>
  <c r="L19" s="1"/>
  <c r="L20" s="1"/>
  <c r="L21" s="1"/>
  <c r="L22" s="1"/>
  <c r="L23" s="1"/>
  <c r="L24" s="1"/>
  <c r="L25" s="1"/>
  <c r="O7"/>
  <c r="O8" s="1"/>
  <c r="O9" s="1"/>
  <c r="O10" s="1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T8" i="6"/>
  <c r="Q8"/>
  <c r="T7"/>
  <c r="R7"/>
  <c r="Q7"/>
  <c r="T6"/>
  <c r="R6"/>
  <c r="Q6"/>
  <c r="T5"/>
  <c r="R5"/>
  <c r="K27" s="1"/>
  <c r="Q5"/>
  <c r="T4"/>
  <c r="R4"/>
  <c r="Q4"/>
  <c r="T3"/>
  <c r="R3"/>
  <c r="K25" s="1"/>
  <c r="Q3"/>
  <c r="L45" i="4"/>
  <c r="M45"/>
  <c r="N45"/>
  <c r="L47"/>
  <c r="M47"/>
  <c r="N47"/>
  <c r="L56"/>
  <c r="M56"/>
  <c r="N56"/>
  <c r="I45"/>
  <c r="J45"/>
  <c r="K45"/>
  <c r="I47"/>
  <c r="J47"/>
  <c r="K47"/>
  <c r="I56"/>
  <c r="J56"/>
  <c r="K56"/>
  <c r="I26"/>
  <c r="O26" s="1"/>
  <c r="J26"/>
  <c r="P26" s="1"/>
  <c r="K26"/>
  <c r="Q26" s="1"/>
  <c r="I28"/>
  <c r="O28" s="1"/>
  <c r="J28"/>
  <c r="P28" s="1"/>
  <c r="K28"/>
  <c r="Q28" s="1"/>
  <c r="I34"/>
  <c r="J34"/>
  <c r="I36"/>
  <c r="J36"/>
  <c r="M36" s="1"/>
  <c r="L36" s="1"/>
  <c r="I37"/>
  <c r="O37" s="1"/>
  <c r="J37"/>
  <c r="P37" s="1"/>
  <c r="K37"/>
  <c r="Q37" s="1"/>
  <c r="I7"/>
  <c r="O7" s="1"/>
  <c r="J7"/>
  <c r="P7" s="1"/>
  <c r="K7"/>
  <c r="Q7" s="1"/>
  <c r="I9"/>
  <c r="O9" s="1"/>
  <c r="J9"/>
  <c r="P9" s="1"/>
  <c r="K9"/>
  <c r="Q9" s="1"/>
  <c r="I15"/>
  <c r="J15"/>
  <c r="I17"/>
  <c r="J17"/>
  <c r="I18"/>
  <c r="O18" s="1"/>
  <c r="J18"/>
  <c r="P18" s="1"/>
  <c r="K18"/>
  <c r="Q18" s="1"/>
  <c r="P17" l="1"/>
  <c r="M17"/>
  <c r="P15"/>
  <c r="M15"/>
  <c r="P34"/>
  <c r="M34"/>
  <c r="L13"/>
  <c r="M13" s="1"/>
  <c r="Q56"/>
  <c r="O56"/>
  <c r="P47"/>
  <c r="E39" i="9"/>
  <c r="E62" s="1"/>
  <c r="Q45" i="4"/>
  <c r="P56"/>
  <c r="Q47"/>
  <c r="O47"/>
  <c r="P45"/>
  <c r="L14"/>
  <c r="O45"/>
  <c r="D33" i="2"/>
  <c r="D26"/>
  <c r="I51" i="4" l="1"/>
  <c r="O13"/>
  <c r="L34"/>
  <c r="M53"/>
  <c r="L15"/>
  <c r="J53"/>
  <c r="P53" s="1"/>
  <c r="L17"/>
  <c r="J55"/>
  <c r="E67" i="9"/>
  <c r="E68"/>
  <c r="E69" s="1"/>
  <c r="E63"/>
  <c r="J51" i="4"/>
  <c r="P13"/>
  <c r="D32" i="3"/>
  <c r="D33" s="1"/>
  <c r="E23" i="9"/>
  <c r="I12" i="4"/>
  <c r="E44" i="9"/>
  <c r="E40"/>
  <c r="D62" i="3" s="1"/>
  <c r="E45" i="9"/>
  <c r="L33" i="4"/>
  <c r="D8" i="10"/>
  <c r="D16" i="9"/>
  <c r="D17" s="1"/>
  <c r="F16" i="8"/>
  <c r="I55" i="4" l="1"/>
  <c r="O17"/>
  <c r="I53"/>
  <c r="O15"/>
  <c r="L53"/>
  <c r="O34"/>
  <c r="L32"/>
  <c r="M32" s="1"/>
  <c r="J12"/>
  <c r="J31" s="1"/>
  <c r="I50"/>
  <c r="M12"/>
  <c r="J50" s="1"/>
  <c r="B31" i="11"/>
  <c r="E28" i="2"/>
  <c r="E29" s="1"/>
  <c r="D66" i="3"/>
  <c r="E46" i="9"/>
  <c r="B32" i="11"/>
  <c r="I31" i="4"/>
  <c r="O12"/>
  <c r="K11" i="11"/>
  <c r="K13" s="1"/>
  <c r="F6" i="2" s="1"/>
  <c r="E6" i="10"/>
  <c r="E8" s="1"/>
  <c r="B14" s="1"/>
  <c r="B16" s="1"/>
  <c r="F14" i="8"/>
  <c r="B24" i="10"/>
  <c r="E24" s="1"/>
  <c r="D24" s="1"/>
  <c r="F31" i="8"/>
  <c r="O32" i="4" l="1"/>
  <c r="L31" i="6"/>
  <c r="L35" s="1"/>
  <c r="O53" i="4"/>
  <c r="L51"/>
  <c r="O51" s="1"/>
  <c r="E14" i="10"/>
  <c r="D14" s="1"/>
  <c r="D16" s="1"/>
  <c r="I32" i="3"/>
  <c r="P12" i="4"/>
  <c r="M51"/>
  <c r="P51" s="1"/>
  <c r="P32"/>
  <c r="O31"/>
  <c r="M6"/>
  <c r="M8" s="1"/>
  <c r="M10" s="1"/>
  <c r="D67" i="3"/>
  <c r="D43"/>
  <c r="D39" s="1"/>
  <c r="I28"/>
  <c r="L50" i="4"/>
  <c r="O50" s="1"/>
  <c r="M31"/>
  <c r="M50" s="1"/>
  <c r="P50" s="1"/>
  <c r="B22" i="10"/>
  <c r="B25" s="1"/>
  <c r="H6" i="2"/>
  <c r="I24" i="5" s="1"/>
  <c r="J11" i="11"/>
  <c r="D51" i="3"/>
  <c r="I33" i="4"/>
  <c r="O33" s="1"/>
  <c r="I14"/>
  <c r="L52"/>
  <c r="E16" i="10"/>
  <c r="E23"/>
  <c r="D23" s="1"/>
  <c r="E31" i="11"/>
  <c r="L34" i="6" l="1"/>
  <c r="L38"/>
  <c r="L37"/>
  <c r="L36"/>
  <c r="I9" i="5"/>
  <c r="I19"/>
  <c r="J19" s="1"/>
  <c r="C23" i="4"/>
  <c r="F26" i="2"/>
  <c r="F33"/>
  <c r="E22" i="10"/>
  <c r="D22" s="1"/>
  <c r="E30" i="11"/>
  <c r="L6" i="4"/>
  <c r="L8" s="1"/>
  <c r="P31"/>
  <c r="B33" i="11"/>
  <c r="C33"/>
  <c r="I63" i="3"/>
  <c r="F29" i="8"/>
  <c r="F44"/>
  <c r="E32" i="11"/>
  <c r="D47" i="3"/>
  <c r="O14" i="4"/>
  <c r="J52"/>
  <c r="I52"/>
  <c r="O52" s="1"/>
  <c r="M52"/>
  <c r="J33"/>
  <c r="P33" s="1"/>
  <c r="J14"/>
  <c r="I35"/>
  <c r="I16"/>
  <c r="C26" l="1"/>
  <c r="N19"/>
  <c r="N15"/>
  <c r="K53" s="1"/>
  <c r="E15"/>
  <c r="N34"/>
  <c r="N53" s="1"/>
  <c r="N36"/>
  <c r="N17"/>
  <c r="K55" s="1"/>
  <c r="E17"/>
  <c r="E20"/>
  <c r="E33" i="11"/>
  <c r="C34" s="1"/>
  <c r="F19" i="9" s="1"/>
  <c r="E25" i="10"/>
  <c r="I67" i="3"/>
  <c r="I44" s="1"/>
  <c r="I40" s="1"/>
  <c r="P14" i="4"/>
  <c r="I52" i="3"/>
  <c r="M68" s="1"/>
  <c r="P52" i="4"/>
  <c r="I44"/>
  <c r="J35"/>
  <c r="M35" s="1"/>
  <c r="J16"/>
  <c r="I17" i="3"/>
  <c r="D25" i="10"/>
  <c r="K36" i="4" l="1"/>
  <c r="K17"/>
  <c r="Q17" s="1"/>
  <c r="K15"/>
  <c r="Q15" s="1"/>
  <c r="K34"/>
  <c r="Q34" s="1"/>
  <c r="Q53"/>
  <c r="L55"/>
  <c r="O55" s="1"/>
  <c r="O36"/>
  <c r="I68" i="3"/>
  <c r="I48"/>
  <c r="M16" i="4"/>
  <c r="L35"/>
  <c r="L54" s="1"/>
  <c r="B34" i="11"/>
  <c r="B51" s="1"/>
  <c r="C51" s="1"/>
  <c r="M54" i="4"/>
  <c r="L10"/>
  <c r="J44"/>
  <c r="G34" i="2"/>
  <c r="M55" i="4" l="1"/>
  <c r="P55" s="1"/>
  <c r="P36"/>
  <c r="C41" i="2"/>
  <c r="C29" i="4"/>
  <c r="N38" s="1"/>
  <c r="O35"/>
  <c r="P16"/>
  <c r="E35" i="2"/>
  <c r="J41" i="11"/>
  <c r="J40"/>
  <c r="L16" i="4"/>
  <c r="J54"/>
  <c r="P54" s="1"/>
  <c r="I33" i="3"/>
  <c r="I9"/>
  <c r="I5" s="1"/>
  <c r="I13"/>
  <c r="P35" i="4"/>
  <c r="I46"/>
  <c r="I48"/>
  <c r="K29" i="6"/>
  <c r="K28"/>
  <c r="K26"/>
  <c r="J46" i="4"/>
  <c r="L29" i="6" l="1"/>
  <c r="M29" s="1"/>
  <c r="B10" s="1"/>
  <c r="L27"/>
  <c r="M27" s="1"/>
  <c r="B8" s="1"/>
  <c r="L25"/>
  <c r="L28"/>
  <c r="M28" s="1"/>
  <c r="B9" s="1"/>
  <c r="L26"/>
  <c r="M26" s="1"/>
  <c r="B7" s="1"/>
  <c r="N55" i="4"/>
  <c r="Q55" s="1"/>
  <c r="Q36"/>
  <c r="E41" i="2"/>
  <c r="E43" s="1"/>
  <c r="C43"/>
  <c r="L40" i="6"/>
  <c r="J42" i="11"/>
  <c r="F7" i="2" s="1"/>
  <c r="H8" s="1"/>
  <c r="F28" s="1"/>
  <c r="F29" s="1"/>
  <c r="I54" i="4"/>
  <c r="O54" s="1"/>
  <c r="O16"/>
  <c r="E22" i="2"/>
  <c r="E20"/>
  <c r="D6" i="4" s="1"/>
  <c r="J6" s="1"/>
  <c r="P6" s="1"/>
  <c r="J48"/>
  <c r="L46" i="6" l="1"/>
  <c r="L44"/>
  <c r="L47"/>
  <c r="L45"/>
  <c r="L43"/>
  <c r="E45" i="2"/>
  <c r="D43"/>
  <c r="D8" i="4"/>
  <c r="J27" s="1"/>
  <c r="B54" i="11"/>
  <c r="C54"/>
  <c r="C6" i="4"/>
  <c r="J25"/>
  <c r="M25" i="6"/>
  <c r="B6" s="1"/>
  <c r="D10" i="4" l="1"/>
  <c r="F20" i="2"/>
  <c r="E6" i="4" s="1"/>
  <c r="K6" s="1"/>
  <c r="F22" i="2"/>
  <c r="J8" i="4"/>
  <c r="P8" s="1"/>
  <c r="I6"/>
  <c r="O6" s="1"/>
  <c r="I25"/>
  <c r="C8"/>
  <c r="J29" l="1"/>
  <c r="N6"/>
  <c r="Q6" s="1"/>
  <c r="F35" i="2"/>
  <c r="F36" s="1"/>
  <c r="N25" i="4" s="1"/>
  <c r="C24"/>
  <c r="J10"/>
  <c r="P10" s="1"/>
  <c r="K25"/>
  <c r="E8"/>
  <c r="K8" s="1"/>
  <c r="I27"/>
  <c r="I8"/>
  <c r="O8" s="1"/>
  <c r="C10"/>
  <c r="H13" i="5" l="1"/>
  <c r="H16" s="1"/>
  <c r="E14" i="4"/>
  <c r="E13"/>
  <c r="N13"/>
  <c r="F13"/>
  <c r="F12"/>
  <c r="C27"/>
  <c r="N14" s="1"/>
  <c r="C30"/>
  <c r="K27"/>
  <c r="E10"/>
  <c r="N27"/>
  <c r="N44"/>
  <c r="Q25"/>
  <c r="I3" i="5" s="1"/>
  <c r="N8" i="4"/>
  <c r="Q8" s="1"/>
  <c r="I13" i="5" s="1"/>
  <c r="K44" i="4"/>
  <c r="I29"/>
  <c r="I10"/>
  <c r="O10" s="1"/>
  <c r="H18" i="5" l="1"/>
  <c r="I8"/>
  <c r="I7"/>
  <c r="I6"/>
  <c r="H17"/>
  <c r="H20" s="1"/>
  <c r="N33" i="4"/>
  <c r="N32"/>
  <c r="K10"/>
  <c r="K29"/>
  <c r="C6" i="5"/>
  <c r="C11" s="1"/>
  <c r="N6" s="1"/>
  <c r="N7" s="1"/>
  <c r="Q44" i="4"/>
  <c r="N29"/>
  <c r="N48" s="1"/>
  <c r="N46"/>
  <c r="K46"/>
  <c r="N10"/>
  <c r="K48" s="1"/>
  <c r="Q27"/>
  <c r="K35"/>
  <c r="N35" s="1"/>
  <c r="K16"/>
  <c r="N16" s="1"/>
  <c r="K33"/>
  <c r="K14"/>
  <c r="I17" i="5" l="1"/>
  <c r="J7" s="1"/>
  <c r="I18"/>
  <c r="K13" i="4"/>
  <c r="K32" s="1"/>
  <c r="P6" i="5"/>
  <c r="Q48" i="4"/>
  <c r="Q29"/>
  <c r="D6" i="5" s="1"/>
  <c r="D11" s="1"/>
  <c r="N43" s="1"/>
  <c r="P43" s="1"/>
  <c r="Q46" i="4"/>
  <c r="I16" i="5"/>
  <c r="Q10" i="4"/>
  <c r="Q14"/>
  <c r="K52"/>
  <c r="K54"/>
  <c r="N8" i="5"/>
  <c r="P8" s="1"/>
  <c r="P7"/>
  <c r="Q33" i="4"/>
  <c r="N52"/>
  <c r="N54"/>
  <c r="J6" i="5" l="1"/>
  <c r="I20"/>
  <c r="J20" s="1"/>
  <c r="J17"/>
  <c r="J18"/>
  <c r="N44"/>
  <c r="P44" s="1"/>
  <c r="J16"/>
  <c r="Q54" i="4"/>
  <c r="Q16"/>
  <c r="Q35"/>
  <c r="N9" i="5"/>
  <c r="Q52" i="4"/>
  <c r="I10" i="5" l="1"/>
  <c r="J10" s="1"/>
  <c r="J8"/>
  <c r="N45"/>
  <c r="N46" s="1"/>
  <c r="N10"/>
  <c r="P9"/>
  <c r="K51" i="4" l="1"/>
  <c r="Q13"/>
  <c r="Q32"/>
  <c r="N51"/>
  <c r="P45" i="5"/>
  <c r="N47"/>
  <c r="P46"/>
  <c r="P10"/>
  <c r="N11"/>
  <c r="Q51" i="4" l="1"/>
  <c r="P47" i="5"/>
  <c r="N48"/>
  <c r="N12"/>
  <c r="P11"/>
  <c r="P12" l="1"/>
  <c r="N13"/>
  <c r="N49"/>
  <c r="P48"/>
  <c r="N14" l="1"/>
  <c r="P13"/>
  <c r="P49"/>
  <c r="N50"/>
  <c r="N51" l="1"/>
  <c r="P50"/>
  <c r="N15"/>
  <c r="P14"/>
  <c r="P15" l="1"/>
  <c r="N16"/>
  <c r="N52"/>
  <c r="P51"/>
  <c r="P16" l="1"/>
  <c r="N17"/>
  <c r="P52"/>
  <c r="N53"/>
  <c r="N18" l="1"/>
  <c r="P17"/>
  <c r="N54"/>
  <c r="P53"/>
  <c r="P54" l="1"/>
  <c r="N55"/>
  <c r="P18"/>
  <c r="N19"/>
  <c r="N20" l="1"/>
  <c r="P20" s="1"/>
  <c r="P19"/>
  <c r="N21"/>
  <c r="P55"/>
  <c r="N56"/>
  <c r="N57" l="1"/>
  <c r="P56"/>
  <c r="P21"/>
  <c r="N22"/>
  <c r="P22" l="1"/>
  <c r="N23"/>
  <c r="P57"/>
  <c r="N58"/>
  <c r="N59" l="1"/>
  <c r="P58"/>
  <c r="P23"/>
  <c r="N24"/>
  <c r="P24" l="1"/>
  <c r="N25"/>
  <c r="N60"/>
  <c r="P59"/>
  <c r="N61" l="1"/>
  <c r="P60"/>
  <c r="P25"/>
  <c r="N62" l="1"/>
  <c r="P61"/>
  <c r="P62" l="1"/>
  <c r="E17" i="9" l="1"/>
  <c r="D28" i="3" s="1"/>
  <c r="D9" l="1"/>
  <c r="D5" s="1"/>
  <c r="D17"/>
  <c r="D13"/>
  <c r="L22" i="9"/>
  <c r="J24" i="5"/>
  <c r="J9"/>
  <c r="D5"/>
  <c r="D15" s="1"/>
  <c r="M42" l="1"/>
  <c r="N75" l="1"/>
  <c r="N42"/>
  <c r="N73" l="1"/>
  <c r="N74"/>
  <c r="D18" s="1"/>
  <c r="P42"/>
  <c r="Q42" s="1"/>
  <c r="Q43" s="1"/>
  <c r="R43" l="1"/>
  <c r="Q44"/>
  <c r="Q45" l="1"/>
  <c r="R44"/>
  <c r="S43" l="1"/>
  <c r="T44"/>
  <c r="R45"/>
  <c r="Q46"/>
  <c r="R46" l="1"/>
  <c r="T46" s="1"/>
  <c r="Q47"/>
  <c r="S44"/>
  <c r="T45"/>
  <c r="S45" l="1"/>
  <c r="Q48"/>
  <c r="R47"/>
  <c r="S46" l="1"/>
  <c r="Q49"/>
  <c r="R48"/>
  <c r="T48" s="1"/>
  <c r="T47"/>
  <c r="R49" l="1"/>
  <c r="T49" s="1"/>
  <c r="Q50"/>
  <c r="S47"/>
  <c r="S48" l="1"/>
  <c r="R50"/>
  <c r="Q51"/>
  <c r="R51" l="1"/>
  <c r="S50" s="1"/>
  <c r="Q52"/>
  <c r="S49"/>
  <c r="T50"/>
  <c r="T51" l="1"/>
  <c r="R52"/>
  <c r="T52" s="1"/>
  <c r="Q53"/>
  <c r="R53" l="1"/>
  <c r="Q54"/>
  <c r="S51"/>
  <c r="T53" l="1"/>
  <c r="Q55"/>
  <c r="R54"/>
  <c r="T54" s="1"/>
  <c r="S52"/>
  <c r="R55" l="1"/>
  <c r="S54" s="1"/>
  <c r="Q56"/>
  <c r="S53"/>
  <c r="T55" l="1"/>
  <c r="R56"/>
  <c r="T56" s="1"/>
  <c r="Q57"/>
  <c r="R57" l="1"/>
  <c r="S56" s="1"/>
  <c r="Q58"/>
  <c r="S55"/>
  <c r="T57" l="1"/>
  <c r="Q59"/>
  <c r="R58"/>
  <c r="R59" l="1"/>
  <c r="Q60"/>
  <c r="S57"/>
  <c r="T58"/>
  <c r="S58" l="1"/>
  <c r="Q61"/>
  <c r="R60"/>
  <c r="T59"/>
  <c r="T60" l="1"/>
  <c r="R61"/>
  <c r="S60" s="1"/>
  <c r="Q62"/>
  <c r="D17" s="1"/>
  <c r="S59"/>
  <c r="R62" l="1"/>
  <c r="S61" s="1"/>
  <c r="T61"/>
  <c r="T62" l="1"/>
  <c r="S62" l="1"/>
  <c r="T73" l="1"/>
  <c r="R73" l="1"/>
  <c r="D16" s="1"/>
  <c r="S73" l="1"/>
  <c r="S75" s="1"/>
  <c r="C5" l="1"/>
  <c r="M5" s="1"/>
  <c r="N38" s="1"/>
  <c r="C15" l="1"/>
  <c r="N5"/>
  <c r="N36" s="1"/>
  <c r="N37" l="1"/>
  <c r="C18" s="1"/>
  <c r="P5"/>
  <c r="Q5" s="1"/>
  <c r="Q6" s="1"/>
  <c r="R6" s="1"/>
  <c r="Q7" l="1"/>
  <c r="R7" s="1"/>
  <c r="S6" s="1"/>
  <c r="Q8" l="1"/>
  <c r="Q9" s="1"/>
  <c r="T7"/>
  <c r="R8" l="1"/>
  <c r="T8" s="1"/>
  <c r="R9"/>
  <c r="Q10"/>
  <c r="S7" l="1"/>
  <c r="T9"/>
  <c r="Q11"/>
  <c r="R10"/>
  <c r="S9" s="1"/>
  <c r="S8"/>
  <c r="R11" l="1"/>
  <c r="T11" s="1"/>
  <c r="Q12"/>
  <c r="T10"/>
  <c r="S10" l="1"/>
  <c r="Q13"/>
  <c r="R12"/>
  <c r="S11" s="1"/>
  <c r="T12" l="1"/>
  <c r="R13"/>
  <c r="T13" s="1"/>
  <c r="Q14"/>
  <c r="R14" l="1"/>
  <c r="Q15"/>
  <c r="S12"/>
  <c r="T14" l="1"/>
  <c r="R15"/>
  <c r="T15" s="1"/>
  <c r="Q16"/>
  <c r="S13"/>
  <c r="R16" l="1"/>
  <c r="T16" s="1"/>
  <c r="Q17"/>
  <c r="S14"/>
  <c r="R17" l="1"/>
  <c r="S16" s="1"/>
  <c r="Q18"/>
  <c r="S15"/>
  <c r="R18" l="1"/>
  <c r="S17" s="1"/>
  <c r="Q19"/>
  <c r="T17"/>
  <c r="T18" l="1"/>
  <c r="R19"/>
  <c r="T19" s="1"/>
  <c r="Q20"/>
  <c r="Q21" l="1"/>
  <c r="R20"/>
  <c r="T20" s="1"/>
  <c r="S18"/>
  <c r="S19" l="1"/>
  <c r="Q22"/>
  <c r="R21"/>
  <c r="T21" s="1"/>
  <c r="S20" l="1"/>
  <c r="R22"/>
  <c r="S21" s="1"/>
  <c r="Q23"/>
  <c r="R23" l="1"/>
  <c r="Q24"/>
  <c r="T22"/>
  <c r="T23" l="1"/>
  <c r="R24"/>
  <c r="T24" s="1"/>
  <c r="Q25"/>
  <c r="S22"/>
  <c r="R25" l="1"/>
  <c r="S24" s="1"/>
  <c r="C17"/>
  <c r="S23"/>
  <c r="S25" l="1"/>
  <c r="S36" s="1"/>
  <c r="R36"/>
  <c r="C16" s="1"/>
  <c r="T25"/>
  <c r="T36" s="1"/>
  <c r="S38" l="1"/>
  <c r="K36" i="6"/>
  <c r="M36" s="1"/>
  <c r="C8" s="1"/>
  <c r="D8" s="1"/>
  <c r="K40"/>
  <c r="K46" s="1"/>
  <c r="M46" s="1"/>
  <c r="E36" i="2"/>
  <c r="M25" i="4" s="1"/>
  <c r="E9" i="6" l="1"/>
  <c r="F9" s="1"/>
  <c r="K45"/>
  <c r="M45" s="1"/>
  <c r="K38"/>
  <c r="K47"/>
  <c r="M47" s="1"/>
  <c r="K37"/>
  <c r="M37" s="1"/>
  <c r="C9" s="1"/>
  <c r="D9" s="1"/>
  <c r="K44"/>
  <c r="M44" s="1"/>
  <c r="L25" i="4"/>
  <c r="M27"/>
  <c r="M44"/>
  <c r="P44" s="1"/>
  <c r="P25"/>
  <c r="K43" i="6"/>
  <c r="M43" s="1"/>
  <c r="K34"/>
  <c r="M34" s="1"/>
  <c r="C6" s="1"/>
  <c r="D6" s="1"/>
  <c r="K35"/>
  <c r="M35" s="1"/>
  <c r="C7" s="1"/>
  <c r="D7" s="1"/>
  <c r="E6" l="1"/>
  <c r="F6" s="1"/>
  <c r="E7"/>
  <c r="F7" s="1"/>
  <c r="E10"/>
  <c r="F10" s="1"/>
  <c r="E8"/>
  <c r="F8" s="1"/>
  <c r="M38"/>
  <c r="C10" s="1"/>
  <c r="D10" s="1"/>
  <c r="O25" i="4"/>
  <c r="L44"/>
  <c r="O44" s="1"/>
  <c r="L27"/>
  <c r="P27"/>
  <c r="M29"/>
  <c r="M46"/>
  <c r="P46" s="1"/>
  <c r="G10" i="6" l="1"/>
  <c r="P29" i="4"/>
  <c r="M48"/>
  <c r="P48" s="1"/>
  <c r="O27"/>
  <c r="H3" i="5" s="1"/>
  <c r="L46" i="4"/>
  <c r="O46" s="1"/>
  <c r="L29"/>
  <c r="H6" i="5" l="1"/>
  <c r="H7"/>
  <c r="H8"/>
  <c r="O29" i="4"/>
  <c r="L48"/>
  <c r="O48" s="1"/>
  <c r="H10" i="5" l="1"/>
  <c r="A19" i="11" l="1"/>
  <c r="C19" s="1"/>
  <c r="D19" i="4" l="1"/>
  <c r="E19" s="1"/>
  <c r="C19" l="1"/>
  <c r="I19" s="1"/>
  <c r="K19"/>
  <c r="J38"/>
  <c r="J19"/>
  <c r="J39"/>
  <c r="L39" s="1"/>
  <c r="K39"/>
  <c r="J20"/>
  <c r="M20" s="1"/>
  <c r="J58" s="1"/>
  <c r="C20"/>
  <c r="I11" s="1"/>
  <c r="D11"/>
  <c r="J11" s="1"/>
  <c r="K20"/>
  <c r="P38" l="1"/>
  <c r="I38"/>
  <c r="O38" s="1"/>
  <c r="E11"/>
  <c r="K38"/>
  <c r="Q38" s="1"/>
  <c r="L20"/>
  <c r="I58" s="1"/>
  <c r="P20"/>
  <c r="I39"/>
  <c r="O39" s="1"/>
  <c r="J30"/>
  <c r="F11"/>
  <c r="I30"/>
  <c r="I20"/>
  <c r="N20"/>
  <c r="K58" s="1"/>
  <c r="M39"/>
  <c r="N39" s="1"/>
  <c r="L58"/>
  <c r="J57"/>
  <c r="M11"/>
  <c r="J49" s="1"/>
  <c r="M57"/>
  <c r="L57"/>
  <c r="L30"/>
  <c r="L49" s="1"/>
  <c r="Q19"/>
  <c r="P19"/>
  <c r="M30" l="1"/>
  <c r="M49" s="1"/>
  <c r="P49" s="1"/>
  <c r="O20"/>
  <c r="E12"/>
  <c r="K12" s="1"/>
  <c r="K11"/>
  <c r="K30"/>
  <c r="O58"/>
  <c r="Q20"/>
  <c r="P57"/>
  <c r="M58"/>
  <c r="P58" s="1"/>
  <c r="P39"/>
  <c r="P11"/>
  <c r="N57"/>
  <c r="I57"/>
  <c r="O57" s="1"/>
  <c r="L11"/>
  <c r="O19"/>
  <c r="K57"/>
  <c r="N11"/>
  <c r="K49" s="1"/>
  <c r="O30"/>
  <c r="K31" l="1"/>
  <c r="N12"/>
  <c r="K50" s="1"/>
  <c r="P30"/>
  <c r="Q57"/>
  <c r="N58"/>
  <c r="Q58" s="1"/>
  <c r="Q39"/>
  <c r="N30"/>
  <c r="N49" s="1"/>
  <c r="Q49" s="1"/>
  <c r="Q11"/>
  <c r="I49"/>
  <c r="O49" s="1"/>
  <c r="O11"/>
  <c r="Q12" l="1"/>
  <c r="Q30"/>
  <c r="N50" l="1"/>
  <c r="Q50" s="1"/>
  <c r="Q31"/>
</calcChain>
</file>

<file path=xl/sharedStrings.xml><?xml version="1.0" encoding="utf-8"?>
<sst xmlns="http://schemas.openxmlformats.org/spreadsheetml/2006/main" count="1370" uniqueCount="430">
  <si>
    <t>MWh</t>
  </si>
  <si>
    <t>GJ/rok</t>
  </si>
  <si>
    <t>Příprava TV</t>
  </si>
  <si>
    <t>Celkem</t>
  </si>
  <si>
    <t>Energonositel</t>
  </si>
  <si>
    <t>Energie</t>
  </si>
  <si>
    <t>Náklady</t>
  </si>
  <si>
    <t>Stávající stav</t>
  </si>
  <si>
    <t>Úspory</t>
  </si>
  <si>
    <t>IRR</t>
  </si>
  <si>
    <t>%</t>
  </si>
  <si>
    <t>NPV</t>
  </si>
  <si>
    <t>Znečišťující látka</t>
  </si>
  <si>
    <t>Tuhé látky</t>
  </si>
  <si>
    <t>SO2</t>
  </si>
  <si>
    <t>CO</t>
  </si>
  <si>
    <t>CO2</t>
  </si>
  <si>
    <t>Soupis základních o energetických vstupech</t>
  </si>
  <si>
    <t>Vstupy paliv a energie</t>
  </si>
  <si>
    <t>Elektřina</t>
  </si>
  <si>
    <t>Teplo</t>
  </si>
  <si>
    <t>Zemní plyn</t>
  </si>
  <si>
    <t xml:space="preserve">Jiné plyny </t>
  </si>
  <si>
    <t>Hnědé uhlí</t>
  </si>
  <si>
    <t>Černé uhlí</t>
  </si>
  <si>
    <t>Koks</t>
  </si>
  <si>
    <t>Jiná pevná paliva</t>
  </si>
  <si>
    <t>TTO</t>
  </si>
  <si>
    <t>LTO</t>
  </si>
  <si>
    <t>Nafta</t>
  </si>
  <si>
    <t>Druhotné zdroje</t>
  </si>
  <si>
    <t>GJ</t>
  </si>
  <si>
    <t>t</t>
  </si>
  <si>
    <t>Jednotka</t>
  </si>
  <si>
    <t>Množství</t>
  </si>
  <si>
    <t>Výhřevnost GJ/jednotku</t>
  </si>
  <si>
    <t>Roční náklady v tis. Kč</t>
  </si>
  <si>
    <t>Celkem vstupy paliv a energie</t>
  </si>
  <si>
    <t>Změna stavu zásob paliv (inventarizace)</t>
  </si>
  <si>
    <t>Celkem spotřeba paliv a energie</t>
  </si>
  <si>
    <t>a) Základní technické ukazatele vlastního zdroje energie</t>
  </si>
  <si>
    <t>Vlastní zdroj energie</t>
  </si>
  <si>
    <t>ř.</t>
  </si>
  <si>
    <t>Název ukazatele</t>
  </si>
  <si>
    <t>Roční celková účinnost zdroje</t>
  </si>
  <si>
    <t>Roční účinnost výroby elektrické energie</t>
  </si>
  <si>
    <t>Roční účinnost výroby tepla</t>
  </si>
  <si>
    <t>[z tabulky b) - (ř.3 x 3,6 + ř.7) : ř.12]</t>
  </si>
  <si>
    <t>[z tabulky b) - ř.3 x 3,6 : ř.6]</t>
  </si>
  <si>
    <t>[z tabulky b) - ř.7 : ř.11]</t>
  </si>
  <si>
    <t>Spotřeba energie v palivu na výrobu elektřiny</t>
  </si>
  <si>
    <t>[z tabulky b) - ř.6 : ř.3]</t>
  </si>
  <si>
    <t>Spotřeba energie v palivu na výrobu tepla</t>
  </si>
  <si>
    <t>[z tabulky b) - ř.11 : ř.7]</t>
  </si>
  <si>
    <t>Roční využití instalovaného elektrického výkonu</t>
  </si>
  <si>
    <t>[z tabulky b) - ř.3 : ř.1]</t>
  </si>
  <si>
    <t>Roční využití instalovaného tepelného výkonu</t>
  </si>
  <si>
    <t>[z tabulky b) - (ř.7 : 3,6) : ř.2]</t>
  </si>
  <si>
    <t>(%)</t>
  </si>
  <si>
    <t>(GJ/MWh)</t>
  </si>
  <si>
    <t>(GJ)</t>
  </si>
  <si>
    <t>(hod)</t>
  </si>
  <si>
    <t>Hodnota</t>
  </si>
  <si>
    <t>b) Roční bilance výroby z vlastního zdroje energie</t>
  </si>
  <si>
    <t xml:space="preserve">Instalovaný elektrický výkon celkem </t>
  </si>
  <si>
    <t>Instalovaný tepelný výkon celkem</t>
  </si>
  <si>
    <t>Výroba elektřiny</t>
  </si>
  <si>
    <t>Prodej elektřiny</t>
  </si>
  <si>
    <t>Vlastní technologická spotřeba elektřiny na výrobu elektřiny</t>
  </si>
  <si>
    <t>Výroba tepla</t>
  </si>
  <si>
    <t>Dodávka tepla</t>
  </si>
  <si>
    <t>Prodej tepla</t>
  </si>
  <si>
    <t>Vlastní technologická spotřeba tepla na výrobu tepla</t>
  </si>
  <si>
    <t>Spotřeba energie v palivu celkem</t>
  </si>
  <si>
    <t>(MW)</t>
  </si>
  <si>
    <t>(MWh)</t>
  </si>
  <si>
    <t>(GJ/r)</t>
  </si>
  <si>
    <t>Celková energetická bilance</t>
  </si>
  <si>
    <t>1. Výchozí roční energetická bilance</t>
  </si>
  <si>
    <t>Ukazatel</t>
  </si>
  <si>
    <t>(tis. Kč)</t>
  </si>
  <si>
    <t>Změna zásob paliv</t>
  </si>
  <si>
    <t>Prodej energie cizím</t>
  </si>
  <si>
    <t>Spotřeba paliv a energie (ř.1 + ř.2)</t>
  </si>
  <si>
    <t>Konečná spotřeba paliv a energie (ř.3 - ř.4)</t>
  </si>
  <si>
    <t>Ztráty ve vlastním zdroji  a rozvodech energie (z ř.5)</t>
  </si>
  <si>
    <t>Spotřeba energie na vytápění (z ř.5)</t>
  </si>
  <si>
    <t>Spotřeba energie na chlazení (z ř.5)</t>
  </si>
  <si>
    <t>Spotřeba energie na přípravu teplé vody (z ř.5)</t>
  </si>
  <si>
    <t>Spotřeba energie na větrání (z ř.5)</t>
  </si>
  <si>
    <t>Spotřeba energie na úpravu vlhkosti (z ř.5)</t>
  </si>
  <si>
    <t>Spotřeba energie na osvětlení (z ř.5)</t>
  </si>
  <si>
    <t>Spotřeba energie na technologické a ostatní procesy (z ř.5)</t>
  </si>
  <si>
    <t>2. Upravená roční energetická bilance</t>
  </si>
  <si>
    <t>Před realizací projektu</t>
  </si>
  <si>
    <t>Ekonomické vyhodnocení</t>
  </si>
  <si>
    <t>Parametr</t>
  </si>
  <si>
    <t>Varianta I</t>
  </si>
  <si>
    <t>Varianta II</t>
  </si>
  <si>
    <t>Investiční výdaje projektu</t>
  </si>
  <si>
    <t>Změna nákladů na energie</t>
  </si>
  <si>
    <t xml:space="preserve">     změna osobních nákladů (mzdy, pojistné)</t>
  </si>
  <si>
    <t xml:space="preserve">     změna ostatních provozních nákladů</t>
  </si>
  <si>
    <t xml:space="preserve">     změna nákladů na emise a odpady</t>
  </si>
  <si>
    <t>Změna tržeb (za teplo, elektřinu, využitelné odpady)</t>
  </si>
  <si>
    <t xml:space="preserve">Přínosy projektu celkem </t>
  </si>
  <si>
    <t>Doba hodnocení</t>
  </si>
  <si>
    <t>Roční růst cen energie</t>
  </si>
  <si>
    <t>Diskont</t>
  </si>
  <si>
    <t>Ts - prostá doba návratnosti</t>
  </si>
  <si>
    <t>Tsd  - reálná doba návratnosti</t>
  </si>
  <si>
    <t>NPV - čistá současná hodnota</t>
  </si>
  <si>
    <t>IRR - vnitřní výnosové procento</t>
  </si>
  <si>
    <t>Kč</t>
  </si>
  <si>
    <t>roky</t>
  </si>
  <si>
    <t>tis. Kč</t>
  </si>
  <si>
    <t>Výsledky ekonomického vyhodnocení</t>
  </si>
  <si>
    <t>Ekologické vyhodnocení</t>
  </si>
  <si>
    <t>a) globální hodnocení</t>
  </si>
  <si>
    <t xml:space="preserve">Znečišťující </t>
  </si>
  <si>
    <t>látka</t>
  </si>
  <si>
    <t>Výchozí stav</t>
  </si>
  <si>
    <t>t/rok</t>
  </si>
  <si>
    <t>Rozdíl</t>
  </si>
  <si>
    <t>Tuhé znečišťující látky</t>
  </si>
  <si>
    <r>
      <t>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</si>
  <si>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NO</t>
    </r>
    <r>
      <rPr>
        <vertAlign val="subscript"/>
        <sz val="11"/>
        <color theme="1"/>
        <rFont val="Calibri"/>
        <family val="2"/>
        <charset val="238"/>
        <scheme val="minor"/>
      </rPr>
      <t>X</t>
    </r>
  </si>
  <si>
    <r>
      <t>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</si>
  <si>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a) lokální hodnocení</t>
  </si>
  <si>
    <t>Pozn.: Lokání hodnocení se provádí na základě požadavku zadavatele EA. Hodnotí změny produkce emisí ze zdrojů umístěných výhradně v lokalitě obce.</t>
  </si>
  <si>
    <t>Pozn.: Globální hodnocení se provádí vždy!</t>
  </si>
  <si>
    <t>Označení</t>
  </si>
  <si>
    <t>Budova</t>
  </si>
  <si>
    <t>Faktor tvaru budovy</t>
  </si>
  <si>
    <t>A/V</t>
  </si>
  <si>
    <t>Průměrný součinitel prostupu tepla požadovaný</t>
  </si>
  <si>
    <t>Průměrný součinitel prostupu tepla doporučený</t>
  </si>
  <si>
    <t>Průměrný součinitel prostupu tepla vypočítaný</t>
  </si>
  <si>
    <t>Klasifikační ukazatel</t>
  </si>
  <si>
    <t>CI</t>
  </si>
  <si>
    <t>---</t>
  </si>
  <si>
    <t>Klasifikace</t>
  </si>
  <si>
    <t>C</t>
  </si>
  <si>
    <t>Vyhovující</t>
  </si>
  <si>
    <r>
      <t>m</t>
    </r>
    <r>
      <rPr>
        <vertAlign val="superscript"/>
        <sz val="12"/>
        <color indexed="8"/>
        <rFont val="Calibri"/>
        <family val="2"/>
        <charset val="238"/>
        <scheme val="minor"/>
      </rPr>
      <t>-1</t>
    </r>
  </si>
  <si>
    <r>
      <t>W/(m</t>
    </r>
    <r>
      <rPr>
        <vertAlign val="superscript"/>
        <sz val="12"/>
        <color indexed="8"/>
        <rFont val="Calibri"/>
        <family val="2"/>
        <charset val="238"/>
        <scheme val="minor"/>
      </rPr>
      <t>2</t>
    </r>
    <r>
      <rPr>
        <sz val="12"/>
        <color indexed="8"/>
        <rFont val="Calibri"/>
        <family val="2"/>
        <charset val="238"/>
        <scheme val="minor"/>
      </rPr>
      <t>.K)</t>
    </r>
  </si>
  <si>
    <t>Hodnocení průměrného součinitele obálky budovy dle ČSN 73 0540-2</t>
  </si>
  <si>
    <r>
      <t>U</t>
    </r>
    <r>
      <rPr>
        <vertAlign val="subscript"/>
        <sz val="12"/>
        <color indexed="8"/>
        <rFont val="Calibri"/>
        <family val="2"/>
        <charset val="238"/>
        <scheme val="minor"/>
      </rPr>
      <t>em,N</t>
    </r>
  </si>
  <si>
    <r>
      <t>U</t>
    </r>
    <r>
      <rPr>
        <vertAlign val="subscript"/>
        <sz val="12"/>
        <color indexed="8"/>
        <rFont val="Calibri"/>
        <family val="2"/>
        <charset val="238"/>
        <scheme val="minor"/>
      </rPr>
      <t>em</t>
    </r>
  </si>
  <si>
    <t>Průměrná teplota (°C)</t>
  </si>
  <si>
    <t>počet topných dnů</t>
  </si>
  <si>
    <t>D</t>
  </si>
  <si>
    <t>tis</t>
  </si>
  <si>
    <t>°C</t>
  </si>
  <si>
    <t>Součet</t>
  </si>
  <si>
    <t>tes</t>
  </si>
  <si>
    <t>stávající stav</t>
  </si>
  <si>
    <t>jednotka</t>
  </si>
  <si>
    <t>hodnota</t>
  </si>
  <si>
    <t>Celková tepelná ztráta</t>
  </si>
  <si>
    <t>kW</t>
  </si>
  <si>
    <t>Koef. vlivu nesoučasnosti</t>
  </si>
  <si>
    <t>Koef. vlivu režimu vytápění</t>
  </si>
  <si>
    <t>Koef. vlivu zvýšení teploty</t>
  </si>
  <si>
    <t>Koef. vlivu regulace</t>
  </si>
  <si>
    <t>Celkový opravný koeficient</t>
  </si>
  <si>
    <t>Dny v otopném období</t>
  </si>
  <si>
    <t>d</t>
  </si>
  <si>
    <t>den</t>
  </si>
  <si>
    <t>Průměrná vnitřní teplota</t>
  </si>
  <si>
    <t>Průměrná venkovní teplota</t>
  </si>
  <si>
    <t>Výpočtová vnější teplota</t>
  </si>
  <si>
    <t>Potřeba tepla pro vytápění</t>
  </si>
  <si>
    <t>Potřeba tepla celkem</t>
  </si>
  <si>
    <t>Účinnost zdroje vytápění</t>
  </si>
  <si>
    <t>Účinnost zdroje TV</t>
  </si>
  <si>
    <t>Varianta I - zateplení</t>
  </si>
  <si>
    <t>Varianta II -zateplení</t>
  </si>
  <si>
    <t>Výpočet spotřeby tepla pro vytápění</t>
  </si>
  <si>
    <t>Typ zóny</t>
  </si>
  <si>
    <t>Měrná denní potřeba energie na přípravu TV dle DIN V 18599-10</t>
  </si>
  <si>
    <t>Potřeba energie</t>
  </si>
  <si>
    <t>Wh/(m2.d)</t>
  </si>
  <si>
    <t>m2</t>
  </si>
  <si>
    <t>Plocha zóny</t>
  </si>
  <si>
    <t>kWh/rok</t>
  </si>
  <si>
    <t>Potřeba tepla pro ohřev TV</t>
  </si>
  <si>
    <t>Spotřeba energie příprava TV</t>
  </si>
  <si>
    <t>Spotřeba energie celkem</t>
  </si>
  <si>
    <t>Spotřeba energie na  vytápění</t>
  </si>
  <si>
    <t>Výpočet potřeby energie pro přípravu TV</t>
  </si>
  <si>
    <t>Spotřeba energie pro přípravu TV</t>
  </si>
  <si>
    <t>Typ zdroje</t>
  </si>
  <si>
    <t>Účinnost</t>
  </si>
  <si>
    <t>Celkem potřeba tepla pro přípravu TV</t>
  </si>
  <si>
    <t>Pokrývaná potřeba</t>
  </si>
  <si>
    <t>Elektrický průtokový ohřívač</t>
  </si>
  <si>
    <t>Spotřeba energie pro přípravu TV - varianta II</t>
  </si>
  <si>
    <t>Spotřeba energie pro přípravu TV - stávající stav</t>
  </si>
  <si>
    <t>Zásobník nabíjený topnou vodou</t>
  </si>
  <si>
    <t>Bivalentní elektrická smyčky (mimo topnou sezónu)</t>
  </si>
  <si>
    <t>Elektrická en.</t>
  </si>
  <si>
    <t>Dřevěné pelety</t>
  </si>
  <si>
    <t>OZE - dřevěné pelety</t>
  </si>
  <si>
    <t>Spotřeby energie</t>
  </si>
  <si>
    <t>Odhadovaná spotřeba energie na osvětlení</t>
  </si>
  <si>
    <t>kWh</t>
  </si>
  <si>
    <t xml:space="preserve">Cena elektrické energie </t>
  </si>
  <si>
    <t>Spotřeba EE</t>
  </si>
  <si>
    <t>Kč/kWh</t>
  </si>
  <si>
    <t>Jedn. cena</t>
  </si>
  <si>
    <t>Cena celkem</t>
  </si>
  <si>
    <t>Po realizaci projektu varianta I</t>
  </si>
  <si>
    <t>Po realizaci projektu varianta II</t>
  </si>
  <si>
    <t>Před realizací projektu varianta I</t>
  </si>
  <si>
    <t>Typ zdroje emisí</t>
  </si>
  <si>
    <t>brikety</t>
  </si>
  <si>
    <t xml:space="preserve">černé uhlí en. </t>
  </si>
  <si>
    <t>černé uhlí tříděné</t>
  </si>
  <si>
    <t xml:space="preserve">dřevo </t>
  </si>
  <si>
    <t>hnědé uhlí tříděné</t>
  </si>
  <si>
    <t>koks</t>
  </si>
  <si>
    <t xml:space="preserve">zemní plyn </t>
  </si>
  <si>
    <t>elektřina</t>
  </si>
  <si>
    <t>CZT</t>
  </si>
  <si>
    <t>průmysl</t>
  </si>
  <si>
    <t>kg/GJ</t>
  </si>
  <si>
    <t>TL</t>
  </si>
  <si>
    <t>NOx</t>
  </si>
  <si>
    <t>CxHy</t>
  </si>
  <si>
    <t>výchozíí stav</t>
  </si>
  <si>
    <t>Elektrická energie</t>
  </si>
  <si>
    <t>(t/rok)</t>
  </si>
  <si>
    <t>varianta I</t>
  </si>
  <si>
    <t>varianta II</t>
  </si>
  <si>
    <t>Po výměně zdroje</t>
  </si>
  <si>
    <t>(GJ/GJ)</t>
  </si>
  <si>
    <t>tis.Kč/GJ</t>
  </si>
  <si>
    <t xml:space="preserve">opatření </t>
  </si>
  <si>
    <t>investice</t>
  </si>
  <si>
    <t xml:space="preserve">úspora </t>
  </si>
  <si>
    <t xml:space="preserve">návratnost </t>
  </si>
  <si>
    <t xml:space="preserve"> tis.Kč/rok</t>
  </si>
  <si>
    <t>rok</t>
  </si>
  <si>
    <t>Rok</t>
  </si>
  <si>
    <t>Investice</t>
  </si>
  <si>
    <t>Fixní výnos</t>
  </si>
  <si>
    <t>Cash flow</t>
  </si>
  <si>
    <t>kumul. výnos</t>
  </si>
  <si>
    <t>SP</t>
  </si>
  <si>
    <t>varianta I - po zateplení</t>
  </si>
  <si>
    <t>Varianata I</t>
  </si>
  <si>
    <t>Spotřeby elektrické energie odhadovaná spotřeba pro celoroční nepřerušované využití</t>
  </si>
  <si>
    <t>Tarif</t>
  </si>
  <si>
    <t>Průměr</t>
  </si>
  <si>
    <t>NT</t>
  </si>
  <si>
    <t>VT</t>
  </si>
  <si>
    <t>Období</t>
  </si>
  <si>
    <t>Spotřeba</t>
  </si>
  <si>
    <t>Denostupně</t>
  </si>
  <si>
    <t>Měrná spotřeba</t>
  </si>
  <si>
    <t>°D</t>
  </si>
  <si>
    <t>GJ/°D</t>
  </si>
  <si>
    <t>Přepočet</t>
  </si>
  <si>
    <t>Úklid</t>
  </si>
  <si>
    <t>kWh/100m2</t>
  </si>
  <si>
    <t>Průměrná účinnost přípravy</t>
  </si>
  <si>
    <t>Cena</t>
  </si>
  <si>
    <t>Měsíční platby</t>
  </si>
  <si>
    <t>Pouze OZE</t>
  </si>
  <si>
    <t>MWh/rok</t>
  </si>
  <si>
    <t>kWh/osobu</t>
  </si>
  <si>
    <t>Kč/MWh</t>
  </si>
  <si>
    <t xml:space="preserve"> </t>
  </si>
  <si>
    <t>Přepočet na MWh</t>
  </si>
  <si>
    <t>tis.Kč/MWh</t>
  </si>
  <si>
    <t>c</t>
  </si>
  <si>
    <r>
      <t>Q</t>
    </r>
    <r>
      <rPr>
        <vertAlign val="subscript"/>
        <sz val="11"/>
        <rFont val="Calibri"/>
        <family val="2"/>
        <charset val="238"/>
        <scheme val="minor"/>
      </rPr>
      <t>c</t>
    </r>
  </si>
  <si>
    <r>
      <t>f</t>
    </r>
    <r>
      <rPr>
        <vertAlign val="subscript"/>
        <sz val="11"/>
        <rFont val="Calibri"/>
        <family val="2"/>
        <charset val="238"/>
        <scheme val="minor"/>
      </rPr>
      <t>1</t>
    </r>
  </si>
  <si>
    <r>
      <t>f</t>
    </r>
    <r>
      <rPr>
        <vertAlign val="subscript"/>
        <sz val="11"/>
        <rFont val="Calibri"/>
        <family val="2"/>
        <charset val="238"/>
        <scheme val="minor"/>
      </rPr>
      <t>2</t>
    </r>
  </si>
  <si>
    <r>
      <t>f</t>
    </r>
    <r>
      <rPr>
        <vertAlign val="subscript"/>
        <sz val="11"/>
        <rFont val="Calibri"/>
        <family val="2"/>
        <charset val="238"/>
        <scheme val="minor"/>
      </rPr>
      <t>3</t>
    </r>
  </si>
  <si>
    <r>
      <t>f</t>
    </r>
    <r>
      <rPr>
        <vertAlign val="subscript"/>
        <sz val="11"/>
        <rFont val="Calibri"/>
        <family val="2"/>
        <charset val="238"/>
        <scheme val="minor"/>
      </rPr>
      <t>4</t>
    </r>
  </si>
  <si>
    <r>
      <t>f</t>
    </r>
    <r>
      <rPr>
        <vertAlign val="subscript"/>
        <sz val="11"/>
        <rFont val="Calibri"/>
        <family val="2"/>
        <charset val="238"/>
        <scheme val="minor"/>
      </rPr>
      <t>c</t>
    </r>
  </si>
  <si>
    <r>
      <t>t</t>
    </r>
    <r>
      <rPr>
        <vertAlign val="subscript"/>
        <sz val="11"/>
        <rFont val="Calibri"/>
        <family val="2"/>
        <charset val="238"/>
        <scheme val="minor"/>
      </rPr>
      <t>is</t>
    </r>
  </si>
  <si>
    <r>
      <t>t</t>
    </r>
    <r>
      <rPr>
        <vertAlign val="subscript"/>
        <sz val="11"/>
        <rFont val="Calibri"/>
        <family val="2"/>
        <charset val="238"/>
        <scheme val="minor"/>
      </rPr>
      <t>es</t>
    </r>
  </si>
  <si>
    <r>
      <t>t</t>
    </r>
    <r>
      <rPr>
        <vertAlign val="subscript"/>
        <sz val="11"/>
        <rFont val="Calibri"/>
        <family val="2"/>
        <charset val="238"/>
        <scheme val="minor"/>
      </rPr>
      <t>e</t>
    </r>
  </si>
  <si>
    <r>
      <t>Q</t>
    </r>
    <r>
      <rPr>
        <vertAlign val="subscript"/>
        <sz val="11"/>
        <rFont val="Calibri"/>
        <family val="2"/>
        <charset val="238"/>
        <scheme val="minor"/>
      </rPr>
      <t>vyt</t>
    </r>
  </si>
  <si>
    <r>
      <t>Q</t>
    </r>
    <r>
      <rPr>
        <vertAlign val="subscript"/>
        <sz val="11"/>
        <rFont val="Calibri"/>
        <family val="2"/>
        <charset val="238"/>
        <scheme val="minor"/>
      </rPr>
      <t>TV</t>
    </r>
  </si>
  <si>
    <r>
      <t>Q</t>
    </r>
    <r>
      <rPr>
        <vertAlign val="subscript"/>
        <sz val="11"/>
        <rFont val="Calibri"/>
        <family val="2"/>
        <charset val="238"/>
        <scheme val="minor"/>
      </rPr>
      <t>UT+TV</t>
    </r>
  </si>
  <si>
    <r>
      <t>E</t>
    </r>
    <r>
      <rPr>
        <vertAlign val="subscript"/>
        <sz val="11"/>
        <rFont val="Calibri"/>
        <family val="2"/>
        <charset val="238"/>
        <scheme val="minor"/>
      </rPr>
      <t>vyt</t>
    </r>
  </si>
  <si>
    <t>VT (MWh)</t>
  </si>
  <si>
    <t>NT (MWh)</t>
  </si>
  <si>
    <t>Náklady na nákup EE</t>
  </si>
  <si>
    <r>
      <t>SO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</si>
  <si>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r>
      <t>NO</t>
    </r>
    <r>
      <rPr>
        <b/>
        <vertAlign val="subscript"/>
        <sz val="11"/>
        <rFont val="Calibri"/>
        <family val="2"/>
        <charset val="238"/>
        <scheme val="minor"/>
      </rPr>
      <t>x</t>
    </r>
  </si>
  <si>
    <r>
      <t>CO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</si>
  <si>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r>
      <t>SO</t>
    </r>
    <r>
      <rPr>
        <b/>
        <i/>
        <vertAlign val="subscript"/>
        <sz val="11"/>
        <rFont val="Arial"/>
        <family val="2"/>
        <charset val="238"/>
      </rPr>
      <t>2</t>
    </r>
  </si>
  <si>
    <r>
      <t>NO</t>
    </r>
    <r>
      <rPr>
        <b/>
        <i/>
        <vertAlign val="subscript"/>
        <sz val="11"/>
        <rFont val="Arial"/>
        <family val="2"/>
        <charset val="238"/>
      </rPr>
      <t>x</t>
    </r>
  </si>
  <si>
    <r>
      <t>CO</t>
    </r>
    <r>
      <rPr>
        <b/>
        <i/>
        <vertAlign val="subscript"/>
        <sz val="11"/>
        <rFont val="Arial"/>
        <family val="2"/>
        <charset val="238"/>
      </rPr>
      <t>2</t>
    </r>
  </si>
  <si>
    <r>
      <t>E</t>
    </r>
    <r>
      <rPr>
        <vertAlign val="subscript"/>
        <sz val="11"/>
        <rFont val="Calibri"/>
        <family val="2"/>
        <charset val="238"/>
        <scheme val="minor"/>
      </rPr>
      <t>TV</t>
    </r>
  </si>
  <si>
    <r>
      <t>E</t>
    </r>
    <r>
      <rPr>
        <vertAlign val="subscript"/>
        <sz val="11"/>
        <rFont val="Calibri"/>
        <family val="2"/>
        <charset val="238"/>
        <scheme val="minor"/>
      </rPr>
      <t>UT +TV</t>
    </r>
  </si>
  <si>
    <t>Cena EE</t>
  </si>
  <si>
    <t>Cena ZP</t>
  </si>
  <si>
    <t>Vybraná varianta (Varianta II)</t>
  </si>
  <si>
    <t>Zateplení fasády</t>
  </si>
  <si>
    <t>Ostatní procesy</t>
  </si>
  <si>
    <t>rozdíl variant</t>
  </si>
  <si>
    <t>Vytápění</t>
  </si>
  <si>
    <t xml:space="preserve">Spotřeba zemního plynu dle jednotlivých procesů </t>
  </si>
  <si>
    <t>Výhřevnost</t>
  </si>
  <si>
    <t xml:space="preserve">Příprava TV </t>
  </si>
  <si>
    <t>Příprava pokrmů</t>
  </si>
  <si>
    <t>Zateplení svislých konstrukcí</t>
  </si>
  <si>
    <t>Zateplení vodorovných konstrukcí</t>
  </si>
  <si>
    <t>6a</t>
  </si>
  <si>
    <t>6b</t>
  </si>
  <si>
    <t xml:space="preserve">     z toho na přípravě TV</t>
  </si>
  <si>
    <t xml:space="preserve">     z toho na vytápění</t>
  </si>
  <si>
    <t>m3</t>
  </si>
  <si>
    <t>Bytové domy</t>
  </si>
  <si>
    <r>
      <t>E</t>
    </r>
    <r>
      <rPr>
        <vertAlign val="subscript"/>
        <sz val="11"/>
        <rFont val="Calibri"/>
        <family val="2"/>
        <charset val="238"/>
        <scheme val="minor"/>
      </rPr>
      <t>UT</t>
    </r>
  </si>
  <si>
    <t>Spotřeba (odhad)</t>
  </si>
  <si>
    <t>Osvětlení</t>
  </si>
  <si>
    <t xml:space="preserve">Spotřeba EE </t>
  </si>
  <si>
    <t>Nevyhovující</t>
  </si>
  <si>
    <t>2014</t>
  </si>
  <si>
    <t>2015</t>
  </si>
  <si>
    <t>Pro rok: 2016</t>
  </si>
  <si>
    <t>Ochlazovaná konstrukce</t>
  </si>
  <si>
    <t>Plocha</t>
  </si>
  <si>
    <r>
      <t>A</t>
    </r>
    <r>
      <rPr>
        <vertAlign val="subscript"/>
        <sz val="9"/>
        <color theme="1"/>
        <rFont val="Arial"/>
        <family val="2"/>
        <charset val="238"/>
      </rPr>
      <t>i</t>
    </r>
  </si>
  <si>
    <r>
      <t>[m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]</t>
    </r>
  </si>
  <si>
    <t>Součinitel</t>
  </si>
  <si>
    <t>(činitel)</t>
  </si>
  <si>
    <t>prostupu tepla</t>
  </si>
  <si>
    <r>
      <t>U</t>
    </r>
    <r>
      <rPr>
        <vertAlign val="subscript"/>
        <sz val="9"/>
        <color theme="1"/>
        <rFont val="Arial"/>
        <family val="2"/>
        <charset val="238"/>
      </rPr>
      <t>i</t>
    </r>
  </si>
  <si>
    <r>
      <t>(</t>
    </r>
    <r>
      <rPr>
        <i/>
        <sz val="9"/>
        <color theme="1"/>
        <rFont val="Arial"/>
        <family val="2"/>
        <charset val="238"/>
      </rPr>
      <t>ΣΨ</t>
    </r>
    <r>
      <rPr>
        <i/>
        <vertAlign val="subscript"/>
        <sz val="9"/>
        <color theme="1"/>
        <rFont val="Arial"/>
        <family val="2"/>
        <charset val="238"/>
      </rPr>
      <t>k</t>
    </r>
    <r>
      <rPr>
        <i/>
        <sz val="9"/>
        <color theme="1"/>
        <rFont val="Arial"/>
        <family val="2"/>
        <charset val="238"/>
      </rPr>
      <t>.l</t>
    </r>
    <r>
      <rPr>
        <i/>
        <vertAlign val="subscript"/>
        <sz val="9"/>
        <color theme="1"/>
        <rFont val="Arial"/>
        <family val="2"/>
        <charset val="238"/>
      </rPr>
      <t>k</t>
    </r>
    <r>
      <rPr>
        <i/>
        <sz val="9"/>
        <color theme="1"/>
        <rFont val="Arial"/>
        <family val="2"/>
        <charset val="238"/>
      </rPr>
      <t xml:space="preserve"> + Σχ</t>
    </r>
    <r>
      <rPr>
        <i/>
        <vertAlign val="subscript"/>
        <sz val="9"/>
        <color theme="1"/>
        <rFont val="Arial"/>
        <family val="2"/>
        <charset val="238"/>
      </rPr>
      <t>j</t>
    </r>
    <r>
      <rPr>
        <sz val="9"/>
        <color theme="1"/>
        <rFont val="Arial"/>
        <family val="2"/>
        <charset val="238"/>
      </rPr>
      <t>)</t>
    </r>
  </si>
  <si>
    <r>
      <t>[W/(m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·K)]</t>
    </r>
  </si>
  <si>
    <t>Požadovaný (doporučený) součinitel prostupu tepla</t>
  </si>
  <si>
    <r>
      <t>U</t>
    </r>
    <r>
      <rPr>
        <vertAlign val="subscript"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 xml:space="preserve"> (</t>
    </r>
    <r>
      <rPr>
        <b/>
        <i/>
        <sz val="9"/>
        <color theme="1"/>
        <rFont val="Arial"/>
        <family val="2"/>
        <charset val="238"/>
      </rPr>
      <t>U</t>
    </r>
    <r>
      <rPr>
        <vertAlign val="subscript"/>
        <sz val="9"/>
        <color theme="1"/>
        <rFont val="Arial"/>
        <family val="2"/>
        <charset val="238"/>
      </rPr>
      <t>rec</t>
    </r>
    <r>
      <rPr>
        <sz val="9"/>
        <color theme="1"/>
        <rFont val="Arial"/>
        <family val="2"/>
        <charset val="238"/>
      </rPr>
      <t>)</t>
    </r>
  </si>
  <si>
    <t>Vyhodnocení požadavku dle ČSN 73 0540 – 2:2011</t>
  </si>
  <si>
    <t>Elektrický příkon příkon ventilátorů</t>
  </si>
  <si>
    <t xml:space="preserve">Spotřeba elektřny na provoz </t>
  </si>
  <si>
    <t>E</t>
  </si>
  <si>
    <t>Nehospodárná</t>
  </si>
  <si>
    <t>Potřeba tepla pro přípravu TV</t>
  </si>
  <si>
    <t>Celkem  (MWh)</t>
  </si>
  <si>
    <t xml:space="preserve">Větrání </t>
  </si>
  <si>
    <t>Ředitelství</t>
  </si>
  <si>
    <t>teplo</t>
  </si>
  <si>
    <t>plyn</t>
  </si>
  <si>
    <t>celkem</t>
  </si>
  <si>
    <t>Budova ředitelství</t>
  </si>
  <si>
    <t>Teplo (CZT)</t>
  </si>
  <si>
    <t xml:space="preserve">Spotřeba tepla </t>
  </si>
  <si>
    <t>Nákup tepla</t>
  </si>
  <si>
    <t>Kč/GJ</t>
  </si>
  <si>
    <t>2012</t>
  </si>
  <si>
    <t>2013</t>
  </si>
  <si>
    <t>Chlazení</t>
  </si>
  <si>
    <t>Tarif C26d 3x200A</t>
  </si>
  <si>
    <t>Instalovaný příkon</t>
  </si>
  <si>
    <t>Počet provozních hodin</t>
  </si>
  <si>
    <t xml:space="preserve">Spotřeba elektřiny </t>
  </si>
  <si>
    <t>W</t>
  </si>
  <si>
    <t xml:space="preserve">Stávající </t>
  </si>
  <si>
    <t>Navrhovaný LED</t>
  </si>
  <si>
    <t>Úspora</t>
  </si>
  <si>
    <t>Instalace LED osvětlení</t>
  </si>
  <si>
    <t>Výměna výplní</t>
  </si>
  <si>
    <t>Teplo (teplá voda)</t>
  </si>
  <si>
    <t>Teplo teplá voda</t>
  </si>
  <si>
    <t>hod.</t>
  </si>
  <si>
    <t>2. Vlastní zdroje energie</t>
  </si>
  <si>
    <r>
      <t xml:space="preserve">a) </t>
    </r>
    <r>
      <rPr>
        <u/>
        <sz val="11"/>
        <color rgb="FF000000"/>
        <rFont val="Arial"/>
        <family val="2"/>
        <charset val="238"/>
      </rPr>
      <t>zdroje tepla</t>
    </r>
  </si>
  <si>
    <r>
      <t xml:space="preserve">b) </t>
    </r>
    <r>
      <rPr>
        <u/>
        <sz val="11"/>
        <color rgb="FF000000"/>
        <rFont val="Arial"/>
        <family val="2"/>
        <charset val="238"/>
      </rPr>
      <t>zdroje elektřiny</t>
    </r>
  </si>
  <si>
    <t>Počet</t>
  </si>
  <si>
    <t>ks</t>
  </si>
  <si>
    <t>instalovaný výkon</t>
  </si>
  <si>
    <t>MW</t>
  </si>
  <si>
    <t>roční výroba</t>
  </si>
  <si>
    <t>roční spotřeba paliva</t>
  </si>
  <si>
    <t>GJ/r</t>
  </si>
  <si>
    <r>
      <t xml:space="preserve">c) </t>
    </r>
    <r>
      <rPr>
        <u/>
        <sz val="11"/>
        <color rgb="FF000000"/>
        <rFont val="Arial"/>
        <family val="2"/>
        <charset val="238"/>
      </rPr>
      <t>kombinovaná výroba elektřiny a tepla</t>
    </r>
  </si>
  <si>
    <r>
      <t xml:space="preserve">d) </t>
    </r>
    <r>
      <rPr>
        <u/>
        <sz val="11"/>
        <color rgb="FF000000"/>
        <rFont val="Arial"/>
        <family val="2"/>
        <charset val="238"/>
      </rPr>
      <t>druhy primárního zdroje energie</t>
    </r>
  </si>
  <si>
    <t>počet</t>
  </si>
  <si>
    <t>druh OZE</t>
  </si>
  <si>
    <t>instal. výkon elektrický</t>
  </si>
  <si>
    <t>druh DEZ</t>
  </si>
  <si>
    <t>instal. výkon tepelný</t>
  </si>
  <si>
    <t>fosilní zdroje</t>
  </si>
  <si>
    <t>roční výroba elektřiny</t>
  </si>
  <si>
    <t>roční výroba tepla</t>
  </si>
  <si>
    <t>3. Spotřeba energie</t>
  </si>
  <si>
    <t>Druh spotřeby</t>
  </si>
  <si>
    <t>Příkon</t>
  </si>
  <si>
    <t>Spotřeba energie</t>
  </si>
  <si>
    <t>MWh/r</t>
  </si>
  <si>
    <t>Větrání</t>
  </si>
  <si>
    <t>Úprava vlhkosti</t>
  </si>
  <si>
    <t>Nezj.</t>
  </si>
  <si>
    <t>Technologie</t>
  </si>
  <si>
    <t>2. Úspory energie a nákladů</t>
  </si>
  <si>
    <t>Spotřeba energie a náklady na energii – celkem</t>
  </si>
  <si>
    <t>kontrola:</t>
  </si>
  <si>
    <t>Navrhovaný stav</t>
  </si>
  <si>
    <t>SS</t>
  </si>
  <si>
    <t>NS</t>
  </si>
  <si>
    <t>úspory</t>
  </si>
  <si>
    <t>tis. Kč/r</t>
  </si>
  <si>
    <t>3. Ekonomické hodnocení</t>
  </si>
  <si>
    <t>doba hodnocení</t>
  </si>
  <si>
    <t>roků</t>
  </si>
  <si>
    <t>diskontní míra</t>
  </si>
  <si>
    <t>reálná doba návratnosti</t>
  </si>
  <si>
    <t>investiční náklady</t>
  </si>
  <si>
    <t>tis.Kč s DPH</t>
  </si>
  <si>
    <t>prostá doba návratnosti</t>
  </si>
  <si>
    <t>cash flow</t>
  </si>
  <si>
    <t>tis.Kč/r</t>
  </si>
  <si>
    <t>rok realizace</t>
  </si>
  <si>
    <t>4. Ekologické hodnocení</t>
  </si>
  <si>
    <t>Znečišťující látky</t>
  </si>
  <si>
    <t>Efekt</t>
  </si>
  <si>
    <t>lokálně</t>
  </si>
  <si>
    <t>globálně</t>
  </si>
  <si>
    <t>t/r</t>
  </si>
  <si>
    <r>
      <t>SO</t>
    </r>
    <r>
      <rPr>
        <vertAlign val="subscript"/>
        <sz val="11"/>
        <color rgb="FF000000"/>
        <rFont val="Arial"/>
        <family val="2"/>
        <charset val="238"/>
      </rPr>
      <t>2</t>
    </r>
  </si>
  <si>
    <r>
      <t>NO</t>
    </r>
    <r>
      <rPr>
        <vertAlign val="subscript"/>
        <sz val="11"/>
        <color rgb="FF000000"/>
        <rFont val="Arial"/>
        <family val="2"/>
        <charset val="238"/>
      </rPr>
      <t>x</t>
    </r>
  </si>
  <si>
    <r>
      <t>CO</t>
    </r>
    <r>
      <rPr>
        <vertAlign val="subscript"/>
        <sz val="11"/>
        <color rgb="FF00000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</si>
</sst>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11">
    <numFmt numFmtId="44" formatCode="_-* #,##0.00\ &quot;Kč&quot;_-;\-* #,##0.00\ &quot;Kč&quot;_-;_-* &quot;-&quot;??\ &quot;Kč&quot;_-;_-@_-"/>
    <numFmt numFmtId="164" formatCode="0.0"/>
    <numFmt numFmtId="165" formatCode="#,##0.0"/>
    <numFmt numFmtId="166" formatCode="#,##0;[Red]#,##0"/>
    <numFmt numFmtId="167" formatCode="0.0%"/>
    <numFmt numFmtId="168" formatCode="0.0000"/>
    <numFmt numFmtId="169" formatCode="#,##0.000"/>
    <numFmt numFmtId="170" formatCode="#,##0.\-"/>
    <numFmt numFmtId="171" formatCode="#,##0.00;[Red]#,##0.00"/>
    <numFmt numFmtId="172" formatCode="0.000"/>
    <numFmt numFmtId="173" formatCode="#,##0.00_ ;\-#,##0.00\ "/>
  </numFmts>
  <fonts count="3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vertAlign val="superscript"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bscript"/>
      <sz val="12"/>
      <color indexed="8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9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vertAlign val="subscript"/>
      <sz val="11"/>
      <name val="Calibri"/>
      <family val="2"/>
      <charset val="238"/>
      <scheme val="minor"/>
    </font>
    <font>
      <b/>
      <i/>
      <vertAlign val="subscript"/>
      <sz val="1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vertAlign val="subscript"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u/>
      <sz val="11"/>
      <color rgb="FF000000"/>
      <name val="Arial"/>
      <family val="2"/>
      <charset val="238"/>
    </font>
    <font>
      <vertAlign val="subscript"/>
      <sz val="11"/>
      <color rgb="FF00000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8" tint="0.79998168889431442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/>
  </cellStyleXfs>
  <cellXfs count="77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2" fillId="0" borderId="0" xfId="0" applyFont="1"/>
    <xf numFmtId="0" fontId="0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7" xfId="0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12" xfId="0" applyBorder="1"/>
    <xf numFmtId="0" fontId="0" fillId="0" borderId="21" xfId="0" applyBorder="1"/>
    <xf numFmtId="0" fontId="0" fillId="0" borderId="22" xfId="0" applyBorder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 wrapText="1"/>
    </xf>
    <xf numFmtId="0" fontId="4" fillId="0" borderId="0" xfId="0" applyFont="1"/>
    <xf numFmtId="0" fontId="0" fillId="0" borderId="0" xfId="0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6" xfId="0" applyBorder="1"/>
    <xf numFmtId="0" fontId="0" fillId="0" borderId="8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16" fillId="0" borderId="0" xfId="2" applyFont="1" applyFill="1" applyBorder="1" applyAlignment="1">
      <alignment horizontal="left" wrapText="1"/>
    </xf>
    <xf numFmtId="1" fontId="6" fillId="0" borderId="0" xfId="0" applyNumberFormat="1" applyFont="1"/>
    <xf numFmtId="168" fontId="0" fillId="0" borderId="0" xfId="0" applyNumberFormat="1"/>
    <xf numFmtId="4" fontId="6" fillId="0" borderId="0" xfId="0" applyNumberFormat="1" applyFont="1"/>
    <xf numFmtId="169" fontId="0" fillId="0" borderId="1" xfId="0" applyNumberFormat="1" applyBorder="1" applyAlignment="1">
      <alignment horizontal="center" vertical="center"/>
    </xf>
    <xf numFmtId="169" fontId="0" fillId="0" borderId="8" xfId="0" applyNumberFormat="1" applyBorder="1" applyAlignment="1">
      <alignment horizontal="center" vertical="center"/>
    </xf>
    <xf numFmtId="169" fontId="0" fillId="0" borderId="10" xfId="0" applyNumberFormat="1" applyBorder="1" applyAlignment="1">
      <alignment horizontal="center" vertical="center"/>
    </xf>
    <xf numFmtId="169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18" fillId="0" borderId="7" xfId="0" applyNumberFormat="1" applyFont="1" applyFill="1" applyBorder="1" applyAlignment="1">
      <alignment horizontal="left" vertical="center"/>
    </xf>
    <xf numFmtId="164" fontId="18" fillId="0" borderId="8" xfId="0" applyNumberFormat="1" applyFont="1" applyFill="1" applyBorder="1" applyAlignment="1">
      <alignment horizontal="center"/>
    </xf>
    <xf numFmtId="0" fontId="18" fillId="0" borderId="9" xfId="0" applyFont="1" applyFill="1" applyBorder="1" applyAlignment="1">
      <alignment horizontal="left" vertical="center"/>
    </xf>
    <xf numFmtId="164" fontId="18" fillId="0" borderId="11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64" fontId="0" fillId="0" borderId="0" xfId="0" applyNumberFormat="1" applyFont="1"/>
    <xf numFmtId="2" fontId="0" fillId="0" borderId="0" xfId="0" applyNumberFormat="1" applyFont="1"/>
    <xf numFmtId="3" fontId="18" fillId="0" borderId="40" xfId="0" applyNumberFormat="1" applyFont="1" applyBorder="1" applyAlignment="1">
      <alignment horizontal="center"/>
    </xf>
    <xf numFmtId="3" fontId="18" fillId="0" borderId="41" xfId="0" applyNumberFormat="1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3" fontId="18" fillId="0" borderId="32" xfId="0" applyNumberFormat="1" applyFont="1" applyBorder="1" applyAlignment="1">
      <alignment horizontal="center"/>
    </xf>
    <xf numFmtId="3" fontId="18" fillId="0" borderId="38" xfId="0" applyNumberFormat="1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4" fontId="18" fillId="0" borderId="42" xfId="0" applyNumberFormat="1" applyFont="1" applyBorder="1" applyAlignment="1">
      <alignment horizontal="center"/>
    </xf>
    <xf numFmtId="3" fontId="18" fillId="0" borderId="43" xfId="0" applyNumberFormat="1" applyFont="1" applyBorder="1" applyAlignment="1">
      <alignment horizontal="center"/>
    </xf>
    <xf numFmtId="3" fontId="18" fillId="0" borderId="39" xfId="0" applyNumberFormat="1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4" fontId="18" fillId="0" borderId="29" xfId="0" applyNumberFormat="1" applyFont="1" applyBorder="1" applyAlignment="1">
      <alignment horizontal="center"/>
    </xf>
    <xf numFmtId="0" fontId="18" fillId="5" borderId="33" xfId="0" applyFont="1" applyFill="1" applyBorder="1"/>
    <xf numFmtId="0" fontId="18" fillId="0" borderId="37" xfId="0" applyFont="1" applyBorder="1"/>
    <xf numFmtId="3" fontId="18" fillId="0" borderId="37" xfId="0" applyNumberFormat="1" applyFont="1" applyBorder="1" applyAlignment="1">
      <alignment horizontal="center"/>
    </xf>
    <xf numFmtId="0" fontId="18" fillId="5" borderId="34" xfId="0" applyFont="1" applyFill="1" applyBorder="1"/>
    <xf numFmtId="3" fontId="18" fillId="5" borderId="35" xfId="0" applyNumberFormat="1" applyFont="1" applyFill="1" applyBorder="1"/>
    <xf numFmtId="3" fontId="18" fillId="0" borderId="22" xfId="0" applyNumberFormat="1" applyFont="1" applyBorder="1" applyAlignment="1">
      <alignment horizontal="center"/>
    </xf>
    <xf numFmtId="0" fontId="18" fillId="5" borderId="22" xfId="0" applyFont="1" applyFill="1" applyBorder="1"/>
    <xf numFmtId="0" fontId="18" fillId="0" borderId="39" xfId="0" applyFont="1" applyBorder="1"/>
    <xf numFmtId="10" fontId="18" fillId="0" borderId="39" xfId="0" applyNumberFormat="1" applyFont="1" applyBorder="1" applyAlignment="1">
      <alignment horizontal="center"/>
    </xf>
    <xf numFmtId="0" fontId="18" fillId="5" borderId="0" xfId="0" applyFont="1" applyFill="1" applyBorder="1"/>
    <xf numFmtId="0" fontId="18" fillId="5" borderId="44" xfId="0" applyFont="1" applyFill="1" applyBorder="1"/>
    <xf numFmtId="0" fontId="18" fillId="5" borderId="45" xfId="0" applyFont="1" applyFill="1" applyBorder="1"/>
    <xf numFmtId="0" fontId="18" fillId="0" borderId="40" xfId="0" applyFont="1" applyBorder="1"/>
    <xf numFmtId="164" fontId="18" fillId="0" borderId="40" xfId="0" applyNumberFormat="1" applyFont="1" applyBorder="1" applyAlignment="1">
      <alignment horizontal="center"/>
    </xf>
    <xf numFmtId="0" fontId="18" fillId="5" borderId="46" xfId="0" applyFont="1" applyFill="1" applyBorder="1"/>
    <xf numFmtId="0" fontId="18" fillId="5" borderId="47" xfId="0" applyFont="1" applyFill="1" applyBorder="1"/>
    <xf numFmtId="0" fontId="18" fillId="0" borderId="29" xfId="0" applyFont="1" applyFill="1" applyBorder="1" applyAlignment="1">
      <alignment horizontal="center"/>
    </xf>
    <xf numFmtId="0" fontId="18" fillId="0" borderId="4" xfId="0" applyFont="1" applyBorder="1"/>
    <xf numFmtId="0" fontId="18" fillId="0" borderId="30" xfId="0" applyFont="1" applyBorder="1"/>
    <xf numFmtId="0" fontId="18" fillId="0" borderId="48" xfId="0" applyFont="1" applyBorder="1"/>
    <xf numFmtId="2" fontId="18" fillId="0" borderId="1" xfId="0" applyNumberFormat="1" applyFont="1" applyFill="1" applyBorder="1" applyAlignment="1">
      <alignment horizontal="center" vertical="center"/>
    </xf>
    <xf numFmtId="2" fontId="18" fillId="0" borderId="10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0" fontId="19" fillId="0" borderId="37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20" fillId="0" borderId="0" xfId="0" applyFont="1" applyFill="1" applyBorder="1" applyAlignment="1">
      <alignment vertical="center"/>
    </xf>
    <xf numFmtId="169" fontId="0" fillId="0" borderId="0" xfId="0" applyNumberFormat="1"/>
    <xf numFmtId="2" fontId="0" fillId="6" borderId="8" xfId="0" applyNumberFormat="1" applyFill="1" applyBorder="1" applyAlignment="1">
      <alignment horizontal="center" vertical="center"/>
    </xf>
    <xf numFmtId="0" fontId="0" fillId="6" borderId="9" xfId="0" applyFill="1" applyBorder="1"/>
    <xf numFmtId="0" fontId="2" fillId="6" borderId="0" xfId="0" applyFont="1" applyFill="1"/>
    <xf numFmtId="0" fontId="0" fillId="6" borderId="0" xfId="0" applyFill="1"/>
    <xf numFmtId="0" fontId="1" fillId="6" borderId="14" xfId="0" applyFont="1" applyFill="1" applyBorder="1"/>
    <xf numFmtId="0" fontId="0" fillId="6" borderId="1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7" xfId="0" applyFill="1" applyBorder="1" applyAlignment="1">
      <alignment wrapText="1"/>
    </xf>
    <xf numFmtId="2" fontId="0" fillId="6" borderId="1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16" xfId="0" applyFill="1" applyBorder="1" applyAlignment="1">
      <alignment horizontal="left" vertical="center" wrapText="1"/>
    </xf>
    <xf numFmtId="2" fontId="0" fillId="6" borderId="3" xfId="0" applyNumberFormat="1" applyFill="1" applyBorder="1" applyAlignment="1">
      <alignment horizontal="center" vertical="center"/>
    </xf>
    <xf numFmtId="0" fontId="0" fillId="6" borderId="10" xfId="0" quotePrefix="1" applyNumberFormat="1" applyFill="1" applyBorder="1" applyAlignment="1">
      <alignment horizontal="center" vertical="center"/>
    </xf>
    <xf numFmtId="2" fontId="0" fillId="6" borderId="31" xfId="0" applyNumberFormat="1" applyFill="1" applyBorder="1" applyAlignment="1">
      <alignment horizontal="center" vertical="center"/>
    </xf>
    <xf numFmtId="0" fontId="0" fillId="6" borderId="11" xfId="0" quotePrefix="1" applyFill="1" applyBorder="1" applyAlignment="1">
      <alignment horizontal="center" vertical="center"/>
    </xf>
    <xf numFmtId="0" fontId="0" fillId="6" borderId="33" xfId="0" applyFill="1" applyBorder="1"/>
    <xf numFmtId="0" fontId="0" fillId="6" borderId="34" xfId="0" applyFill="1" applyBorder="1"/>
    <xf numFmtId="0" fontId="0" fillId="6" borderId="35" xfId="0" applyFill="1" applyBorder="1"/>
    <xf numFmtId="0" fontId="0" fillId="6" borderId="7" xfId="0" applyFill="1" applyBorder="1" applyAlignment="1">
      <alignment horizontal="left" vertical="center" wrapText="1"/>
    </xf>
    <xf numFmtId="2" fontId="0" fillId="6" borderId="27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 wrapText="1"/>
    </xf>
    <xf numFmtId="2" fontId="0" fillId="6" borderId="10" xfId="0" quotePrefix="1" applyNumberForma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7" xfId="0" applyFill="1" applyBorder="1" applyAlignment="1">
      <alignment horizontal="center" vertical="center"/>
    </xf>
    <xf numFmtId="2" fontId="0" fillId="6" borderId="9" xfId="0" applyNumberForma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/>
    </xf>
    <xf numFmtId="2" fontId="18" fillId="0" borderId="10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4" fontId="0" fillId="0" borderId="1" xfId="0" applyNumberFormat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left"/>
    </xf>
    <xf numFmtId="0" fontId="19" fillId="0" borderId="29" xfId="0" applyFont="1" applyFill="1" applyBorder="1" applyAlignment="1">
      <alignment horizontal="left"/>
    </xf>
    <xf numFmtId="0" fontId="19" fillId="0" borderId="28" xfId="0" applyFont="1" applyFill="1" applyBorder="1" applyAlignment="1">
      <alignment horizontal="left"/>
    </xf>
    <xf numFmtId="0" fontId="19" fillId="0" borderId="30" xfId="0" applyFont="1" applyFill="1" applyBorder="1" applyAlignment="1"/>
    <xf numFmtId="0" fontId="19" fillId="0" borderId="29" xfId="0" applyFont="1" applyFill="1" applyBorder="1" applyAlignment="1"/>
    <xf numFmtId="0" fontId="19" fillId="0" borderId="28" xfId="0" applyFont="1" applyFill="1" applyBorder="1" applyAlignment="1"/>
    <xf numFmtId="0" fontId="19" fillId="0" borderId="48" xfId="0" applyFont="1" applyFill="1" applyBorder="1" applyAlignment="1"/>
    <xf numFmtId="0" fontId="9" fillId="0" borderId="0" xfId="0" applyFont="1" applyBorder="1"/>
    <xf numFmtId="0" fontId="9" fillId="0" borderId="0" xfId="0" applyFont="1" applyFill="1" applyBorder="1"/>
    <xf numFmtId="0" fontId="13" fillId="0" borderId="0" xfId="0" applyFont="1" applyFill="1" applyBorder="1" applyAlignment="1"/>
    <xf numFmtId="0" fontId="8" fillId="0" borderId="0" xfId="0" applyFont="1" applyFill="1" applyBorder="1" applyAlignment="1">
      <alignment horizontal="center" textRotation="90"/>
    </xf>
    <xf numFmtId="0" fontId="17" fillId="0" borderId="0" xfId="0" applyFont="1" applyFill="1" applyBorder="1" applyAlignment="1">
      <alignment horizontal="center" vertical="center" textRotation="90"/>
    </xf>
    <xf numFmtId="0" fontId="8" fillId="0" borderId="0" xfId="0" applyFont="1" applyFill="1" applyBorder="1" applyAlignment="1">
      <alignment horizontal="center" textRotation="90" wrapText="1"/>
    </xf>
    <xf numFmtId="0" fontId="13" fillId="0" borderId="0" xfId="0" applyFont="1"/>
    <xf numFmtId="0" fontId="13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textRotation="90" wrapText="1"/>
    </xf>
    <xf numFmtId="1" fontId="13" fillId="0" borderId="0" xfId="0" applyNumberFormat="1" applyFont="1" applyFill="1" applyBorder="1" applyAlignment="1">
      <alignment horizontal="center" vertical="center"/>
    </xf>
    <xf numFmtId="171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9" fontId="13" fillId="0" borderId="0" xfId="1" applyFont="1" applyFill="1" applyBorder="1" applyAlignment="1">
      <alignment horizontal="center" vertical="center"/>
    </xf>
    <xf numFmtId="9" fontId="13" fillId="0" borderId="0" xfId="0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2" fontId="9" fillId="0" borderId="0" xfId="0" applyNumberFormat="1" applyFont="1" applyFill="1" applyBorder="1"/>
    <xf numFmtId="4" fontId="13" fillId="0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3" fontId="9" fillId="0" borderId="0" xfId="0" applyNumberFormat="1" applyFont="1"/>
    <xf numFmtId="2" fontId="0" fillId="0" borderId="8" xfId="0" applyNumberFormat="1" applyFill="1" applyBorder="1" applyAlignment="1">
      <alignment horizontal="center" vertical="center"/>
    </xf>
    <xf numFmtId="0" fontId="0" fillId="0" borderId="9" xfId="0" applyFill="1" applyBorder="1"/>
    <xf numFmtId="170" fontId="18" fillId="0" borderId="11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/>
    </xf>
    <xf numFmtId="164" fontId="20" fillId="0" borderId="11" xfId="0" applyNumberFormat="1" applyFont="1" applyFill="1" applyBorder="1" applyAlignment="1">
      <alignment horizontal="center"/>
    </xf>
    <xf numFmtId="0" fontId="1" fillId="0" borderId="55" xfId="0" applyFont="1" applyBorder="1"/>
    <xf numFmtId="2" fontId="1" fillId="0" borderId="57" xfId="0" applyNumberFormat="1" applyFont="1" applyBorder="1" applyAlignment="1">
      <alignment horizontal="center"/>
    </xf>
    <xf numFmtId="164" fontId="20" fillId="0" borderId="56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0" fontId="18" fillId="0" borderId="1" xfId="0" quotePrefix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wrapText="1"/>
    </xf>
    <xf numFmtId="2" fontId="18" fillId="0" borderId="8" xfId="0" applyNumberFormat="1" applyFont="1" applyFill="1" applyBorder="1" applyAlignment="1">
      <alignment horizontal="center" vertical="center"/>
    </xf>
    <xf numFmtId="1" fontId="18" fillId="0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vertical="center" wrapText="1"/>
    </xf>
    <xf numFmtId="9" fontId="18" fillId="0" borderId="8" xfId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2" fontId="18" fillId="0" borderId="11" xfId="1" applyNumberFormat="1" applyFont="1" applyFill="1" applyBorder="1" applyAlignment="1">
      <alignment horizontal="center" vertical="center"/>
    </xf>
    <xf numFmtId="164" fontId="13" fillId="0" borderId="0" xfId="0" quotePrefix="1" applyNumberFormat="1" applyFont="1" applyFill="1" applyBorder="1" applyAlignment="1">
      <alignment horizontal="center" vertical="center"/>
    </xf>
    <xf numFmtId="2" fontId="13" fillId="0" borderId="0" xfId="0" quotePrefix="1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167" fontId="13" fillId="0" borderId="0" xfId="0" applyNumberFormat="1" applyFont="1" applyFill="1" applyBorder="1" applyAlignment="1">
      <alignment horizontal="center" vertical="center"/>
    </xf>
    <xf numFmtId="167" fontId="13" fillId="0" borderId="0" xfId="0" quotePrefix="1" applyNumberFormat="1" applyFont="1" applyFill="1" applyBorder="1" applyAlignment="1">
      <alignment horizontal="center" vertical="center"/>
    </xf>
    <xf numFmtId="0" fontId="20" fillId="0" borderId="0" xfId="0" quotePrefix="1" applyFont="1" applyBorder="1" applyAlignment="1">
      <alignment horizontal="center"/>
    </xf>
    <xf numFmtId="2" fontId="18" fillId="0" borderId="0" xfId="0" quotePrefix="1" applyNumberFormat="1" applyFont="1" applyBorder="1" applyAlignment="1">
      <alignment horizontal="center" vertical="center"/>
    </xf>
    <xf numFmtId="0" fontId="1" fillId="0" borderId="0" xfId="0" applyFont="1" applyFill="1" applyBorder="1"/>
    <xf numFmtId="172" fontId="0" fillId="0" borderId="0" xfId="0" applyNumberFormat="1" applyFont="1" applyFill="1" applyBorder="1" applyAlignment="1">
      <alignment horizontal="center"/>
    </xf>
    <xf numFmtId="172" fontId="18" fillId="0" borderId="0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172" fontId="0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9" fillId="0" borderId="0" xfId="0" applyFont="1" applyFill="1" applyBorder="1" applyAlignment="1"/>
    <xf numFmtId="4" fontId="0" fillId="0" borderId="0" xfId="0" applyNumberFormat="1" applyFont="1" applyBorder="1" applyAlignment="1">
      <alignment horizontal="center"/>
    </xf>
    <xf numFmtId="0" fontId="0" fillId="0" borderId="58" xfId="0" applyFont="1" applyBorder="1"/>
    <xf numFmtId="0" fontId="0" fillId="0" borderId="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41" xfId="0" applyFont="1" applyFill="1" applyBorder="1" applyAlignment="1"/>
    <xf numFmtId="0" fontId="19" fillId="0" borderId="49" xfId="0" applyFont="1" applyFill="1" applyBorder="1" applyAlignment="1"/>
    <xf numFmtId="4" fontId="18" fillId="0" borderId="10" xfId="0" applyNumberFormat="1" applyFont="1" applyFill="1" applyBorder="1" applyAlignment="1">
      <alignment horizontal="center"/>
    </xf>
    <xf numFmtId="2" fontId="18" fillId="0" borderId="11" xfId="0" applyNumberFormat="1" applyFont="1" applyFill="1" applyBorder="1" applyAlignment="1">
      <alignment horizontal="center" vertical="center"/>
    </xf>
    <xf numFmtId="0" fontId="23" fillId="2" borderId="0" xfId="0" applyFont="1" applyFill="1"/>
    <xf numFmtId="3" fontId="23" fillId="3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/>
    </xf>
    <xf numFmtId="0" fontId="23" fillId="0" borderId="0" xfId="0" applyFont="1" applyAlignment="1">
      <alignment horizontal="center"/>
    </xf>
    <xf numFmtId="0" fontId="20" fillId="0" borderId="7" xfId="0" applyFont="1" applyFill="1" applyBorder="1"/>
    <xf numFmtId="169" fontId="18" fillId="0" borderId="1" xfId="0" applyNumberFormat="1" applyFont="1" applyFill="1" applyBorder="1" applyAlignment="1">
      <alignment horizontal="center"/>
    </xf>
    <xf numFmtId="169" fontId="18" fillId="0" borderId="8" xfId="0" applyNumberFormat="1" applyFont="1" applyFill="1" applyBorder="1" applyAlignment="1">
      <alignment horizontal="center"/>
    </xf>
    <xf numFmtId="0" fontId="20" fillId="0" borderId="9" xfId="0" applyFont="1" applyFill="1" applyBorder="1"/>
    <xf numFmtId="169" fontId="18" fillId="0" borderId="10" xfId="0" applyNumberFormat="1" applyFont="1" applyFill="1" applyBorder="1" applyAlignment="1">
      <alignment horizontal="center"/>
    </xf>
    <xf numFmtId="169" fontId="18" fillId="0" borderId="11" xfId="0" applyNumberFormat="1" applyFont="1" applyFill="1" applyBorder="1" applyAlignment="1">
      <alignment horizontal="center"/>
    </xf>
    <xf numFmtId="0" fontId="23" fillId="0" borderId="0" xfId="0" applyFont="1"/>
    <xf numFmtId="3" fontId="23" fillId="0" borderId="0" xfId="0" applyNumberFormat="1" applyFont="1" applyFill="1" applyAlignment="1">
      <alignment horizontal="center"/>
    </xf>
    <xf numFmtId="0" fontId="23" fillId="0" borderId="0" xfId="0" applyFont="1" applyFill="1"/>
    <xf numFmtId="0" fontId="18" fillId="0" borderId="0" xfId="0" applyFont="1"/>
    <xf numFmtId="3" fontId="20" fillId="0" borderId="0" xfId="0" applyNumberFormat="1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vertical="center" wrapText="1"/>
    </xf>
    <xf numFmtId="0" fontId="18" fillId="0" borderId="10" xfId="0" quotePrefix="1" applyFont="1" applyFill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center" vertical="center"/>
    </xf>
    <xf numFmtId="2" fontId="18" fillId="0" borderId="8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7" xfId="0" applyFill="1" applyBorder="1" applyAlignment="1">
      <alignment wrapText="1"/>
    </xf>
    <xf numFmtId="49" fontId="0" fillId="0" borderId="0" xfId="0" applyNumberFormat="1"/>
    <xf numFmtId="2" fontId="18" fillId="6" borderId="8" xfId="0" applyNumberFormat="1" applyFont="1" applyFill="1" applyBorder="1" applyAlignment="1">
      <alignment horizontal="center" vertical="center"/>
    </xf>
    <xf numFmtId="2" fontId="18" fillId="6" borderId="11" xfId="0" applyNumberFormat="1" applyFont="1" applyFill="1" applyBorder="1" applyAlignment="1">
      <alignment horizontal="center" vertical="center"/>
    </xf>
    <xf numFmtId="2" fontId="18" fillId="0" borderId="12" xfId="0" quotePrefix="1" applyNumberFormat="1" applyFont="1" applyFill="1" applyBorder="1" applyAlignment="1">
      <alignment horizontal="center" vertical="center"/>
    </xf>
    <xf numFmtId="14" fontId="18" fillId="0" borderId="16" xfId="0" quotePrefix="1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49" fontId="0" fillId="0" borderId="0" xfId="0" applyNumberFormat="1" applyFill="1"/>
    <xf numFmtId="0" fontId="1" fillId="0" borderId="0" xfId="0" applyFont="1" applyFill="1"/>
    <xf numFmtId="2" fontId="0" fillId="0" borderId="10" xfId="0" applyNumberFormat="1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left" indent="3"/>
    </xf>
    <xf numFmtId="0" fontId="0" fillId="0" borderId="10" xfId="0" applyFill="1" applyBorder="1" applyAlignment="1">
      <alignment horizontal="center"/>
    </xf>
    <xf numFmtId="0" fontId="19" fillId="0" borderId="7" xfId="0" applyFont="1" applyFill="1" applyBorder="1" applyAlignment="1">
      <alignment vertical="center" wrapText="1"/>
    </xf>
    <xf numFmtId="0" fontId="19" fillId="0" borderId="30" xfId="0" applyFont="1" applyFill="1" applyBorder="1" applyAlignment="1">
      <alignment vertical="center" wrapText="1"/>
    </xf>
    <xf numFmtId="172" fontId="13" fillId="0" borderId="0" xfId="1" applyNumberFormat="1" applyFont="1" applyFill="1" applyBorder="1" applyAlignment="1">
      <alignment horizontal="center" vertical="center"/>
    </xf>
    <xf numFmtId="2" fontId="20" fillId="0" borderId="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70" fontId="13" fillId="0" borderId="0" xfId="0" applyNumberFormat="1" applyFont="1" applyFill="1" applyBorder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/>
    </xf>
    <xf numFmtId="170" fontId="17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7" fillId="7" borderId="14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2" fontId="13" fillId="7" borderId="1" xfId="0" applyNumberFormat="1" applyFont="1" applyFill="1" applyBorder="1" applyAlignment="1">
      <alignment horizontal="center" vertical="center"/>
    </xf>
    <xf numFmtId="170" fontId="13" fillId="7" borderId="8" xfId="0" applyNumberFormat="1" applyFont="1" applyFill="1" applyBorder="1" applyAlignment="1">
      <alignment horizontal="center" vertical="center"/>
    </xf>
    <xf numFmtId="2" fontId="21" fillId="7" borderId="1" xfId="0" applyNumberFormat="1" applyFont="1" applyFill="1" applyBorder="1" applyAlignment="1">
      <alignment horizontal="center"/>
    </xf>
    <xf numFmtId="170" fontId="17" fillId="7" borderId="11" xfId="0" applyNumberFormat="1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wrapText="1"/>
    </xf>
    <xf numFmtId="0" fontId="1" fillId="8" borderId="14" xfId="0" applyFont="1" applyFill="1" applyBorder="1" applyAlignment="1">
      <alignment vertical="center" wrapText="1"/>
    </xf>
    <xf numFmtId="0" fontId="1" fillId="8" borderId="15" xfId="0" applyFon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8" borderId="1" xfId="0" applyFill="1" applyBorder="1" applyAlignment="1">
      <alignment horizontal="center" wrapText="1"/>
    </xf>
    <xf numFmtId="0" fontId="0" fillId="8" borderId="8" xfId="0" applyFill="1" applyBorder="1" applyAlignment="1">
      <alignment horizont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9" borderId="0" xfId="0" applyFill="1"/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17" xfId="0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5" xfId="0" applyFont="1" applyFill="1" applyBorder="1"/>
    <xf numFmtId="0" fontId="0" fillId="6" borderId="12" xfId="0" applyFill="1" applyBorder="1"/>
    <xf numFmtId="0" fontId="0" fillId="6" borderId="2" xfId="0" applyFill="1" applyBorder="1"/>
    <xf numFmtId="0" fontId="0" fillId="6" borderId="21" xfId="0" applyFill="1" applyBorder="1"/>
    <xf numFmtId="0" fontId="0" fillId="6" borderId="1" xfId="0" applyFill="1" applyBorder="1"/>
    <xf numFmtId="0" fontId="0" fillId="6" borderId="9" xfId="0" applyFill="1" applyBorder="1" applyAlignment="1">
      <alignment horizontal="center" vertical="center"/>
    </xf>
    <xf numFmtId="0" fontId="0" fillId="6" borderId="10" xfId="0" applyFill="1" applyBorder="1"/>
    <xf numFmtId="0" fontId="0" fillId="6" borderId="10" xfId="0" applyFill="1" applyBorder="1" applyAlignment="1">
      <alignment horizontal="center"/>
    </xf>
    <xf numFmtId="4" fontId="18" fillId="0" borderId="0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/>
    </xf>
    <xf numFmtId="0" fontId="18" fillId="6" borderId="0" xfId="0" applyFont="1" applyFill="1"/>
    <xf numFmtId="0" fontId="20" fillId="6" borderId="23" xfId="0" applyFont="1" applyFill="1" applyBorder="1" applyAlignment="1">
      <alignment horizontal="left" vertical="top"/>
    </xf>
    <xf numFmtId="0" fontId="20" fillId="6" borderId="14" xfId="0" applyFont="1" applyFill="1" applyBorder="1"/>
    <xf numFmtId="0" fontId="20" fillId="6" borderId="14" xfId="0" applyFont="1" applyFill="1" applyBorder="1" applyAlignment="1">
      <alignment horizontal="center"/>
    </xf>
    <xf numFmtId="0" fontId="20" fillId="6" borderId="15" xfId="0" applyFont="1" applyFill="1" applyBorder="1" applyAlignment="1">
      <alignment horizontal="center"/>
    </xf>
    <xf numFmtId="0" fontId="20" fillId="6" borderId="18" xfId="0" applyFont="1" applyFill="1" applyBorder="1" applyAlignment="1">
      <alignment horizontal="left" vertical="top"/>
    </xf>
    <xf numFmtId="0" fontId="18" fillId="6" borderId="1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wrapText="1"/>
    </xf>
    <xf numFmtId="2" fontId="18" fillId="6" borderId="1" xfId="0" applyNumberFormat="1" applyFont="1" applyFill="1" applyBorder="1" applyAlignment="1">
      <alignment horizontal="center" vertical="center"/>
    </xf>
    <xf numFmtId="0" fontId="18" fillId="6" borderId="16" xfId="0" applyFont="1" applyFill="1" applyBorder="1"/>
    <xf numFmtId="0" fontId="18" fillId="6" borderId="12" xfId="0" applyFont="1" applyFill="1" applyBorder="1" applyAlignment="1">
      <alignment horizontal="center" vertical="center"/>
    </xf>
    <xf numFmtId="2" fontId="18" fillId="6" borderId="12" xfId="0" applyNumberFormat="1" applyFont="1" applyFill="1" applyBorder="1" applyAlignment="1">
      <alignment horizontal="center" vertical="center"/>
    </xf>
    <xf numFmtId="2" fontId="18" fillId="6" borderId="17" xfId="0" applyNumberFormat="1" applyFont="1" applyFill="1" applyBorder="1" applyAlignment="1">
      <alignment horizontal="center" vertical="center"/>
    </xf>
    <xf numFmtId="2" fontId="18" fillId="6" borderId="10" xfId="0" applyNumberFormat="1" applyFont="1" applyFill="1" applyBorder="1" applyAlignment="1">
      <alignment horizontal="center" vertical="center"/>
    </xf>
    <xf numFmtId="0" fontId="0" fillId="10" borderId="0" xfId="0" applyFill="1"/>
    <xf numFmtId="2" fontId="18" fillId="0" borderId="8" xfId="0" applyNumberFormat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/>
    </xf>
    <xf numFmtId="173" fontId="18" fillId="0" borderId="1" xfId="0" applyNumberFormat="1" applyFont="1" applyFill="1" applyBorder="1" applyAlignment="1">
      <alignment horizontal="center"/>
    </xf>
    <xf numFmtId="0" fontId="19" fillId="0" borderId="7" xfId="0" applyFont="1" applyFill="1" applyBorder="1"/>
    <xf numFmtId="170" fontId="18" fillId="0" borderId="8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29" xfId="0" applyFont="1" applyFill="1" applyBorder="1"/>
    <xf numFmtId="0" fontId="0" fillId="0" borderId="28" xfId="0" applyFont="1" applyFill="1" applyBorder="1"/>
    <xf numFmtId="0" fontId="0" fillId="0" borderId="0" xfId="0" applyFont="1" applyFill="1"/>
    <xf numFmtId="0" fontId="0" fillId="0" borderId="3" xfId="0" applyFont="1" applyFill="1" applyBorder="1"/>
    <xf numFmtId="0" fontId="1" fillId="0" borderId="1" xfId="0" applyFont="1" applyFill="1" applyBorder="1"/>
    <xf numFmtId="0" fontId="0" fillId="0" borderId="1" xfId="0" applyNumberFormat="1" applyFill="1" applyBorder="1"/>
    <xf numFmtId="0" fontId="0" fillId="0" borderId="1" xfId="0" applyNumberFormat="1" applyFont="1" applyFill="1" applyBorder="1"/>
    <xf numFmtId="0" fontId="19" fillId="0" borderId="7" xfId="0" applyFont="1" applyFill="1" applyBorder="1" applyAlignment="1">
      <alignment horizontal="center"/>
    </xf>
    <xf numFmtId="4" fontId="18" fillId="0" borderId="8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4" fontId="20" fillId="0" borderId="10" xfId="0" applyNumberFormat="1" applyFont="1" applyFill="1" applyBorder="1" applyAlignment="1">
      <alignment horizontal="center"/>
    </xf>
    <xf numFmtId="4" fontId="20" fillId="0" borderId="11" xfId="0" applyNumberFormat="1" applyFont="1" applyFill="1" applyBorder="1" applyAlignment="1">
      <alignment horizontal="center"/>
    </xf>
    <xf numFmtId="3" fontId="18" fillId="0" borderId="1" xfId="0" applyNumberFormat="1" applyFont="1" applyFill="1" applyBorder="1" applyAlignment="1">
      <alignment horizontal="center"/>
    </xf>
    <xf numFmtId="3" fontId="18" fillId="0" borderId="1" xfId="0" quotePrefix="1" applyNumberFormat="1" applyFont="1" applyFill="1" applyBorder="1" applyAlignment="1">
      <alignment horizontal="center"/>
    </xf>
    <xf numFmtId="169" fontId="20" fillId="0" borderId="8" xfId="0" applyNumberFormat="1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/>
    </xf>
    <xf numFmtId="3" fontId="18" fillId="0" borderId="10" xfId="0" applyNumberFormat="1" applyFont="1" applyFill="1" applyBorder="1" applyAlignment="1">
      <alignment horizontal="center"/>
    </xf>
    <xf numFmtId="3" fontId="20" fillId="0" borderId="11" xfId="0" applyNumberFormat="1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 vertical="center" wrapText="1"/>
    </xf>
    <xf numFmtId="2" fontId="18" fillId="0" borderId="8" xfId="0" applyNumberFormat="1" applyFont="1" applyFill="1" applyBorder="1" applyAlignment="1">
      <alignment horizontal="center" vertical="center" wrapText="1"/>
    </xf>
    <xf numFmtId="4" fontId="20" fillId="0" borderId="8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4" fontId="20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/>
    </xf>
    <xf numFmtId="2" fontId="0" fillId="0" borderId="8" xfId="0" quotePrefix="1" applyNumberFormat="1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/>
    </xf>
    <xf numFmtId="14" fontId="18" fillId="0" borderId="7" xfId="0" quotePrefix="1" applyNumberFormat="1" applyFont="1" applyFill="1" applyBorder="1" applyAlignment="1">
      <alignment horizontal="left" vertical="center"/>
    </xf>
    <xf numFmtId="0" fontId="0" fillId="0" borderId="18" xfId="0" applyFill="1" applyBorder="1" applyAlignment="1">
      <alignment wrapText="1"/>
    </xf>
    <xf numFmtId="2" fontId="0" fillId="0" borderId="2" xfId="0" applyNumberFormat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0" fontId="0" fillId="0" borderId="9" xfId="0" applyBorder="1"/>
    <xf numFmtId="170" fontId="13" fillId="0" borderId="8" xfId="0" applyNumberFormat="1" applyFont="1" applyFill="1" applyBorder="1" applyAlignment="1">
      <alignment horizontal="center" vertical="center"/>
    </xf>
    <xf numFmtId="170" fontId="17" fillId="0" borderId="11" xfId="0" applyNumberFormat="1" applyFont="1" applyFill="1" applyBorder="1" applyAlignment="1">
      <alignment horizontal="center" vertical="center"/>
    </xf>
    <xf numFmtId="0" fontId="20" fillId="11" borderId="15" xfId="0" applyFont="1" applyFill="1" applyBorder="1" applyAlignment="1">
      <alignment vertical="center"/>
    </xf>
    <xf numFmtId="0" fontId="20" fillId="11" borderId="26" xfId="0" applyFont="1" applyFill="1" applyBorder="1" applyAlignment="1">
      <alignment vertical="center"/>
    </xf>
    <xf numFmtId="2" fontId="18" fillId="0" borderId="28" xfId="0" applyNumberFormat="1" applyFont="1" applyFill="1" applyBorder="1" applyAlignment="1">
      <alignment horizontal="center" vertical="center"/>
    </xf>
    <xf numFmtId="4" fontId="20" fillId="0" borderId="28" xfId="0" applyNumberFormat="1" applyFont="1" applyFill="1" applyBorder="1" applyAlignment="1">
      <alignment horizontal="center" vertical="center" wrapText="1"/>
    </xf>
    <xf numFmtId="4" fontId="20" fillId="0" borderId="49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/>
    </xf>
    <xf numFmtId="0" fontId="19" fillId="11" borderId="15" xfId="0" applyFont="1" applyFill="1" applyBorder="1" applyAlignment="1">
      <alignment horizontal="center"/>
    </xf>
    <xf numFmtId="0" fontId="19" fillId="11" borderId="14" xfId="0" applyFont="1" applyFill="1" applyBorder="1" applyAlignment="1">
      <alignment horizontal="center" vertical="center"/>
    </xf>
    <xf numFmtId="0" fontId="1" fillId="11" borderId="14" xfId="0" applyFont="1" applyFill="1" applyBorder="1"/>
    <xf numFmtId="0" fontId="1" fillId="11" borderId="15" xfId="0" applyFont="1" applyFill="1" applyBorder="1"/>
    <xf numFmtId="0" fontId="1" fillId="11" borderId="1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26" fillId="12" borderId="62" xfId="0" applyFont="1" applyFill="1" applyBorder="1" applyAlignment="1">
      <alignment horizontal="center" vertical="top" wrapText="1"/>
    </xf>
    <xf numFmtId="0" fontId="26" fillId="12" borderId="44" xfId="0" applyFont="1" applyFill="1" applyBorder="1" applyAlignment="1">
      <alignment horizontal="center" vertical="top" wrapText="1"/>
    </xf>
    <xf numFmtId="0" fontId="27" fillId="12" borderId="44" xfId="0" applyFont="1" applyFill="1" applyBorder="1" applyAlignment="1">
      <alignment horizontal="center" vertical="top" wrapText="1"/>
    </xf>
    <xf numFmtId="0" fontId="26" fillId="12" borderId="63" xfId="0" applyFont="1" applyFill="1" applyBorder="1" applyAlignment="1">
      <alignment horizontal="center" vertical="top" wrapText="1"/>
    </xf>
    <xf numFmtId="0" fontId="32" fillId="0" borderId="65" xfId="0" applyFont="1" applyBorder="1" applyAlignment="1">
      <alignment vertical="top" wrapText="1"/>
    </xf>
    <xf numFmtId="0" fontId="32" fillId="0" borderId="47" xfId="0" applyFont="1" applyBorder="1" applyAlignment="1">
      <alignment horizontal="center" vertical="top" wrapText="1"/>
    </xf>
    <xf numFmtId="0" fontId="32" fillId="0" borderId="46" xfId="0" applyFont="1" applyBorder="1" applyAlignment="1">
      <alignment horizontal="center" vertical="top" wrapText="1"/>
    </xf>
    <xf numFmtId="0" fontId="32" fillId="0" borderId="66" xfId="0" applyFont="1" applyBorder="1" applyAlignment="1">
      <alignment horizontal="center" vertical="top" wrapText="1"/>
    </xf>
    <xf numFmtId="0" fontId="26" fillId="0" borderId="65" xfId="0" applyFont="1" applyBorder="1" applyAlignment="1">
      <alignment vertical="top" wrapText="1"/>
    </xf>
    <xf numFmtId="0" fontId="26" fillId="0" borderId="47" xfId="0" applyFont="1" applyBorder="1" applyAlignment="1">
      <alignment horizontal="center" vertical="top" wrapText="1"/>
    </xf>
    <xf numFmtId="0" fontId="26" fillId="0" borderId="46" xfId="0" applyFont="1" applyBorder="1" applyAlignment="1">
      <alignment horizontal="center" vertical="top" wrapText="1"/>
    </xf>
    <xf numFmtId="0" fontId="26" fillId="0" borderId="66" xfId="0" applyFont="1" applyBorder="1" applyAlignment="1">
      <alignment horizontal="center" vertical="top" wrapText="1"/>
    </xf>
    <xf numFmtId="0" fontId="26" fillId="0" borderId="61" xfId="0" applyFont="1" applyBorder="1" applyAlignment="1">
      <alignment vertical="top" wrapText="1"/>
    </xf>
    <xf numFmtId="0" fontId="26" fillId="0" borderId="63" xfId="0" applyFont="1" applyBorder="1" applyAlignment="1">
      <alignment horizontal="center" vertical="top" wrapText="1"/>
    </xf>
    <xf numFmtId="0" fontId="26" fillId="0" borderId="67" xfId="0" applyFont="1" applyBorder="1" applyAlignment="1">
      <alignment horizontal="center" wrapText="1"/>
    </xf>
    <xf numFmtId="0" fontId="26" fillId="0" borderId="63" xfId="0" applyFont="1" applyBorder="1" applyAlignment="1">
      <alignment horizontal="center" wrapText="1"/>
    </xf>
    <xf numFmtId="0" fontId="26" fillId="0" borderId="64" xfId="0" applyFont="1" applyBorder="1" applyAlignment="1">
      <alignment horizontal="center" vertical="top" wrapText="1"/>
    </xf>
    <xf numFmtId="0" fontId="0" fillId="0" borderId="14" xfId="0" applyFill="1" applyBorder="1"/>
    <xf numFmtId="0" fontId="0" fillId="0" borderId="15" xfId="0" applyFill="1" applyBorder="1"/>
    <xf numFmtId="0" fontId="0" fillId="0" borderId="10" xfId="0" applyFill="1" applyBorder="1"/>
    <xf numFmtId="0" fontId="0" fillId="0" borderId="11" xfId="0" applyFill="1" applyBorder="1"/>
    <xf numFmtId="0" fontId="1" fillId="11" borderId="13" xfId="0" applyFont="1" applyFill="1" applyBorder="1"/>
    <xf numFmtId="0" fontId="1" fillId="11" borderId="9" xfId="0" applyFont="1" applyFill="1" applyBorder="1"/>
    <xf numFmtId="0" fontId="19" fillId="0" borderId="0" xfId="0" applyFont="1" applyFill="1" applyBorder="1" applyAlignment="1">
      <alignment vertical="center" wrapText="1"/>
    </xf>
    <xf numFmtId="2" fontId="18" fillId="0" borderId="0" xfId="1" applyNumberFormat="1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/>
    </xf>
    <xf numFmtId="4" fontId="18" fillId="0" borderId="19" xfId="0" applyNumberFormat="1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left" vertical="center" wrapText="1"/>
    </xf>
    <xf numFmtId="0" fontId="10" fillId="13" borderId="14" xfId="0" applyFont="1" applyFill="1" applyBorder="1" applyAlignment="1">
      <alignment horizontal="center" vertical="center"/>
    </xf>
    <xf numFmtId="0" fontId="10" fillId="13" borderId="15" xfId="0" applyFont="1" applyFill="1" applyBorder="1" applyAlignment="1">
      <alignment horizontal="center" vertical="center"/>
    </xf>
    <xf numFmtId="0" fontId="1" fillId="14" borderId="34" xfId="0" applyFont="1" applyFill="1" applyBorder="1" applyAlignment="1">
      <alignment horizontal="center"/>
    </xf>
    <xf numFmtId="0" fontId="1" fillId="14" borderId="34" xfId="0" applyFont="1" applyFill="1" applyBorder="1" applyAlignment="1"/>
    <xf numFmtId="0" fontId="1" fillId="14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1" fillId="10" borderId="46" xfId="0" applyFont="1" applyFill="1" applyBorder="1" applyAlignment="1">
      <alignment horizontal="center"/>
    </xf>
    <xf numFmtId="0" fontId="1" fillId="15" borderId="0" xfId="0" applyFont="1" applyFill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73" xfId="0" applyFont="1" applyBorder="1"/>
    <xf numFmtId="0" fontId="0" fillId="16" borderId="74" xfId="0" applyFill="1" applyBorder="1"/>
    <xf numFmtId="0" fontId="0" fillId="17" borderId="75" xfId="0" applyFill="1" applyBorder="1"/>
    <xf numFmtId="0" fontId="0" fillId="17" borderId="73" xfId="0" applyFill="1" applyBorder="1"/>
    <xf numFmtId="0" fontId="0" fillId="0" borderId="76" xfId="0" applyFill="1" applyBorder="1"/>
    <xf numFmtId="0" fontId="0" fillId="18" borderId="77" xfId="0" applyFill="1" applyBorder="1"/>
    <xf numFmtId="0" fontId="0" fillId="0" borderId="78" xfId="0" applyBorder="1"/>
    <xf numFmtId="1" fontId="0" fillId="16" borderId="74" xfId="0" applyNumberFormat="1" applyFill="1" applyBorder="1"/>
    <xf numFmtId="0" fontId="0" fillId="17" borderId="79" xfId="0" applyFill="1" applyBorder="1"/>
    <xf numFmtId="0" fontId="0" fillId="17" borderId="74" xfId="0" applyFill="1" applyBorder="1"/>
    <xf numFmtId="1" fontId="0" fillId="18" borderId="77" xfId="0" applyNumberFormat="1" applyFill="1" applyBorder="1"/>
    <xf numFmtId="4" fontId="18" fillId="0" borderId="50" xfId="0" applyNumberFormat="1" applyFont="1" applyFill="1" applyBorder="1" applyAlignment="1">
      <alignment horizontal="center"/>
    </xf>
    <xf numFmtId="4" fontId="20" fillId="0" borderId="50" xfId="0" applyNumberFormat="1" applyFont="1" applyFill="1" applyBorder="1" applyAlignment="1">
      <alignment horizontal="center"/>
    </xf>
    <xf numFmtId="4" fontId="20" fillId="0" borderId="32" xfId="0" applyNumberFormat="1" applyFont="1" applyFill="1" applyBorder="1" applyAlignment="1">
      <alignment horizontal="center"/>
    </xf>
    <xf numFmtId="3" fontId="20" fillId="0" borderId="8" xfId="0" applyNumberFormat="1" applyFont="1" applyFill="1" applyBorder="1" applyAlignment="1">
      <alignment horizontal="center"/>
    </xf>
    <xf numFmtId="0" fontId="19" fillId="0" borderId="6" xfId="0" applyFont="1" applyFill="1" applyBorder="1" applyAlignment="1">
      <alignment vertical="center"/>
    </xf>
    <xf numFmtId="0" fontId="19" fillId="0" borderId="50" xfId="0" applyFont="1" applyFill="1" applyBorder="1" applyAlignment="1"/>
    <xf numFmtId="0" fontId="19" fillId="0" borderId="50" xfId="0" applyFont="1" applyFill="1" applyBorder="1" applyAlignment="1">
      <alignment horizontal="center" vertical="center"/>
    </xf>
    <xf numFmtId="0" fontId="19" fillId="13" borderId="1" xfId="0" applyFont="1" applyFill="1" applyBorder="1" applyAlignment="1">
      <alignment horizontal="center"/>
    </xf>
    <xf numFmtId="0" fontId="19" fillId="13" borderId="27" xfId="0" applyFont="1" applyFill="1" applyBorder="1" applyAlignment="1">
      <alignment horizontal="center" vertical="center"/>
    </xf>
    <xf numFmtId="0" fontId="19" fillId="13" borderId="8" xfId="0" applyFont="1" applyFill="1" applyBorder="1" applyAlignment="1">
      <alignment horizontal="center" vertical="center"/>
    </xf>
    <xf numFmtId="0" fontId="19" fillId="13" borderId="14" xfId="0" applyFont="1" applyFill="1" applyBorder="1" applyAlignment="1">
      <alignment horizontal="center"/>
    </xf>
    <xf numFmtId="0" fontId="19" fillId="13" borderId="15" xfId="0" applyFont="1" applyFill="1" applyBorder="1" applyAlignment="1">
      <alignment horizontal="center"/>
    </xf>
    <xf numFmtId="0" fontId="19" fillId="13" borderId="8" xfId="0" applyFont="1" applyFill="1" applyBorder="1" applyAlignment="1">
      <alignment horizontal="center"/>
    </xf>
    <xf numFmtId="0" fontId="20" fillId="13" borderId="13" xfId="0" applyFont="1" applyFill="1" applyBorder="1" applyAlignment="1">
      <alignment vertical="center"/>
    </xf>
    <xf numFmtId="0" fontId="20" fillId="13" borderId="15" xfId="0" applyFont="1" applyFill="1" applyBorder="1" applyAlignment="1">
      <alignment vertical="center"/>
    </xf>
    <xf numFmtId="0" fontId="19" fillId="13" borderId="17" xfId="0" applyFont="1" applyFill="1" applyBorder="1" applyAlignment="1">
      <alignment horizontal="center"/>
    </xf>
    <xf numFmtId="4" fontId="17" fillId="0" borderId="54" xfId="0" applyNumberFormat="1" applyFont="1" applyFill="1" applyBorder="1" applyAlignment="1">
      <alignment vertical="center" wrapText="1"/>
    </xf>
    <xf numFmtId="4" fontId="17" fillId="0" borderId="20" xfId="0" applyNumberFormat="1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2" fontId="21" fillId="0" borderId="2" xfId="0" quotePrefix="1" applyNumberFormat="1" applyFont="1" applyFill="1" applyBorder="1" applyAlignment="1">
      <alignment horizontal="center"/>
    </xf>
    <xf numFmtId="2" fontId="13" fillId="0" borderId="2" xfId="0" applyNumberFormat="1" applyFont="1" applyFill="1" applyBorder="1" applyAlignment="1">
      <alignment horizontal="center" vertical="center"/>
    </xf>
    <xf numFmtId="170" fontId="13" fillId="0" borderId="19" xfId="0" applyNumberFormat="1" applyFont="1" applyFill="1" applyBorder="1" applyAlignment="1">
      <alignment horizontal="center" vertical="center"/>
    </xf>
    <xf numFmtId="4" fontId="17" fillId="0" borderId="9" xfId="0" applyNumberFormat="1" applyFont="1" applyFill="1" applyBorder="1" applyAlignment="1">
      <alignment vertical="center" wrapText="1"/>
    </xf>
    <xf numFmtId="0" fontId="17" fillId="0" borderId="10" xfId="0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170" fontId="13" fillId="0" borderId="11" xfId="0" applyNumberFormat="1" applyFont="1" applyFill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/>
    </xf>
    <xf numFmtId="0" fontId="17" fillId="13" borderId="15" xfId="0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/>
    </xf>
    <xf numFmtId="0" fontId="17" fillId="13" borderId="8" xfId="0" applyFont="1" applyFill="1" applyBorder="1" applyAlignment="1">
      <alignment horizontal="center" vertical="center"/>
    </xf>
    <xf numFmtId="0" fontId="0" fillId="13" borderId="7" xfId="0" applyFill="1" applyBorder="1" applyAlignment="1">
      <alignment vertical="center" wrapText="1"/>
    </xf>
    <xf numFmtId="0" fontId="0" fillId="13" borderId="1" xfId="0" applyFill="1" applyBorder="1" applyAlignment="1">
      <alignment vertical="center" wrapText="1"/>
    </xf>
    <xf numFmtId="0" fontId="0" fillId="13" borderId="8" xfId="0" applyFill="1" applyBorder="1" applyAlignment="1">
      <alignment vertical="center" wrapText="1"/>
    </xf>
    <xf numFmtId="0" fontId="0" fillId="13" borderId="13" xfId="0" applyFill="1" applyBorder="1" applyAlignment="1">
      <alignment vertical="center" wrapText="1"/>
    </xf>
    <xf numFmtId="0" fontId="0" fillId="13" borderId="14" xfId="0" applyFill="1" applyBorder="1" applyAlignment="1">
      <alignment vertical="center" wrapText="1"/>
    </xf>
    <xf numFmtId="0" fontId="0" fillId="13" borderId="15" xfId="0" applyFill="1" applyBorder="1" applyAlignment="1">
      <alignment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20" fillId="13" borderId="15" xfId="0" applyFont="1" applyFill="1" applyBorder="1" applyAlignment="1">
      <alignment horizontal="center" vertical="center"/>
    </xf>
    <xf numFmtId="0" fontId="20" fillId="13" borderId="1" xfId="0" applyFont="1" applyFill="1" applyBorder="1" applyAlignment="1">
      <alignment horizontal="center" vertical="center"/>
    </xf>
    <xf numFmtId="0" fontId="20" fillId="13" borderId="8" xfId="0" applyFont="1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15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vertical="center" wrapText="1"/>
    </xf>
    <xf numFmtId="0" fontId="0" fillId="6" borderId="10" xfId="0" applyFill="1" applyBorder="1" applyAlignment="1">
      <alignment horizontal="left" vertical="center" wrapText="1"/>
    </xf>
    <xf numFmtId="2" fontId="0" fillId="0" borderId="0" xfId="0" applyNumberFormat="1"/>
    <xf numFmtId="0" fontId="1" fillId="13" borderId="13" xfId="0" applyFont="1" applyFill="1" applyBorder="1" applyAlignment="1">
      <alignment horizontal="center"/>
    </xf>
    <xf numFmtId="0" fontId="1" fillId="13" borderId="14" xfId="0" applyFont="1" applyFill="1" applyBorder="1"/>
    <xf numFmtId="0" fontId="1" fillId="13" borderId="15" xfId="0" applyFont="1" applyFill="1" applyBorder="1"/>
    <xf numFmtId="0" fontId="20" fillId="13" borderId="14" xfId="0" applyFont="1" applyFill="1" applyBorder="1" applyAlignment="1">
      <alignment horizontal="center"/>
    </xf>
    <xf numFmtId="0" fontId="20" fillId="13" borderId="15" xfId="0" applyFont="1" applyFill="1" applyBorder="1"/>
    <xf numFmtId="0" fontId="20" fillId="13" borderId="1" xfId="0" applyFont="1" applyFill="1" applyBorder="1" applyAlignment="1">
      <alignment horizontal="center"/>
    </xf>
    <xf numFmtId="0" fontId="20" fillId="13" borderId="8" xfId="0" applyFont="1" applyFill="1" applyBorder="1" applyAlignment="1">
      <alignment horizontal="center"/>
    </xf>
    <xf numFmtId="0" fontId="20" fillId="13" borderId="23" xfId="0" applyFont="1" applyFill="1" applyBorder="1" applyAlignment="1">
      <alignment horizontal="left" vertical="center"/>
    </xf>
    <xf numFmtId="0" fontId="20" fillId="13" borderId="25" xfId="0" applyFont="1" applyFill="1" applyBorder="1" applyAlignment="1">
      <alignment horizontal="center"/>
    </xf>
    <xf numFmtId="0" fontId="20" fillId="13" borderId="26" xfId="0" applyFont="1" applyFill="1" applyBorder="1" applyAlignment="1">
      <alignment horizontal="center"/>
    </xf>
    <xf numFmtId="0" fontId="20" fillId="13" borderId="18" xfId="0" applyFont="1" applyFill="1" applyBorder="1" applyAlignment="1">
      <alignment horizontal="left" vertical="center"/>
    </xf>
    <xf numFmtId="1" fontId="0" fillId="0" borderId="12" xfId="0" applyNumberFormat="1" applyBorder="1" applyAlignment="1">
      <alignment horizontal="center"/>
    </xf>
    <xf numFmtId="4" fontId="0" fillId="0" borderId="1" xfId="0" quotePrefix="1" applyNumberFormat="1" applyBorder="1" applyAlignment="1">
      <alignment horizontal="center"/>
    </xf>
    <xf numFmtId="0" fontId="33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4" fillId="18" borderId="0" xfId="0" applyFont="1" applyFill="1" applyBorder="1" applyAlignment="1">
      <alignment vertical="center"/>
    </xf>
    <xf numFmtId="0" fontId="34" fillId="18" borderId="0" xfId="0" applyFont="1" applyFill="1" applyAlignment="1">
      <alignment vertical="center"/>
    </xf>
    <xf numFmtId="0" fontId="35" fillId="0" borderId="0" xfId="0" applyFont="1" applyFill="1" applyBorder="1" applyAlignment="1">
      <alignment vertical="center"/>
    </xf>
    <xf numFmtId="0" fontId="34" fillId="16" borderId="1" xfId="0" applyFont="1" applyFill="1" applyBorder="1" applyAlignment="1">
      <alignment horizontal="center" vertical="center"/>
    </xf>
    <xf numFmtId="0" fontId="34" fillId="9" borderId="1" xfId="0" applyFont="1" applyFill="1" applyBorder="1" applyAlignment="1">
      <alignment horizontal="justify" vertical="center"/>
    </xf>
    <xf numFmtId="0" fontId="34" fillId="0" borderId="0" xfId="0" applyFont="1" applyFill="1" applyAlignment="1">
      <alignment vertical="center"/>
    </xf>
    <xf numFmtId="0" fontId="35" fillId="9" borderId="1" xfId="0" applyFont="1" applyFill="1" applyBorder="1" applyAlignment="1">
      <alignment vertical="center"/>
    </xf>
    <xf numFmtId="0" fontId="34" fillId="9" borderId="1" xfId="0" applyFont="1" applyFill="1" applyBorder="1" applyAlignment="1">
      <alignment vertical="center"/>
    </xf>
    <xf numFmtId="0" fontId="34" fillId="9" borderId="1" xfId="0" applyFont="1" applyFill="1" applyBorder="1" applyAlignment="1">
      <alignment horizontal="left" vertical="center"/>
    </xf>
    <xf numFmtId="0" fontId="35" fillId="16" borderId="1" xfId="0" applyFont="1" applyFill="1" applyBorder="1" applyAlignment="1">
      <alignment vertical="center"/>
    </xf>
    <xf numFmtId="0" fontId="36" fillId="9" borderId="1" xfId="0" applyFont="1" applyFill="1" applyBorder="1" applyAlignment="1">
      <alignment horizontal="justify" vertical="center"/>
    </xf>
    <xf numFmtId="0" fontId="35" fillId="9" borderId="1" xfId="0" applyFont="1" applyFill="1" applyBorder="1" applyAlignment="1">
      <alignment horizontal="justify" vertical="center"/>
    </xf>
    <xf numFmtId="0" fontId="34" fillId="16" borderId="1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44" xfId="0" applyFont="1" applyFill="1" applyBorder="1" applyAlignment="1">
      <alignment horizontal="center" vertical="center"/>
    </xf>
    <xf numFmtId="2" fontId="34" fillId="16" borderId="1" xfId="0" applyNumberFormat="1" applyFont="1" applyFill="1" applyBorder="1" applyAlignment="1">
      <alignment vertical="center"/>
    </xf>
    <xf numFmtId="2" fontId="34" fillId="0" borderId="46" xfId="0" applyNumberFormat="1" applyFont="1" applyFill="1" applyBorder="1" applyAlignment="1">
      <alignment horizontal="center" vertical="center"/>
    </xf>
    <xf numFmtId="0" fontId="34" fillId="0" borderId="46" xfId="0" applyFont="1" applyFill="1" applyBorder="1" applyAlignment="1">
      <alignment horizontal="center" vertical="center"/>
    </xf>
    <xf numFmtId="2" fontId="34" fillId="0" borderId="47" xfId="0" applyNumberFormat="1" applyFont="1" applyFill="1" applyBorder="1" applyAlignment="1">
      <alignment horizontal="center" vertical="center"/>
    </xf>
    <xf numFmtId="1" fontId="34" fillId="16" borderId="1" xfId="0" applyNumberFormat="1" applyFont="1" applyFill="1" applyBorder="1" applyAlignment="1">
      <alignment vertical="center"/>
    </xf>
    <xf numFmtId="1" fontId="34" fillId="16" borderId="1" xfId="0" applyNumberFormat="1" applyFont="1" applyFill="1" applyBorder="1" applyAlignment="1">
      <alignment horizontal="center" vertical="center"/>
    </xf>
    <xf numFmtId="10" fontId="34" fillId="16" borderId="1" xfId="0" applyNumberFormat="1" applyFont="1" applyFill="1" applyBorder="1" applyAlignment="1">
      <alignment horizontal="center" vertical="center"/>
    </xf>
    <xf numFmtId="172" fontId="35" fillId="18" borderId="1" xfId="0" applyNumberFormat="1" applyFont="1" applyFill="1" applyBorder="1" applyAlignment="1">
      <alignment horizontal="right" vertical="center"/>
    </xf>
    <xf numFmtId="0" fontId="35" fillId="9" borderId="1" xfId="0" applyFont="1" applyFill="1" applyBorder="1" applyAlignment="1">
      <alignment horizontal="center" vertical="center"/>
    </xf>
    <xf numFmtId="172" fontId="35" fillId="18" borderId="1" xfId="0" applyNumberFormat="1" applyFont="1" applyFill="1" applyBorder="1" applyAlignment="1">
      <alignment vertical="center"/>
    </xf>
    <xf numFmtId="0" fontId="34" fillId="16" borderId="1" xfId="0" quotePrefix="1" applyFont="1" applyFill="1" applyBorder="1" applyAlignment="1">
      <alignment horizontal="center" vertical="center"/>
    </xf>
    <xf numFmtId="4" fontId="0" fillId="0" borderId="8" xfId="0" quotePrefix="1" applyNumberFormat="1" applyBorder="1" applyAlignment="1">
      <alignment horizontal="center"/>
    </xf>
    <xf numFmtId="2" fontId="34" fillId="0" borderId="0" xfId="0" applyNumberFormat="1" applyFont="1" applyFill="1" applyAlignment="1">
      <alignment vertical="center"/>
    </xf>
    <xf numFmtId="2" fontId="36" fillId="0" borderId="0" xfId="0" applyNumberFormat="1" applyFont="1" applyFill="1" applyBorder="1" applyAlignment="1">
      <alignment vertical="center"/>
    </xf>
    <xf numFmtId="172" fontId="0" fillId="0" borderId="0" xfId="0" applyNumberFormat="1"/>
    <xf numFmtId="0" fontId="0" fillId="0" borderId="7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13" borderId="4" xfId="0" applyFill="1" applyBorder="1" applyAlignment="1">
      <alignment horizontal="left"/>
    </xf>
    <xf numFmtId="0" fontId="0" fillId="13" borderId="5" xfId="0" applyFill="1" applyBorder="1" applyAlignment="1">
      <alignment horizontal="left"/>
    </xf>
    <xf numFmtId="0" fontId="0" fillId="13" borderId="6" xfId="0" applyFill="1" applyBorder="1" applyAlignment="1">
      <alignment horizontal="left"/>
    </xf>
    <xf numFmtId="4" fontId="17" fillId="7" borderId="7" xfId="0" applyNumberFormat="1" applyFont="1" applyFill="1" applyBorder="1" applyAlignment="1">
      <alignment horizontal="center" vertical="center" wrapText="1"/>
    </xf>
    <xf numFmtId="4" fontId="17" fillId="7" borderId="9" xfId="0" applyNumberFormat="1" applyFont="1" applyFill="1" applyBorder="1" applyAlignment="1">
      <alignment horizontal="center" vertical="center" wrapText="1"/>
    </xf>
    <xf numFmtId="0" fontId="17" fillId="7" borderId="27" xfId="0" applyFont="1" applyFill="1" applyBorder="1" applyAlignment="1">
      <alignment horizontal="left" vertical="center"/>
    </xf>
    <xf numFmtId="0" fontId="17" fillId="7" borderId="28" xfId="0" applyFont="1" applyFill="1" applyBorder="1" applyAlignment="1">
      <alignment horizontal="left" vertical="center"/>
    </xf>
    <xf numFmtId="0" fontId="17" fillId="7" borderId="31" xfId="0" applyFont="1" applyFill="1" applyBorder="1" applyAlignment="1">
      <alignment horizontal="left" vertical="center"/>
    </xf>
    <xf numFmtId="0" fontId="17" fillId="7" borderId="41" xfId="0" applyFont="1" applyFill="1" applyBorder="1" applyAlignment="1">
      <alignment horizontal="left" vertical="center"/>
    </xf>
    <xf numFmtId="0" fontId="17" fillId="7" borderId="49" xfId="0" applyFont="1" applyFill="1" applyBorder="1" applyAlignment="1">
      <alignment horizontal="left" vertical="center"/>
    </xf>
    <xf numFmtId="4" fontId="17" fillId="7" borderId="33" xfId="0" applyNumberFormat="1" applyFont="1" applyFill="1" applyBorder="1" applyAlignment="1">
      <alignment horizontal="center" vertical="center"/>
    </xf>
    <xf numFmtId="4" fontId="17" fillId="7" borderId="52" xfId="0" applyNumberFormat="1" applyFont="1" applyFill="1" applyBorder="1" applyAlignment="1">
      <alignment horizontal="center" vertical="center"/>
    </xf>
    <xf numFmtId="4" fontId="17" fillId="7" borderId="53" xfId="0" applyNumberFormat="1" applyFont="1" applyFill="1" applyBorder="1" applyAlignment="1">
      <alignment horizontal="center" vertical="center"/>
    </xf>
    <xf numFmtId="4" fontId="17" fillId="7" borderId="51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" fontId="0" fillId="6" borderId="17" xfId="0" applyNumberFormat="1" applyFill="1" applyBorder="1" applyAlignment="1">
      <alignment horizontal="center" vertical="center"/>
    </xf>
    <xf numFmtId="1" fontId="0" fillId="6" borderId="19" xfId="0" applyNumberForma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1" fontId="0" fillId="6" borderId="36" xfId="0" applyNumberFormat="1" applyFill="1" applyBorder="1" applyAlignment="1">
      <alignment horizontal="center" vertical="center"/>
    </xf>
    <xf numFmtId="2" fontId="0" fillId="6" borderId="17" xfId="0" applyNumberFormat="1" applyFill="1" applyBorder="1" applyAlignment="1">
      <alignment horizontal="center" vertical="center"/>
    </xf>
    <xf numFmtId="2" fontId="0" fillId="6" borderId="19" xfId="0" applyNumberFormat="1" applyFill="1" applyBorder="1" applyAlignment="1">
      <alignment horizontal="center" vertical="center"/>
    </xf>
    <xf numFmtId="1" fontId="0" fillId="6" borderId="17" xfId="0" applyNumberFormat="1" applyFill="1" applyBorder="1" applyAlignment="1">
      <alignment horizontal="center" vertical="center" wrapText="1"/>
    </xf>
    <xf numFmtId="1" fontId="0" fillId="6" borderId="19" xfId="0" applyNumberForma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/>
    </xf>
    <xf numFmtId="0" fontId="1" fillId="6" borderId="25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left" vertical="top"/>
    </xf>
    <xf numFmtId="0" fontId="1" fillId="6" borderId="15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3" borderId="14" xfId="0" applyFont="1" applyFill="1" applyBorder="1" applyAlignment="1">
      <alignment horizontal="left" vertical="top"/>
    </xf>
    <xf numFmtId="0" fontId="1" fillId="13" borderId="15" xfId="0" applyFont="1" applyFill="1" applyBorder="1" applyAlignment="1">
      <alignment horizontal="left" vertical="top"/>
    </xf>
    <xf numFmtId="0" fontId="1" fillId="13" borderId="13" xfId="0" applyFont="1" applyFill="1" applyBorder="1" applyAlignment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1" fillId="13" borderId="14" xfId="0" applyFont="1" applyFill="1" applyBorder="1" applyAlignment="1">
      <alignment horizontal="left" vertical="center"/>
    </xf>
    <xf numFmtId="0" fontId="1" fillId="13" borderId="1" xfId="0" applyFont="1" applyFill="1" applyBorder="1" applyAlignment="1">
      <alignment horizontal="left" vertical="center"/>
    </xf>
    <xf numFmtId="0" fontId="1" fillId="13" borderId="14" xfId="0" applyFont="1" applyFill="1" applyBorder="1" applyAlignment="1">
      <alignment horizontal="left"/>
    </xf>
    <xf numFmtId="0" fontId="1" fillId="13" borderId="14" xfId="0" applyFont="1" applyFill="1" applyBorder="1" applyAlignment="1">
      <alignment horizontal="center"/>
    </xf>
    <xf numFmtId="0" fontId="1" fillId="13" borderId="25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/>
    </xf>
    <xf numFmtId="0" fontId="1" fillId="13" borderId="26" xfId="0" applyFont="1" applyFill="1" applyBorder="1" applyAlignment="1">
      <alignment horizontal="center"/>
    </xf>
    <xf numFmtId="0" fontId="1" fillId="13" borderId="23" xfId="0" applyFont="1" applyFill="1" applyBorder="1" applyAlignment="1">
      <alignment horizontal="center" vertical="center"/>
    </xf>
    <xf numFmtId="0" fontId="1" fillId="13" borderId="18" xfId="0" applyFont="1" applyFill="1" applyBorder="1" applyAlignment="1">
      <alignment horizontal="center" vertical="center"/>
    </xf>
    <xf numFmtId="0" fontId="1" fillId="13" borderId="24" xfId="0" applyFont="1" applyFill="1" applyBorder="1" applyAlignment="1">
      <alignment horizontal="left" vertical="center"/>
    </xf>
    <xf numFmtId="0" fontId="1" fillId="13" borderId="2" xfId="0" applyFont="1" applyFill="1" applyBorder="1" applyAlignment="1">
      <alignment horizontal="left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26" xfId="0" applyFont="1" applyFill="1" applyBorder="1" applyAlignment="1">
      <alignment horizontal="center" vertical="center"/>
    </xf>
    <xf numFmtId="0" fontId="20" fillId="13" borderId="13" xfId="0" applyFont="1" applyFill="1" applyBorder="1" applyAlignment="1">
      <alignment vertical="center"/>
    </xf>
    <xf numFmtId="0" fontId="20" fillId="13" borderId="7" xfId="0" applyFont="1" applyFill="1" applyBorder="1" applyAlignment="1">
      <alignment vertical="center"/>
    </xf>
    <xf numFmtId="0" fontId="20" fillId="13" borderId="14" xfId="0" applyFont="1" applyFill="1" applyBorder="1" applyAlignment="1">
      <alignment horizontal="center"/>
    </xf>
    <xf numFmtId="0" fontId="13" fillId="0" borderId="30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9" fillId="13" borderId="13" xfId="0" applyFont="1" applyFill="1" applyBorder="1" applyAlignment="1">
      <alignment horizontal="center" wrapText="1"/>
    </xf>
    <xf numFmtId="0" fontId="9" fillId="13" borderId="14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13" borderId="4" xfId="0" applyFont="1" applyFill="1" applyBorder="1" applyAlignment="1">
      <alignment horizontal="center"/>
    </xf>
    <xf numFmtId="0" fontId="9" fillId="13" borderId="26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13" borderId="13" xfId="0" applyFont="1" applyFill="1" applyBorder="1" applyAlignment="1">
      <alignment horizontal="center"/>
    </xf>
    <xf numFmtId="0" fontId="9" fillId="13" borderId="14" xfId="0" applyFont="1" applyFill="1" applyBorder="1" applyAlignment="1">
      <alignment horizontal="center"/>
    </xf>
    <xf numFmtId="0" fontId="20" fillId="13" borderId="13" xfId="0" applyFont="1" applyFill="1" applyBorder="1" applyAlignment="1">
      <alignment horizontal="center" vertical="center"/>
    </xf>
    <xf numFmtId="0" fontId="20" fillId="13" borderId="7" xfId="0" applyFont="1" applyFill="1" applyBorder="1" applyAlignment="1">
      <alignment horizontal="center" vertical="center"/>
    </xf>
    <xf numFmtId="0" fontId="19" fillId="13" borderId="24" xfId="0" applyFont="1" applyFill="1" applyBorder="1" applyAlignment="1">
      <alignment horizontal="center" vertical="center"/>
    </xf>
    <xf numFmtId="0" fontId="19" fillId="13" borderId="2" xfId="0" applyFont="1" applyFill="1" applyBorder="1" applyAlignment="1">
      <alignment horizontal="center" vertical="center"/>
    </xf>
    <xf numFmtId="0" fontId="19" fillId="13" borderId="82" xfId="0" applyFont="1" applyFill="1" applyBorder="1" applyAlignment="1">
      <alignment horizontal="center" vertical="center"/>
    </xf>
    <xf numFmtId="0" fontId="19" fillId="13" borderId="19" xfId="0" applyFont="1" applyFill="1" applyBorder="1" applyAlignment="1">
      <alignment horizontal="center" vertical="center"/>
    </xf>
    <xf numFmtId="0" fontId="19" fillId="13" borderId="23" xfId="0" applyFont="1" applyFill="1" applyBorder="1" applyAlignment="1">
      <alignment horizontal="center" vertical="center"/>
    </xf>
    <xf numFmtId="0" fontId="19" fillId="13" borderId="18" xfId="0" applyFont="1" applyFill="1" applyBorder="1" applyAlignment="1">
      <alignment horizontal="center" vertical="center"/>
    </xf>
    <xf numFmtId="0" fontId="26" fillId="12" borderId="70" xfId="0" applyFont="1" applyFill="1" applyBorder="1" applyAlignment="1">
      <alignment horizontal="center" vertical="top" wrapText="1"/>
    </xf>
    <xf numFmtId="0" fontId="26" fillId="12" borderId="71" xfId="0" applyFont="1" applyFill="1" applyBorder="1" applyAlignment="1">
      <alignment horizontal="center" vertical="top" wrapText="1"/>
    </xf>
    <xf numFmtId="0" fontId="26" fillId="12" borderId="72" xfId="0" applyFont="1" applyFill="1" applyBorder="1" applyAlignment="1">
      <alignment horizontal="center" vertical="top" wrapText="1"/>
    </xf>
    <xf numFmtId="0" fontId="26" fillId="12" borderId="59" xfId="0" applyFont="1" applyFill="1" applyBorder="1" applyAlignment="1">
      <alignment vertical="top" wrapText="1"/>
    </xf>
    <xf numFmtId="0" fontId="26" fillId="12" borderId="60" xfId="0" applyFont="1" applyFill="1" applyBorder="1" applyAlignment="1">
      <alignment vertical="top" wrapText="1"/>
    </xf>
    <xf numFmtId="0" fontId="26" fillId="12" borderId="61" xfId="0" applyFont="1" applyFill="1" applyBorder="1" applyAlignment="1">
      <alignment vertical="top" wrapText="1"/>
    </xf>
    <xf numFmtId="0" fontId="26" fillId="12" borderId="68" xfId="0" applyFont="1" applyFill="1" applyBorder="1" applyAlignment="1">
      <alignment horizontal="center" vertical="top" wrapText="1"/>
    </xf>
    <xf numFmtId="0" fontId="26" fillId="12" borderId="62" xfId="0" applyFont="1" applyFill="1" applyBorder="1" applyAlignment="1">
      <alignment horizontal="center" vertical="top" wrapText="1"/>
    </xf>
    <xf numFmtId="0" fontId="27" fillId="12" borderId="22" xfId="0" applyFont="1" applyFill="1" applyBorder="1" applyAlignment="1">
      <alignment horizontal="center" vertical="top" wrapText="1"/>
    </xf>
    <xf numFmtId="0" fontId="27" fillId="12" borderId="44" xfId="0" applyFont="1" applyFill="1" applyBorder="1" applyAlignment="1">
      <alignment horizontal="center" vertical="top" wrapText="1"/>
    </xf>
    <xf numFmtId="0" fontId="26" fillId="12" borderId="22" xfId="0" applyFont="1" applyFill="1" applyBorder="1" applyAlignment="1">
      <alignment horizontal="center" vertical="top" wrapText="1"/>
    </xf>
    <xf numFmtId="0" fontId="26" fillId="12" borderId="44" xfId="0" applyFont="1" applyFill="1" applyBorder="1" applyAlignment="1">
      <alignment horizontal="center" vertical="top" wrapText="1"/>
    </xf>
    <xf numFmtId="0" fontId="0" fillId="12" borderId="22" xfId="0" applyFill="1" applyBorder="1" applyAlignment="1">
      <alignment vertical="top" wrapText="1"/>
    </xf>
    <xf numFmtId="0" fontId="0" fillId="12" borderId="44" xfId="0" applyFill="1" applyBorder="1" applyAlignment="1">
      <alignment vertical="top" wrapText="1"/>
    </xf>
    <xf numFmtId="0" fontId="0" fillId="12" borderId="69" xfId="0" applyFill="1" applyBorder="1" applyAlignment="1">
      <alignment vertical="top" wrapText="1"/>
    </xf>
    <xf numFmtId="0" fontId="0" fillId="12" borderId="63" xfId="0" applyFill="1" applyBorder="1" applyAlignment="1">
      <alignment vertical="top" wrapText="1"/>
    </xf>
    <xf numFmtId="0" fontId="18" fillId="13" borderId="24" xfId="0" applyFont="1" applyFill="1" applyBorder="1" applyAlignment="1">
      <alignment horizontal="center" vertical="center"/>
    </xf>
    <xf numFmtId="0" fontId="18" fillId="13" borderId="2" xfId="0" applyFont="1" applyFill="1" applyBorder="1" applyAlignment="1">
      <alignment horizontal="center" vertical="center"/>
    </xf>
    <xf numFmtId="0" fontId="1" fillId="15" borderId="0" xfId="0" applyFont="1" applyFill="1" applyAlignment="1">
      <alignment horizontal="center"/>
    </xf>
    <xf numFmtId="0" fontId="1" fillId="8" borderId="13" xfId="0" applyFont="1" applyFill="1" applyBorder="1" applyAlignment="1">
      <alignment horizontal="left" vertical="top" wrapText="1"/>
    </xf>
    <xf numFmtId="0" fontId="1" fillId="8" borderId="7" xfId="0" applyFont="1" applyFill="1" applyBorder="1" applyAlignment="1">
      <alignment horizontal="left" vertical="top" wrapText="1"/>
    </xf>
    <xf numFmtId="0" fontId="19" fillId="13" borderId="23" xfId="0" applyFont="1" applyFill="1" applyBorder="1" applyAlignment="1">
      <alignment horizontal="left" vertical="top" wrapText="1"/>
    </xf>
    <xf numFmtId="0" fontId="19" fillId="13" borderId="54" xfId="0" applyFont="1" applyFill="1" applyBorder="1" applyAlignment="1">
      <alignment horizontal="left" vertical="top" wrapText="1"/>
    </xf>
    <xf numFmtId="2" fontId="19" fillId="13" borderId="23" xfId="0" applyNumberFormat="1" applyFont="1" applyFill="1" applyBorder="1" applyAlignment="1">
      <alignment horizontal="center" vertical="center"/>
    </xf>
    <xf numFmtId="2" fontId="19" fillId="13" borderId="54" xfId="0" applyNumberFormat="1" applyFont="1" applyFill="1" applyBorder="1" applyAlignment="1">
      <alignment horizontal="center" vertical="center"/>
    </xf>
    <xf numFmtId="2" fontId="19" fillId="13" borderId="18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left" vertical="center"/>
    </xf>
    <xf numFmtId="0" fontId="19" fillId="13" borderId="25" xfId="0" applyFont="1" applyFill="1" applyBorder="1" applyAlignment="1">
      <alignment horizontal="center"/>
    </xf>
    <xf numFmtId="0" fontId="19" fillId="13" borderId="26" xfId="0" applyFont="1" applyFill="1" applyBorder="1" applyAlignment="1">
      <alignment horizontal="center"/>
    </xf>
    <xf numFmtId="4" fontId="17" fillId="13" borderId="14" xfId="0" applyNumberFormat="1" applyFont="1" applyFill="1" applyBorder="1" applyAlignment="1">
      <alignment horizontal="left" vertical="center" wrapText="1"/>
    </xf>
    <xf numFmtId="4" fontId="17" fillId="13" borderId="1" xfId="0" applyNumberFormat="1" applyFont="1" applyFill="1" applyBorder="1" applyAlignment="1">
      <alignment horizontal="left" vertical="center" wrapText="1"/>
    </xf>
    <xf numFmtId="4" fontId="17" fillId="13" borderId="23" xfId="0" applyNumberFormat="1" applyFont="1" applyFill="1" applyBorder="1" applyAlignment="1">
      <alignment horizontal="left" vertical="center"/>
    </xf>
    <xf numFmtId="4" fontId="17" fillId="13" borderId="18" xfId="0" applyNumberFormat="1" applyFont="1" applyFill="1" applyBorder="1" applyAlignment="1">
      <alignment horizontal="left" vertical="center"/>
    </xf>
    <xf numFmtId="0" fontId="19" fillId="0" borderId="7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13" borderId="13" xfId="0" applyFont="1" applyFill="1" applyBorder="1" applyAlignment="1">
      <alignment horizontal="left" vertical="top"/>
    </xf>
    <xf numFmtId="0" fontId="19" fillId="13" borderId="7" xfId="0" applyFont="1" applyFill="1" applyBorder="1" applyAlignment="1">
      <alignment horizontal="left" vertical="top"/>
    </xf>
    <xf numFmtId="0" fontId="19" fillId="13" borderId="13" xfId="0" applyFont="1" applyFill="1" applyBorder="1" applyAlignment="1">
      <alignment horizontal="center" vertical="center"/>
    </xf>
    <xf numFmtId="0" fontId="19" fillId="13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9" fillId="0" borderId="48" xfId="0" applyFont="1" applyFill="1" applyBorder="1" applyAlignment="1">
      <alignment horizontal="left"/>
    </xf>
    <xf numFmtId="0" fontId="19" fillId="0" borderId="41" xfId="0" applyFont="1" applyFill="1" applyBorder="1" applyAlignment="1">
      <alignment horizontal="left"/>
    </xf>
    <xf numFmtId="0" fontId="19" fillId="0" borderId="49" xfId="0" applyFont="1" applyFill="1" applyBorder="1" applyAlignment="1">
      <alignment horizontal="left"/>
    </xf>
    <xf numFmtId="0" fontId="19" fillId="13" borderId="80" xfId="0" applyFont="1" applyFill="1" applyBorder="1" applyAlignment="1">
      <alignment horizontal="center" vertical="center"/>
    </xf>
    <xf numFmtId="0" fontId="19" fillId="13" borderId="35" xfId="0" applyFont="1" applyFill="1" applyBorder="1" applyAlignment="1">
      <alignment horizontal="center" vertical="center"/>
    </xf>
    <xf numFmtId="0" fontId="19" fillId="13" borderId="81" xfId="0" applyFont="1" applyFill="1" applyBorder="1" applyAlignment="1">
      <alignment horizontal="center" vertical="center"/>
    </xf>
    <xf numFmtId="0" fontId="19" fillId="13" borderId="43" xfId="0" applyFont="1" applyFill="1" applyBorder="1" applyAlignment="1">
      <alignment horizontal="center" vertical="center"/>
    </xf>
    <xf numFmtId="0" fontId="1" fillId="14" borderId="34" xfId="0" applyFont="1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10" fontId="0" fillId="0" borderId="0" xfId="0" applyNumberFormat="1" applyFont="1" applyBorder="1" applyAlignment="1">
      <alignment horizontal="center"/>
    </xf>
    <xf numFmtId="0" fontId="18" fillId="6" borderId="48" xfId="0" applyFont="1" applyFill="1" applyBorder="1" applyAlignment="1">
      <alignment horizontal="left"/>
    </xf>
    <xf numFmtId="0" fontId="18" fillId="6" borderId="41" xfId="0" applyFont="1" applyFill="1" applyBorder="1" applyAlignment="1">
      <alignment horizontal="left"/>
    </xf>
    <xf numFmtId="0" fontId="18" fillId="6" borderId="49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top"/>
    </xf>
    <xf numFmtId="0" fontId="1" fillId="6" borderId="18" xfId="0" applyFont="1" applyFill="1" applyBorder="1" applyAlignment="1">
      <alignment horizontal="left" vertical="top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1" fillId="6" borderId="17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9" fontId="18" fillId="0" borderId="27" xfId="1" applyFont="1" applyFill="1" applyBorder="1" applyAlignment="1">
      <alignment horizontal="center"/>
    </xf>
    <xf numFmtId="9" fontId="18" fillId="0" borderId="50" xfId="1" applyFont="1" applyFill="1" applyBorder="1" applyAlignment="1">
      <alignment horizontal="center"/>
    </xf>
    <xf numFmtId="9" fontId="18" fillId="0" borderId="0" xfId="1" applyFont="1" applyFill="1" applyBorder="1" applyAlignment="1">
      <alignment horizontal="center"/>
    </xf>
    <xf numFmtId="0" fontId="19" fillId="11" borderId="4" xfId="0" applyFont="1" applyFill="1" applyBorder="1" applyAlignment="1">
      <alignment horizontal="center"/>
    </xf>
    <xf numFmtId="0" fontId="19" fillId="11" borderId="5" xfId="0" quotePrefix="1" applyFont="1" applyFill="1" applyBorder="1" applyAlignment="1">
      <alignment horizontal="center"/>
    </xf>
    <xf numFmtId="0" fontId="19" fillId="11" borderId="26" xfId="0" quotePrefix="1" applyFont="1" applyFill="1" applyBorder="1" applyAlignment="1">
      <alignment horizontal="center"/>
    </xf>
    <xf numFmtId="172" fontId="35" fillId="18" borderId="1" xfId="0" applyNumberFormat="1" applyFont="1" applyFill="1" applyBorder="1" applyAlignment="1">
      <alignment horizontal="center" vertical="center"/>
    </xf>
    <xf numFmtId="0" fontId="35" fillId="9" borderId="1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/>
    </xf>
    <xf numFmtId="0" fontId="35" fillId="9" borderId="1" xfId="0" applyFont="1" applyFill="1" applyBorder="1" applyAlignment="1">
      <alignment horizontal="left" vertical="center" wrapText="1"/>
    </xf>
    <xf numFmtId="0" fontId="36" fillId="9" borderId="1" xfId="0" applyFont="1" applyFill="1" applyBorder="1" applyAlignment="1">
      <alignment horizontal="left" vertical="center"/>
    </xf>
    <xf numFmtId="0" fontId="35" fillId="9" borderId="1" xfId="0" applyFont="1" applyFill="1" applyBorder="1" applyAlignment="1">
      <alignment horizontal="center" vertical="center"/>
    </xf>
    <xf numFmtId="4" fontId="34" fillId="16" borderId="1" xfId="0" applyNumberFormat="1" applyFont="1" applyFill="1" applyBorder="1" applyAlignment="1">
      <alignment horizontal="center" vertical="center"/>
    </xf>
    <xf numFmtId="0" fontId="35" fillId="9" borderId="27" xfId="0" applyFont="1" applyFill="1" applyBorder="1" applyAlignment="1">
      <alignment horizontal="center" vertical="center"/>
    </xf>
    <xf numFmtId="0" fontId="35" fillId="9" borderId="28" xfId="0" applyFont="1" applyFill="1" applyBorder="1" applyAlignment="1">
      <alignment horizontal="center" vertical="center"/>
    </xf>
    <xf numFmtId="0" fontId="34" fillId="9" borderId="1" xfId="0" applyFont="1" applyFill="1" applyBorder="1" applyAlignment="1">
      <alignment horizontal="center" vertical="center"/>
    </xf>
    <xf numFmtId="2" fontId="34" fillId="16" borderId="27" xfId="0" applyNumberFormat="1" applyFont="1" applyFill="1" applyBorder="1" applyAlignment="1">
      <alignment horizontal="center" vertical="center"/>
    </xf>
    <xf numFmtId="2" fontId="34" fillId="16" borderId="28" xfId="0" applyNumberFormat="1" applyFont="1" applyFill="1" applyBorder="1" applyAlignment="1">
      <alignment horizontal="center" vertical="center"/>
    </xf>
    <xf numFmtId="2" fontId="34" fillId="16" borderId="3" xfId="0" applyNumberFormat="1" applyFont="1" applyFill="1" applyBorder="1" applyAlignment="1">
      <alignment horizontal="center" vertical="center"/>
    </xf>
    <xf numFmtId="0" fontId="34" fillId="16" borderId="84" xfId="0" applyFont="1" applyFill="1" applyBorder="1" applyAlignment="1">
      <alignment horizontal="center" vertical="center"/>
    </xf>
    <xf numFmtId="0" fontId="34" fillId="9" borderId="27" xfId="0" applyFont="1" applyFill="1" applyBorder="1" applyAlignment="1">
      <alignment horizontal="left" vertical="center"/>
    </xf>
    <xf numFmtId="0" fontId="34" fillId="9" borderId="28" xfId="0" applyFont="1" applyFill="1" applyBorder="1" applyAlignment="1">
      <alignment horizontal="left" vertical="center"/>
    </xf>
    <xf numFmtId="0" fontId="33" fillId="9" borderId="27" xfId="0" applyFont="1" applyFill="1" applyBorder="1" applyAlignment="1">
      <alignment horizontal="left" vertical="center"/>
    </xf>
    <xf numFmtId="0" fontId="33" fillId="9" borderId="29" xfId="0" applyFont="1" applyFill="1" applyBorder="1" applyAlignment="1">
      <alignment horizontal="left" vertical="center"/>
    </xf>
    <xf numFmtId="0" fontId="33" fillId="9" borderId="28" xfId="0" applyFont="1" applyFill="1" applyBorder="1" applyAlignment="1">
      <alignment horizontal="left" vertical="center"/>
    </xf>
    <xf numFmtId="164" fontId="34" fillId="16" borderId="27" xfId="0" applyNumberFormat="1" applyFont="1" applyFill="1" applyBorder="1" applyAlignment="1">
      <alignment horizontal="center" vertical="center"/>
    </xf>
    <xf numFmtId="164" fontId="34" fillId="16" borderId="28" xfId="0" applyNumberFormat="1" applyFont="1" applyFill="1" applyBorder="1" applyAlignment="1">
      <alignment horizontal="center" vertical="center"/>
    </xf>
    <xf numFmtId="2" fontId="34" fillId="16" borderId="1" xfId="0" applyNumberFormat="1" applyFont="1" applyFill="1" applyBorder="1" applyAlignment="1">
      <alignment horizontal="center" vertical="center"/>
    </xf>
    <xf numFmtId="0" fontId="34" fillId="16" borderId="1" xfId="0" applyFont="1" applyFill="1" applyBorder="1" applyAlignment="1">
      <alignment horizontal="left" vertical="center"/>
    </xf>
    <xf numFmtId="0" fontId="36" fillId="0" borderId="34" xfId="0" applyFont="1" applyFill="1" applyBorder="1" applyAlignment="1">
      <alignment horizontal="center" vertical="center"/>
    </xf>
    <xf numFmtId="0" fontId="36" fillId="0" borderId="35" xfId="0" applyFont="1" applyFill="1" applyBorder="1" applyAlignment="1">
      <alignment horizontal="center" vertical="center"/>
    </xf>
    <xf numFmtId="0" fontId="34" fillId="9" borderId="1" xfId="0" applyFont="1" applyFill="1" applyBorder="1" applyAlignment="1">
      <alignment horizontal="left" vertical="center"/>
    </xf>
    <xf numFmtId="0" fontId="34" fillId="16" borderId="1" xfId="0" applyFont="1" applyFill="1" applyBorder="1" applyAlignment="1">
      <alignment horizontal="center" vertical="center"/>
    </xf>
    <xf numFmtId="0" fontId="35" fillId="9" borderId="27" xfId="0" applyFont="1" applyFill="1" applyBorder="1" applyAlignment="1">
      <alignment horizontal="left" vertical="center"/>
    </xf>
    <xf numFmtId="0" fontId="35" fillId="9" borderId="28" xfId="0" applyFont="1" applyFill="1" applyBorder="1" applyAlignment="1">
      <alignment horizontal="left" vertical="center"/>
    </xf>
    <xf numFmtId="0" fontId="35" fillId="9" borderId="29" xfId="0" applyFont="1" applyFill="1" applyBorder="1" applyAlignment="1">
      <alignment horizontal="left" vertical="center"/>
    </xf>
    <xf numFmtId="0" fontId="34" fillId="16" borderId="27" xfId="0" applyFont="1" applyFill="1" applyBorder="1" applyAlignment="1">
      <alignment horizontal="center" vertical="center"/>
    </xf>
    <xf numFmtId="0" fontId="34" fillId="16" borderId="29" xfId="0" applyFont="1" applyFill="1" applyBorder="1" applyAlignment="1">
      <alignment horizontal="center" vertical="center"/>
    </xf>
    <xf numFmtId="0" fontId="34" fillId="16" borderId="28" xfId="0" applyFont="1" applyFill="1" applyBorder="1" applyAlignment="1">
      <alignment horizontal="center" vertical="center"/>
    </xf>
    <xf numFmtId="0" fontId="34" fillId="16" borderId="3" xfId="0" applyFont="1" applyFill="1" applyBorder="1" applyAlignment="1">
      <alignment horizontal="center" vertical="center"/>
    </xf>
    <xf numFmtId="0" fontId="34" fillId="16" borderId="83" xfId="0" applyFont="1" applyFill="1" applyBorder="1" applyAlignment="1">
      <alignment horizontal="center" vertical="center"/>
    </xf>
    <xf numFmtId="0" fontId="34" fillId="16" borderId="85" xfId="0" applyFont="1" applyFill="1" applyBorder="1" applyAlignment="1">
      <alignment horizontal="center" vertical="center"/>
    </xf>
    <xf numFmtId="0" fontId="34" fillId="16" borderId="0" xfId="0" applyFont="1" applyFill="1" applyBorder="1" applyAlignment="1">
      <alignment horizontal="center" vertical="center"/>
    </xf>
    <xf numFmtId="0" fontId="34" fillId="16" borderId="79" xfId="0" applyFont="1" applyFill="1" applyBorder="1" applyAlignment="1">
      <alignment horizontal="center" vertical="center"/>
    </xf>
    <xf numFmtId="0" fontId="34" fillId="16" borderId="81" xfId="0" applyFont="1" applyFill="1" applyBorder="1" applyAlignment="1">
      <alignment horizontal="center" vertical="center"/>
    </xf>
    <xf numFmtId="0" fontId="34" fillId="16" borderId="42" xfId="0" applyFont="1" applyFill="1" applyBorder="1" applyAlignment="1">
      <alignment horizontal="center" vertical="center"/>
    </xf>
    <xf numFmtId="0" fontId="34" fillId="16" borderId="51" xfId="0" applyFont="1" applyFill="1" applyBorder="1" applyAlignment="1">
      <alignment horizontal="center" vertical="center"/>
    </xf>
    <xf numFmtId="44" fontId="0" fillId="13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right"/>
    </xf>
  </cellXfs>
  <cellStyles count="3">
    <cellStyle name="normální" xfId="0" builtinId="0"/>
    <cellStyle name="normální_emise" xfId="2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"/>
  <sheetViews>
    <sheetView topLeftCell="A4" zoomScale="85" zoomScaleNormal="85" workbookViewId="0">
      <selection activeCell="L25" sqref="L25"/>
    </sheetView>
  </sheetViews>
  <sheetFormatPr defaultRowHeight="15"/>
  <cols>
    <col min="1" max="1" width="19.85546875" customWidth="1"/>
    <col min="3" max="3" width="11.85546875" bestFit="1" customWidth="1"/>
    <col min="4" max="4" width="11.85546875" customWidth="1"/>
    <col min="5" max="5" width="11.85546875" bestFit="1" customWidth="1"/>
    <col min="6" max="6" width="13.140625" customWidth="1"/>
    <col min="12" max="12" width="10" bestFit="1" customWidth="1"/>
    <col min="13" max="13" width="9.7109375" bestFit="1" customWidth="1"/>
  </cols>
  <sheetData>
    <row r="1" spans="1:16" ht="18.75">
      <c r="A1" s="4" t="s">
        <v>17</v>
      </c>
    </row>
    <row r="2" spans="1:16" ht="18.75">
      <c r="A2" s="4"/>
    </row>
    <row r="3" spans="1:16" ht="15.75" thickBot="1">
      <c r="A3" t="s">
        <v>7</v>
      </c>
      <c r="G3" s="3"/>
    </row>
    <row r="4" spans="1:16">
      <c r="A4" s="554" t="s">
        <v>327</v>
      </c>
      <c r="B4" s="555"/>
      <c r="C4" s="555"/>
      <c r="D4" s="555"/>
      <c r="E4" s="555"/>
      <c r="F4" s="556"/>
      <c r="G4" s="3"/>
    </row>
    <row r="5" spans="1:16" ht="30">
      <c r="A5" s="480" t="s">
        <v>18</v>
      </c>
      <c r="B5" s="481" t="s">
        <v>33</v>
      </c>
      <c r="C5" s="481" t="s">
        <v>34</v>
      </c>
      <c r="D5" s="481" t="s">
        <v>35</v>
      </c>
      <c r="E5" s="481" t="s">
        <v>274</v>
      </c>
      <c r="F5" s="482" t="s">
        <v>36</v>
      </c>
      <c r="G5" s="8"/>
    </row>
    <row r="6" spans="1:16">
      <c r="A6" s="9" t="s">
        <v>19</v>
      </c>
      <c r="B6" s="74" t="s">
        <v>0</v>
      </c>
      <c r="C6" s="60">
        <f>'Spotřeby energie'!I11</f>
        <v>231.90366666666668</v>
      </c>
      <c r="D6" s="284">
        <v>3.6</v>
      </c>
      <c r="E6" s="60">
        <f>C6</f>
        <v>231.90366666666668</v>
      </c>
      <c r="F6" s="59">
        <f>'Spotřeby energie'!K13/1000+'Potřeba TV'!F36/1000*'Spotřeby energie'!J16/1000</f>
        <v>499.45299999999997</v>
      </c>
      <c r="G6" s="3"/>
      <c r="H6">
        <f>F6/E6</f>
        <v>2.1537089394878044</v>
      </c>
      <c r="I6" t="s">
        <v>275</v>
      </c>
    </row>
    <row r="7" spans="1:16">
      <c r="A7" s="9" t="s">
        <v>20</v>
      </c>
      <c r="B7" s="74" t="s">
        <v>31</v>
      </c>
      <c r="C7" s="169">
        <f>'Spotřeby energie'!H40</f>
        <v>1801.0082035315031</v>
      </c>
      <c r="D7" s="74">
        <v>1</v>
      </c>
      <c r="E7" s="60">
        <f>C7/3.6</f>
        <v>500.2800565365286</v>
      </c>
      <c r="F7" s="55">
        <f>'Spotřeby energie'!J42/1000</f>
        <v>872.40800000000002</v>
      </c>
      <c r="G7" s="3"/>
    </row>
    <row r="8" spans="1:16">
      <c r="A8" s="9" t="s">
        <v>21</v>
      </c>
      <c r="B8" s="74" t="s">
        <v>0</v>
      </c>
      <c r="C8" s="515" t="s">
        <v>140</v>
      </c>
      <c r="D8" s="515" t="s">
        <v>140</v>
      </c>
      <c r="E8" s="515" t="s">
        <v>140</v>
      </c>
      <c r="F8" s="546" t="s">
        <v>140</v>
      </c>
      <c r="G8" s="3"/>
      <c r="H8">
        <f>F7/E7</f>
        <v>1.7438392528371756</v>
      </c>
      <c r="I8" t="s">
        <v>275</v>
      </c>
    </row>
    <row r="9" spans="1:16">
      <c r="A9" s="9" t="s">
        <v>22</v>
      </c>
      <c r="B9" s="74" t="s">
        <v>0</v>
      </c>
      <c r="C9" s="515" t="s">
        <v>140</v>
      </c>
      <c r="D9" s="515" t="s">
        <v>140</v>
      </c>
      <c r="E9" s="515" t="s">
        <v>140</v>
      </c>
      <c r="F9" s="546" t="s">
        <v>140</v>
      </c>
      <c r="G9" s="3"/>
    </row>
    <row r="10" spans="1:16">
      <c r="A10" s="9" t="s">
        <v>23</v>
      </c>
      <c r="B10" s="74" t="s">
        <v>32</v>
      </c>
      <c r="C10" s="515" t="s">
        <v>140</v>
      </c>
      <c r="D10" s="515" t="s">
        <v>140</v>
      </c>
      <c r="E10" s="515" t="s">
        <v>140</v>
      </c>
      <c r="F10" s="546" t="s">
        <v>140</v>
      </c>
      <c r="G10" s="3"/>
    </row>
    <row r="11" spans="1:16">
      <c r="A11" s="9" t="s">
        <v>24</v>
      </c>
      <c r="B11" s="74" t="s">
        <v>32</v>
      </c>
      <c r="C11" s="515" t="s">
        <v>140</v>
      </c>
      <c r="D11" s="515" t="s">
        <v>140</v>
      </c>
      <c r="E11" s="515" t="s">
        <v>140</v>
      </c>
      <c r="F11" s="546" t="s">
        <v>140</v>
      </c>
      <c r="G11" s="3"/>
    </row>
    <row r="12" spans="1:16">
      <c r="A12" s="9" t="s">
        <v>25</v>
      </c>
      <c r="B12" s="74" t="s">
        <v>32</v>
      </c>
      <c r="C12" s="515" t="s">
        <v>140</v>
      </c>
      <c r="D12" s="515" t="s">
        <v>140</v>
      </c>
      <c r="E12" s="515" t="s">
        <v>140</v>
      </c>
      <c r="F12" s="546" t="s">
        <v>140</v>
      </c>
      <c r="G12" s="3"/>
    </row>
    <row r="13" spans="1:16">
      <c r="A13" s="9" t="s">
        <v>26</v>
      </c>
      <c r="B13" s="74" t="s">
        <v>32</v>
      </c>
      <c r="C13" s="515" t="s">
        <v>140</v>
      </c>
      <c r="D13" s="515" t="s">
        <v>140</v>
      </c>
      <c r="E13" s="515" t="s">
        <v>140</v>
      </c>
      <c r="F13" s="546" t="s">
        <v>140</v>
      </c>
      <c r="G13" s="3"/>
    </row>
    <row r="14" spans="1:16">
      <c r="A14" s="9" t="s">
        <v>27</v>
      </c>
      <c r="B14" s="74" t="s">
        <v>32</v>
      </c>
      <c r="C14" s="515" t="s">
        <v>140</v>
      </c>
      <c r="D14" s="515" t="s">
        <v>140</v>
      </c>
      <c r="E14" s="515" t="s">
        <v>140</v>
      </c>
      <c r="F14" s="546" t="s">
        <v>140</v>
      </c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>
      <c r="A15" s="9" t="s">
        <v>28</v>
      </c>
      <c r="B15" s="74" t="s">
        <v>32</v>
      </c>
      <c r="C15" s="515" t="s">
        <v>140</v>
      </c>
      <c r="D15" s="515" t="s">
        <v>140</v>
      </c>
      <c r="E15" s="515" t="s">
        <v>140</v>
      </c>
      <c r="F15" s="546" t="s">
        <v>140</v>
      </c>
      <c r="G15" s="3"/>
    </row>
    <row r="16" spans="1:16">
      <c r="A16" s="9" t="s">
        <v>29</v>
      </c>
      <c r="B16" s="74" t="s">
        <v>32</v>
      </c>
      <c r="C16" s="515" t="s">
        <v>140</v>
      </c>
      <c r="D16" s="515" t="s">
        <v>140</v>
      </c>
      <c r="E16" s="515" t="s">
        <v>140</v>
      </c>
      <c r="F16" s="546" t="s">
        <v>140</v>
      </c>
      <c r="G16" s="3"/>
    </row>
    <row r="17" spans="1:14">
      <c r="A17" s="9" t="s">
        <v>30</v>
      </c>
      <c r="B17" s="74" t="s">
        <v>31</v>
      </c>
      <c r="C17" s="515" t="s">
        <v>140</v>
      </c>
      <c r="D17" s="515" t="s">
        <v>140</v>
      </c>
      <c r="E17" s="515" t="s">
        <v>140</v>
      </c>
      <c r="F17" s="546" t="s">
        <v>140</v>
      </c>
      <c r="G17" s="3"/>
    </row>
    <row r="18" spans="1:14">
      <c r="A18" s="9" t="s">
        <v>203</v>
      </c>
      <c r="B18" s="74" t="s">
        <v>32</v>
      </c>
      <c r="C18" s="515" t="s">
        <v>140</v>
      </c>
      <c r="D18" s="515" t="s">
        <v>140</v>
      </c>
      <c r="E18" s="515" t="s">
        <v>140</v>
      </c>
      <c r="F18" s="546" t="s">
        <v>140</v>
      </c>
      <c r="G18" s="3"/>
    </row>
    <row r="19" spans="1:14">
      <c r="A19" s="9" t="s">
        <v>371</v>
      </c>
      <c r="B19" s="74" t="s">
        <v>31</v>
      </c>
      <c r="C19" s="169">
        <f>'Spotřeby energie'!H46</f>
        <v>335.01600000000002</v>
      </c>
      <c r="D19" s="74">
        <v>1</v>
      </c>
      <c r="E19" s="74">
        <f>C19*D19/3.6</f>
        <v>93.06</v>
      </c>
      <c r="F19" s="59">
        <f>'Spotřeby energie'!J46/1000</f>
        <v>58.384999999999998</v>
      </c>
      <c r="G19" s="3"/>
    </row>
    <row r="20" spans="1:14">
      <c r="A20" s="550" t="s">
        <v>37</v>
      </c>
      <c r="B20" s="551"/>
      <c r="C20" s="551"/>
      <c r="D20" s="551"/>
      <c r="E20" s="60">
        <f>SUM(E6:E19)</f>
        <v>825.24372320319526</v>
      </c>
      <c r="F20" s="59">
        <f>SUM(F6:F19)</f>
        <v>1430.2459999999999</v>
      </c>
    </row>
    <row r="21" spans="1:14">
      <c r="A21" s="550" t="s">
        <v>38</v>
      </c>
      <c r="B21" s="551"/>
      <c r="C21" s="551"/>
      <c r="D21" s="551"/>
      <c r="E21" s="74"/>
      <c r="F21" s="55"/>
    </row>
    <row r="22" spans="1:14" ht="15.75" thickBot="1">
      <c r="A22" s="552" t="s">
        <v>39</v>
      </c>
      <c r="B22" s="553"/>
      <c r="C22" s="553"/>
      <c r="D22" s="553"/>
      <c r="E22" s="61">
        <f>SUM(E6:E19)</f>
        <v>825.24372320319526</v>
      </c>
      <c r="F22" s="56">
        <f>SUM(F6:F19)</f>
        <v>1430.2459999999999</v>
      </c>
    </row>
    <row r="24" spans="1:14" ht="15.75" thickBot="1">
      <c r="A24" t="s">
        <v>97</v>
      </c>
    </row>
    <row r="25" spans="1:14" ht="30">
      <c r="A25" s="483" t="s">
        <v>18</v>
      </c>
      <c r="B25" s="484" t="s">
        <v>33</v>
      </c>
      <c r="C25" s="484" t="s">
        <v>34</v>
      </c>
      <c r="D25" s="484" t="s">
        <v>35</v>
      </c>
      <c r="E25" s="484" t="s">
        <v>274</v>
      </c>
      <c r="F25" s="485" t="s">
        <v>36</v>
      </c>
    </row>
    <row r="26" spans="1:14">
      <c r="A26" s="54" t="s">
        <v>19</v>
      </c>
      <c r="B26" s="62" t="s">
        <v>0</v>
      </c>
      <c r="C26" s="63">
        <f>'Spotřeby energie'!I11-'LED světla'!D5</f>
        <v>197.03666666666669</v>
      </c>
      <c r="D26" s="63">
        <f>D6</f>
        <v>3.6</v>
      </c>
      <c r="E26" s="63">
        <f>C26</f>
        <v>197.03666666666669</v>
      </c>
      <c r="F26" s="64">
        <f>E26*H6</f>
        <v>424.35963040687875</v>
      </c>
    </row>
    <row r="27" spans="1:14">
      <c r="A27" s="54" t="s">
        <v>370</v>
      </c>
      <c r="B27" s="62" t="s">
        <v>31</v>
      </c>
      <c r="C27" s="63">
        <f>'Spotřeby energie'!H46</f>
        <v>335.01600000000002</v>
      </c>
      <c r="D27" s="514">
        <v>1</v>
      </c>
      <c r="E27" s="63">
        <f>C27*D27/3.6</f>
        <v>93.06</v>
      </c>
      <c r="F27" s="64">
        <f>F19</f>
        <v>58.384999999999998</v>
      </c>
    </row>
    <row r="28" spans="1:14">
      <c r="A28" s="54" t="s">
        <v>20</v>
      </c>
      <c r="B28" s="62" t="s">
        <v>31</v>
      </c>
      <c r="C28" s="60">
        <f>'Výpočet spotřeby tepla'!E42</f>
        <v>1529.7004761235421</v>
      </c>
      <c r="D28" s="62">
        <v>1</v>
      </c>
      <c r="E28" s="60">
        <f>C28*D28/3.6</f>
        <v>424.9167989232061</v>
      </c>
      <c r="F28" s="64">
        <f>E28*H8</f>
        <v>740.98659315220812</v>
      </c>
    </row>
    <row r="29" spans="1:14" ht="15.75" thickBot="1">
      <c r="A29" s="552" t="s">
        <v>3</v>
      </c>
      <c r="B29" s="553"/>
      <c r="C29" s="553"/>
      <c r="D29" s="553"/>
      <c r="E29" s="61">
        <f>SUM(E26:E28)</f>
        <v>715.01346558987279</v>
      </c>
      <c r="F29" s="56">
        <f>SUM(F26:F28)</f>
        <v>1223.7312235590869</v>
      </c>
    </row>
    <row r="31" spans="1:14" ht="15.75" thickBot="1">
      <c r="A31" s="5" t="s">
        <v>98</v>
      </c>
    </row>
    <row r="32" spans="1:14" ht="30">
      <c r="A32" s="483" t="s">
        <v>18</v>
      </c>
      <c r="B32" s="484" t="s">
        <v>33</v>
      </c>
      <c r="C32" s="484" t="s">
        <v>34</v>
      </c>
      <c r="D32" s="484" t="s">
        <v>35</v>
      </c>
      <c r="E32" s="484" t="s">
        <v>274</v>
      </c>
      <c r="F32" s="485" t="s">
        <v>36</v>
      </c>
      <c r="J32" s="295"/>
      <c r="K32" s="295"/>
      <c r="L32" s="279"/>
      <c r="M32" s="279"/>
      <c r="N32" s="279"/>
    </row>
    <row r="33" spans="1:14" ht="15.75">
      <c r="A33" s="9" t="s">
        <v>19</v>
      </c>
      <c r="B33" s="74" t="s">
        <v>0</v>
      </c>
      <c r="C33" s="60">
        <f>E33</f>
        <v>197.03666666666669</v>
      </c>
      <c r="D33" s="60">
        <f>D6</f>
        <v>3.6</v>
      </c>
      <c r="E33" s="60">
        <f>E6-'LED světla'!D5</f>
        <v>197.03666666666669</v>
      </c>
      <c r="F33" s="59">
        <f>E33*H6</f>
        <v>424.35963040687875</v>
      </c>
      <c r="J33" s="295"/>
      <c r="K33" s="295"/>
      <c r="L33" s="279"/>
      <c r="M33" s="279"/>
      <c r="N33" s="279"/>
    </row>
    <row r="34" spans="1:14" ht="15.75">
      <c r="A34" s="9" t="str">
        <f>A27</f>
        <v>Teplo (teplá voda)</v>
      </c>
      <c r="B34" s="74" t="str">
        <f>B27</f>
        <v>GJ</v>
      </c>
      <c r="C34" s="74">
        <f t="shared" ref="C34:F34" si="0">C27</f>
        <v>335.01600000000002</v>
      </c>
      <c r="D34" s="74">
        <f t="shared" si="0"/>
        <v>1</v>
      </c>
      <c r="E34" s="74">
        <f t="shared" si="0"/>
        <v>93.06</v>
      </c>
      <c r="F34" s="55">
        <f t="shared" si="0"/>
        <v>58.384999999999998</v>
      </c>
      <c r="G34">
        <f>F34/E34</f>
        <v>0.6273909305824199</v>
      </c>
      <c r="H34" t="s">
        <v>237</v>
      </c>
      <c r="J34" s="295"/>
      <c r="K34" s="279"/>
      <c r="L34" s="194"/>
      <c r="M34" s="194"/>
      <c r="N34" s="292"/>
    </row>
    <row r="35" spans="1:14" ht="15.75">
      <c r="A35" s="54" t="s">
        <v>20</v>
      </c>
      <c r="B35" s="62" t="s">
        <v>31</v>
      </c>
      <c r="C35" s="63">
        <f>'Výpočet spotřeby tepla'!E65</f>
        <v>1250.5699965428876</v>
      </c>
      <c r="D35" s="62">
        <v>1</v>
      </c>
      <c r="E35" s="60">
        <f>C35*D35/3.6</f>
        <v>347.38055459524656</v>
      </c>
      <c r="F35" s="64">
        <f>E35*H8</f>
        <v>605.77584677553841</v>
      </c>
      <c r="J35" s="295"/>
      <c r="K35" s="279"/>
      <c r="L35" s="293"/>
      <c r="M35" s="194"/>
      <c r="N35" s="292"/>
    </row>
    <row r="36" spans="1:14" ht="16.5" thickBot="1">
      <c r="A36" s="552" t="s">
        <v>3</v>
      </c>
      <c r="B36" s="553"/>
      <c r="C36" s="553"/>
      <c r="D36" s="553"/>
      <c r="E36" s="61">
        <f>SUM(E33:E35)</f>
        <v>637.4772212619132</v>
      </c>
      <c r="F36" s="56">
        <f>SUM(F33:F35)</f>
        <v>1088.5204771824172</v>
      </c>
      <c r="J36" s="295"/>
      <c r="K36" s="279"/>
      <c r="L36" s="293"/>
      <c r="M36" s="194"/>
      <c r="N36" s="292"/>
    </row>
    <row r="37" spans="1:14" ht="15.75">
      <c r="J37" s="295"/>
      <c r="K37" s="296"/>
      <c r="L37" s="296"/>
      <c r="M37" s="194"/>
      <c r="N37" s="292"/>
    </row>
    <row r="38" spans="1:14" ht="14.25" customHeight="1" thickBot="1">
      <c r="J38" s="295"/>
      <c r="K38" s="296"/>
      <c r="L38" s="296"/>
      <c r="M38" s="296"/>
      <c r="N38" s="294"/>
    </row>
    <row r="39" spans="1:14" ht="15.75">
      <c r="A39" s="564" t="s">
        <v>253</v>
      </c>
      <c r="B39" s="565"/>
      <c r="C39" s="297" t="s">
        <v>258</v>
      </c>
      <c r="D39" s="297" t="s">
        <v>267</v>
      </c>
      <c r="E39" s="298" t="s">
        <v>3</v>
      </c>
    </row>
    <row r="40" spans="1:14" ht="15.75">
      <c r="A40" s="566"/>
      <c r="B40" s="567"/>
      <c r="C40" s="299" t="s">
        <v>0</v>
      </c>
      <c r="D40" s="299" t="s">
        <v>272</v>
      </c>
      <c r="E40" s="300" t="s">
        <v>113</v>
      </c>
    </row>
    <row r="41" spans="1:14" ht="15.75">
      <c r="A41" s="557" t="e">
        <f>#REF!</f>
        <v>#REF!</v>
      </c>
      <c r="B41" s="299" t="s">
        <v>256</v>
      </c>
      <c r="C41" s="301">
        <f>C33</f>
        <v>197.03666666666669</v>
      </c>
      <c r="D41" s="301">
        <f>(1998.3+1464+105.27+495+6.94+28.3)*1.21</f>
        <v>4958.3501000000006</v>
      </c>
      <c r="E41" s="302">
        <f>ROUND(C41*D41,0)</f>
        <v>976977</v>
      </c>
    </row>
    <row r="42" spans="1:14" ht="15.75">
      <c r="A42" s="557"/>
      <c r="B42" s="299" t="s">
        <v>255</v>
      </c>
      <c r="C42" s="303">
        <v>0</v>
      </c>
      <c r="D42" s="301">
        <v>0</v>
      </c>
      <c r="E42" s="302">
        <v>0</v>
      </c>
    </row>
    <row r="43" spans="1:14" ht="15.75">
      <c r="A43" s="557"/>
      <c r="B43" s="299" t="s">
        <v>3</v>
      </c>
      <c r="C43" s="303">
        <f>SUM(C41:C42)</f>
        <v>197.03666666666669</v>
      </c>
      <c r="D43" s="301">
        <f>E43/C43</f>
        <v>4958.3512375023256</v>
      </c>
      <c r="E43" s="302">
        <f>SUM(E41:E42)</f>
        <v>976977</v>
      </c>
    </row>
    <row r="44" spans="1:14" ht="15.75">
      <c r="A44" s="557"/>
      <c r="B44" s="559" t="s">
        <v>268</v>
      </c>
      <c r="C44" s="560"/>
      <c r="D44" s="301">
        <f>(55+164)*1.21</f>
        <v>264.99</v>
      </c>
      <c r="E44" s="302">
        <f>ROUND(D44*12,0)</f>
        <v>3180</v>
      </c>
    </row>
    <row r="45" spans="1:14" ht="16.5" thickBot="1">
      <c r="A45" s="558"/>
      <c r="B45" s="561" t="s">
        <v>3</v>
      </c>
      <c r="C45" s="562"/>
      <c r="D45" s="563"/>
      <c r="E45" s="304">
        <f>SUM(E43:E44)</f>
        <v>980157</v>
      </c>
    </row>
  </sheetData>
  <mergeCells count="10">
    <mergeCell ref="A41:A45"/>
    <mergeCell ref="B44:C44"/>
    <mergeCell ref="B45:D45"/>
    <mergeCell ref="A39:B40"/>
    <mergeCell ref="A36:D36"/>
    <mergeCell ref="A20:D20"/>
    <mergeCell ref="A21:D21"/>
    <mergeCell ref="A22:D22"/>
    <mergeCell ref="A4:F4"/>
    <mergeCell ref="A29:D2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5"/>
  <sheetViews>
    <sheetView zoomScaleNormal="100" workbookViewId="0">
      <selection activeCell="I22" sqref="I22"/>
    </sheetView>
  </sheetViews>
  <sheetFormatPr defaultRowHeight="15"/>
  <cols>
    <col min="1" max="1" width="16" customWidth="1"/>
    <col min="2" max="2" width="18" customWidth="1"/>
    <col min="3" max="3" width="11.28515625" customWidth="1"/>
    <col min="4" max="4" width="25.140625" bestFit="1" customWidth="1"/>
    <col min="5" max="5" width="16.140625" customWidth="1"/>
    <col min="6" max="6" width="13.42578125" bestFit="1" customWidth="1"/>
    <col min="7" max="7" width="29" bestFit="1" customWidth="1"/>
  </cols>
  <sheetData>
    <row r="1" spans="1:6" ht="18.75">
      <c r="A1" s="135" t="s">
        <v>190</v>
      </c>
      <c r="B1" s="136"/>
      <c r="C1" s="136"/>
      <c r="D1" s="136"/>
      <c r="E1" s="136"/>
      <c r="F1" s="136"/>
    </row>
    <row r="2" spans="1:6">
      <c r="A2" s="136"/>
      <c r="B2" s="136"/>
      <c r="C2" s="136"/>
      <c r="D2" s="136"/>
      <c r="E2" s="136"/>
      <c r="F2" s="136"/>
    </row>
    <row r="3" spans="1:6" ht="15.75" thickBot="1">
      <c r="A3" s="329" t="s">
        <v>180</v>
      </c>
      <c r="B3" s="329"/>
      <c r="C3" s="329"/>
      <c r="D3" s="329"/>
      <c r="E3" s="329"/>
      <c r="F3" s="329"/>
    </row>
    <row r="4" spans="1:6">
      <c r="A4" s="330" t="s">
        <v>179</v>
      </c>
      <c r="B4" s="331" t="s">
        <v>181</v>
      </c>
      <c r="C4" s="331" t="s">
        <v>184</v>
      </c>
      <c r="D4" s="332" t="s">
        <v>186</v>
      </c>
      <c r="E4" s="333"/>
      <c r="F4" s="329"/>
    </row>
    <row r="5" spans="1:6">
      <c r="A5" s="334"/>
      <c r="B5" s="335" t="s">
        <v>182</v>
      </c>
      <c r="C5" s="335" t="s">
        <v>183</v>
      </c>
      <c r="D5" s="335" t="s">
        <v>185</v>
      </c>
      <c r="E5" s="336" t="s">
        <v>1</v>
      </c>
      <c r="F5" s="329"/>
    </row>
    <row r="6" spans="1:6">
      <c r="A6" s="337" t="s">
        <v>319</v>
      </c>
      <c r="B6" s="335">
        <v>30</v>
      </c>
      <c r="C6" s="335">
        <v>387.67</v>
      </c>
      <c r="D6" s="338">
        <f>B6*C6/1000*365</f>
        <v>4244.9865</v>
      </c>
      <c r="E6" s="275">
        <f>D6*3.6/1000</f>
        <v>15.281951400000001</v>
      </c>
      <c r="F6" s="329"/>
    </row>
    <row r="7" spans="1:6">
      <c r="A7" s="339"/>
      <c r="B7" s="340"/>
      <c r="C7" s="340"/>
      <c r="D7" s="341"/>
      <c r="E7" s="342"/>
      <c r="F7" s="329"/>
    </row>
    <row r="8" spans="1:6" ht="15.75" thickBot="1">
      <c r="A8" s="706" t="s">
        <v>194</v>
      </c>
      <c r="B8" s="707"/>
      <c r="C8" s="708"/>
      <c r="D8" s="343">
        <f>SUM(D6:D7)</f>
        <v>4244.9865</v>
      </c>
      <c r="E8" s="276">
        <f>SUM(E6:E7)</f>
        <v>15.281951400000001</v>
      </c>
      <c r="F8" s="329"/>
    </row>
    <row r="9" spans="1:6">
      <c r="A9" s="136"/>
      <c r="B9" s="136"/>
      <c r="C9" s="136"/>
      <c r="D9" s="136"/>
      <c r="E9" s="136"/>
      <c r="F9" s="136"/>
    </row>
    <row r="10" spans="1:6" ht="15.75" thickBot="1">
      <c r="A10" s="136" t="s">
        <v>198</v>
      </c>
      <c r="B10" s="136"/>
      <c r="C10" s="136"/>
      <c r="D10" s="136"/>
      <c r="E10" s="136"/>
      <c r="F10" s="136"/>
    </row>
    <row r="11" spans="1:6">
      <c r="A11" s="712" t="s">
        <v>7</v>
      </c>
      <c r="B11" s="713"/>
      <c r="C11" s="713"/>
      <c r="D11" s="713"/>
      <c r="E11" s="713"/>
      <c r="F11" s="714"/>
    </row>
    <row r="12" spans="1:6">
      <c r="A12" s="710" t="s">
        <v>192</v>
      </c>
      <c r="B12" s="145" t="s">
        <v>195</v>
      </c>
      <c r="C12" s="145" t="s">
        <v>193</v>
      </c>
      <c r="D12" s="608" t="s">
        <v>191</v>
      </c>
      <c r="E12" s="709"/>
      <c r="F12" s="715" t="s">
        <v>4</v>
      </c>
    </row>
    <row r="13" spans="1:6">
      <c r="A13" s="711"/>
      <c r="B13" s="138" t="s">
        <v>1</v>
      </c>
      <c r="C13" s="146" t="s">
        <v>140</v>
      </c>
      <c r="D13" s="138" t="s">
        <v>185</v>
      </c>
      <c r="E13" s="147" t="s">
        <v>1</v>
      </c>
      <c r="F13" s="716"/>
    </row>
    <row r="14" spans="1:6" ht="45">
      <c r="A14" s="148" t="s">
        <v>196</v>
      </c>
      <c r="B14" s="142">
        <f>E8</f>
        <v>15.281951400000001</v>
      </c>
      <c r="C14" s="142">
        <v>0.95</v>
      </c>
      <c r="D14" s="142">
        <f>E14/3.6*1000</f>
        <v>4468.4068421052634</v>
      </c>
      <c r="E14" s="149">
        <f>B14/C14</f>
        <v>16.086264631578949</v>
      </c>
      <c r="F14" s="139" t="s">
        <v>201</v>
      </c>
    </row>
    <row r="15" spans="1:6">
      <c r="A15" s="148"/>
      <c r="B15" s="142"/>
      <c r="C15" s="142"/>
      <c r="D15" s="142"/>
      <c r="E15" s="149"/>
      <c r="F15" s="316"/>
    </row>
    <row r="16" spans="1:6" ht="15.75" thickBot="1">
      <c r="A16" s="134" t="s">
        <v>3</v>
      </c>
      <c r="B16" s="143">
        <f>SUM(B14)</f>
        <v>15.281951400000001</v>
      </c>
      <c r="C16" s="150" t="s">
        <v>140</v>
      </c>
      <c r="D16" s="143">
        <f>SUM(D14)</f>
        <v>4468.4068421052634</v>
      </c>
      <c r="E16" s="151">
        <f>SUM(E14)</f>
        <v>16.086264631578949</v>
      </c>
      <c r="F16" s="152" t="s">
        <v>140</v>
      </c>
    </row>
    <row r="17" spans="1:7" ht="15.75" thickBot="1">
      <c r="A17" s="136"/>
      <c r="B17" s="136"/>
      <c r="C17" s="136"/>
      <c r="D17" s="136"/>
      <c r="E17" s="136"/>
      <c r="F17" s="136"/>
    </row>
    <row r="18" spans="1:7">
      <c r="A18" s="153" t="s">
        <v>197</v>
      </c>
      <c r="B18" s="154"/>
      <c r="C18" s="154"/>
      <c r="D18" s="154"/>
      <c r="E18" s="154"/>
      <c r="F18" s="155"/>
    </row>
    <row r="19" spans="1:7">
      <c r="A19" s="718" t="s">
        <v>98</v>
      </c>
      <c r="B19" s="719"/>
      <c r="C19" s="719"/>
      <c r="D19" s="719"/>
      <c r="E19" s="719"/>
      <c r="F19" s="720"/>
    </row>
    <row r="20" spans="1:7">
      <c r="A20" s="710" t="s">
        <v>192</v>
      </c>
      <c r="B20" s="145" t="s">
        <v>195</v>
      </c>
      <c r="C20" s="314" t="s">
        <v>193</v>
      </c>
      <c r="D20" s="608" t="s">
        <v>191</v>
      </c>
      <c r="E20" s="709"/>
      <c r="F20" s="717" t="s">
        <v>4</v>
      </c>
    </row>
    <row r="21" spans="1:7">
      <c r="A21" s="711"/>
      <c r="B21" s="138" t="s">
        <v>1</v>
      </c>
      <c r="C21" s="146" t="s">
        <v>140</v>
      </c>
      <c r="D21" s="138" t="s">
        <v>185</v>
      </c>
      <c r="E21" s="147" t="s">
        <v>1</v>
      </c>
      <c r="F21" s="717"/>
    </row>
    <row r="22" spans="1:7" ht="45">
      <c r="A22" s="156" t="s">
        <v>196</v>
      </c>
      <c r="B22" s="141">
        <f>E6</f>
        <v>15.281951400000001</v>
      </c>
      <c r="C22" s="141">
        <v>0.95</v>
      </c>
      <c r="D22" s="141">
        <f>E22/3.6*1000</f>
        <v>4468.4068421052634</v>
      </c>
      <c r="E22" s="157">
        <f>B22/C22</f>
        <v>16.086264631578949</v>
      </c>
      <c r="F22" s="139" t="s">
        <v>201</v>
      </c>
    </row>
    <row r="23" spans="1:7" ht="45">
      <c r="A23" s="140" t="s">
        <v>199</v>
      </c>
      <c r="B23" s="141">
        <f>E7*242/365</f>
        <v>0</v>
      </c>
      <c r="C23" s="141">
        <v>0.9</v>
      </c>
      <c r="D23" s="141">
        <f t="shared" ref="D23:D24" si="0">E23/3.6*1000</f>
        <v>0</v>
      </c>
      <c r="E23" s="157">
        <f t="shared" ref="E23:E24" si="1">B23/C23</f>
        <v>0</v>
      </c>
      <c r="F23" s="158" t="s">
        <v>202</v>
      </c>
    </row>
    <row r="24" spans="1:7" ht="60">
      <c r="A24" s="140" t="s">
        <v>200</v>
      </c>
      <c r="B24" s="141">
        <f>123/365*E7</f>
        <v>0</v>
      </c>
      <c r="C24" s="141">
        <v>0.97</v>
      </c>
      <c r="D24" s="141">
        <f t="shared" si="0"/>
        <v>0</v>
      </c>
      <c r="E24" s="157">
        <f t="shared" si="1"/>
        <v>0</v>
      </c>
      <c r="F24" s="139" t="s">
        <v>201</v>
      </c>
    </row>
    <row r="25" spans="1:7" ht="15.75" thickBot="1">
      <c r="A25" s="134" t="s">
        <v>3</v>
      </c>
      <c r="B25" s="143">
        <f>SUM(B22:B24)</f>
        <v>15.281951400000001</v>
      </c>
      <c r="C25" s="159" t="s">
        <v>140</v>
      </c>
      <c r="D25" s="143">
        <f t="shared" ref="D25:E25" si="2">SUM(D22:D24)</f>
        <v>4468.4068421052634</v>
      </c>
      <c r="E25" s="151">
        <f t="shared" si="2"/>
        <v>16.086264631578949</v>
      </c>
      <c r="F25" s="152" t="s">
        <v>140</v>
      </c>
    </row>
    <row r="26" spans="1:7" ht="15.75" thickBot="1">
      <c r="G26" s="3"/>
    </row>
    <row r="27" spans="1:7">
      <c r="A27" s="724" t="s">
        <v>310</v>
      </c>
      <c r="B27" s="725"/>
      <c r="C27" s="725"/>
      <c r="D27" s="726"/>
      <c r="E27" s="395" t="s">
        <v>1</v>
      </c>
      <c r="F27" s="394" t="s">
        <v>185</v>
      </c>
      <c r="G27" s="248"/>
    </row>
    <row r="28" spans="1:7" hidden="1">
      <c r="A28" s="286" t="s">
        <v>264</v>
      </c>
      <c r="B28" s="170" t="s">
        <v>265</v>
      </c>
      <c r="C28" s="170">
        <v>0.8</v>
      </c>
      <c r="D28" s="170">
        <v>0</v>
      </c>
      <c r="E28" s="118">
        <f>F28*3.6/1000</f>
        <v>0</v>
      </c>
      <c r="F28" s="224">
        <f>+C28*D28*365</f>
        <v>0</v>
      </c>
      <c r="G28" s="247"/>
    </row>
    <row r="29" spans="1:7" hidden="1">
      <c r="A29" s="287" t="s">
        <v>310</v>
      </c>
      <c r="B29" s="170" t="s">
        <v>318</v>
      </c>
      <c r="C29" s="170"/>
      <c r="D29" s="118"/>
      <c r="E29" s="118">
        <f>F29*3.6/1000</f>
        <v>14.382</v>
      </c>
      <c r="F29" s="224">
        <f>F31</f>
        <v>3995</v>
      </c>
      <c r="G29" s="247"/>
    </row>
    <row r="30" spans="1:7" hidden="1">
      <c r="A30" s="287"/>
      <c r="B30" s="170" t="s">
        <v>271</v>
      </c>
      <c r="C30" s="170"/>
      <c r="D30" s="170"/>
      <c r="E30" s="118">
        <f>F30*3.6/1000</f>
        <v>0</v>
      </c>
      <c r="F30" s="224">
        <f>+C30*D30*220</f>
        <v>0</v>
      </c>
      <c r="G30" s="247"/>
    </row>
    <row r="31" spans="1:7">
      <c r="A31" s="171" t="s">
        <v>345</v>
      </c>
      <c r="B31" s="172"/>
      <c r="C31" s="172"/>
      <c r="D31" s="173"/>
      <c r="E31" s="166">
        <f>E29</f>
        <v>14.382</v>
      </c>
      <c r="F31" s="345">
        <f>F33*E32</f>
        <v>3995</v>
      </c>
      <c r="G31" s="247"/>
    </row>
    <row r="32" spans="1:7">
      <c r="A32" s="174" t="s">
        <v>266</v>
      </c>
      <c r="B32" s="175"/>
      <c r="C32" s="175"/>
      <c r="D32" s="176"/>
      <c r="E32" s="721">
        <v>0.94</v>
      </c>
      <c r="F32" s="722"/>
      <c r="G32" s="247"/>
    </row>
    <row r="33" spans="1:7" ht="15.75" thickBot="1">
      <c r="A33" s="177" t="s">
        <v>323</v>
      </c>
      <c r="B33" s="249"/>
      <c r="C33" s="249"/>
      <c r="D33" s="250"/>
      <c r="E33" s="251">
        <f>E31/E32</f>
        <v>15.3</v>
      </c>
      <c r="F33" s="252">
        <f>'Spotřeby energie'!B12*1000</f>
        <v>4250</v>
      </c>
      <c r="G33" s="247"/>
    </row>
    <row r="34" spans="1:7">
      <c r="A34" s="171"/>
      <c r="B34" s="172"/>
      <c r="C34" s="172"/>
      <c r="D34" s="173"/>
      <c r="E34" s="166"/>
      <c r="F34" s="345"/>
      <c r="G34" s="247"/>
    </row>
    <row r="35" spans="1:7">
      <c r="A35" s="174"/>
      <c r="B35" s="175"/>
      <c r="C35" s="175"/>
      <c r="D35" s="176"/>
      <c r="E35" s="721"/>
      <c r="F35" s="722"/>
      <c r="G35" s="247"/>
    </row>
    <row r="36" spans="1:7" ht="15.75" thickBot="1">
      <c r="A36" s="177"/>
      <c r="B36" s="249"/>
      <c r="C36" s="249"/>
      <c r="D36" s="250"/>
      <c r="E36" s="251"/>
      <c r="F36" s="252"/>
      <c r="G36" s="3"/>
    </row>
    <row r="37" spans="1:7">
      <c r="A37" s="244"/>
      <c r="B37" s="244"/>
      <c r="C37" s="244"/>
      <c r="D37" s="244"/>
      <c r="E37" s="326"/>
      <c r="F37" s="327"/>
      <c r="G37" s="246"/>
    </row>
    <row r="38" spans="1:7">
      <c r="A38" s="218"/>
      <c r="B38" s="218"/>
      <c r="C38" s="218"/>
      <c r="D38" s="218"/>
      <c r="E38" s="328"/>
      <c r="F38" s="327"/>
      <c r="G38" s="84"/>
    </row>
    <row r="39" spans="1:7">
      <c r="A39" s="244"/>
      <c r="B39" s="244"/>
      <c r="C39" s="244"/>
      <c r="D39" s="244"/>
      <c r="E39" s="723"/>
      <c r="F39" s="723"/>
      <c r="G39" s="84"/>
    </row>
    <row r="40" spans="1:7">
      <c r="A40" s="244"/>
      <c r="B40" s="244"/>
      <c r="C40" s="244"/>
      <c r="D40" s="244"/>
      <c r="E40" s="326"/>
      <c r="F40" s="327"/>
      <c r="G40" s="84"/>
    </row>
    <row r="41" spans="1:7">
      <c r="A41" s="244"/>
      <c r="B41" s="84"/>
      <c r="C41" s="84"/>
      <c r="D41" s="84"/>
      <c r="E41" s="705"/>
      <c r="F41" s="705"/>
      <c r="G41" s="84"/>
    </row>
    <row r="42" spans="1:7">
      <c r="A42" s="244"/>
      <c r="B42" s="84"/>
      <c r="C42" s="84"/>
      <c r="D42" s="84"/>
      <c r="E42" s="245"/>
      <c r="F42" s="245"/>
      <c r="G42" s="84"/>
    </row>
    <row r="43" spans="1:7">
      <c r="A43" s="5"/>
      <c r="B43" s="5"/>
      <c r="C43" s="5"/>
      <c r="D43" s="5"/>
      <c r="E43" s="5"/>
      <c r="F43" s="5"/>
      <c r="G43" s="5"/>
    </row>
    <row r="45" spans="1:7" ht="16.5" customHeight="1"/>
  </sheetData>
  <mergeCells count="14">
    <mergeCell ref="E41:F41"/>
    <mergeCell ref="A8:C8"/>
    <mergeCell ref="D12:E12"/>
    <mergeCell ref="A12:A13"/>
    <mergeCell ref="A20:A21"/>
    <mergeCell ref="D20:E20"/>
    <mergeCell ref="A11:F11"/>
    <mergeCell ref="F12:F13"/>
    <mergeCell ref="F20:F21"/>
    <mergeCell ref="A19:F19"/>
    <mergeCell ref="E32:F32"/>
    <mergeCell ref="E39:F39"/>
    <mergeCell ref="E35:F35"/>
    <mergeCell ref="A27:D27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F5" sqref="F5"/>
    </sheetView>
  </sheetViews>
  <sheetFormatPr defaultRowHeight="15"/>
  <cols>
    <col min="1" max="1" width="15.28515625" bestFit="1" customWidth="1"/>
    <col min="2" max="2" width="12.28515625" customWidth="1"/>
    <col min="3" max="3" width="11.140625" customWidth="1"/>
    <col min="4" max="4" width="9.85546875" customWidth="1"/>
  </cols>
  <sheetData>
    <row r="1" spans="1:4" ht="45">
      <c r="A1" s="768" t="s">
        <v>322</v>
      </c>
      <c r="B1" s="768" t="s">
        <v>361</v>
      </c>
      <c r="C1" s="768" t="s">
        <v>362</v>
      </c>
      <c r="D1" s="768" t="s">
        <v>363</v>
      </c>
    </row>
    <row r="2" spans="1:4">
      <c r="A2" s="2"/>
      <c r="B2" s="769" t="s">
        <v>364</v>
      </c>
      <c r="C2" s="769" t="s">
        <v>372</v>
      </c>
      <c r="D2" s="769" t="s">
        <v>0</v>
      </c>
    </row>
    <row r="3" spans="1:4">
      <c r="A3" s="2" t="s">
        <v>365</v>
      </c>
      <c r="B3" s="2">
        <f>36*3+60+2*36*4+9*2*36+3*36+60+60+2+60+2*36*6+2*60+2*36*2+2*60+3*60+6*362+36*2+2*36*4+2*36*4+4*18*2+4*18*2+2*36*6+2*36*10+2*36*6+2*36*6+2*36*4+2*36*4+2*36*5+2*11*2+2*1*2+4*18*7+4*18*4+2*36*6+60+60+60*4+4*18+4*18*7+60+60+60*3+60*2+2*36*4+60*2+2*36*2+36*4+36*2+36*2*6+2*36*4+2*36*6+2*36*4+2*36*4+2*36*6+2*36*6+2*36*4+4*18*7+60*5+36*12+2*36*3+2*36+60+60*2+2*36+2*36*6+2*36*4+2*36*4+2*36*6+2*36*5+2*11*2+2*11*2+4*18*8+4*18*4+2*36*6+60*4+60+60+60*2+4*18+4*18*7+60+60+60+60*2+60*2+2*36*5+2*36*4+2*362+2*36*6+2*36*4+2*36*6+2*36*8+2*36*12+2*36*4+4*18*7+2*11*16+36*2+2*36*2+60+2*36*20+60*4+2*36*2+22*3+22*2+36*9+3*18*6+2*36*6+60*4+60*2+4*18*4+60*4+60*2+4*18*7+60*2+2*36*3+60+60*3+2*36+2*36*4+2*36*20+18*6+36*6+2*36*8+60*5+2*36+60*2+2*36*5+2*36+2*36*4+2*36*9+2*36*4+2*36*4+2*36*5+2*36*5+2*36*6+4*18*6+2*36*10+60*5+2*36*9+2*36*3+2*36*6+2*36*6+2*36*3+2*36*3+4*18*6+2*36*6+4*18*4+2*36*10+36*3+2*36*2+11*4+2*60+60+2*36*2+36+60*35+3*36*39+2*36*39+36*43+60*2+60+2*36+60+2*36+60+60*9+2*36+2*60*2+18*2+3*18*4+2*36+60*9</f>
        <v>56904</v>
      </c>
      <c r="C3" s="2">
        <f>2500*0.7</f>
        <v>1750</v>
      </c>
      <c r="D3" s="2">
        <f>B3*C3/1000000</f>
        <v>99.581999999999994</v>
      </c>
    </row>
    <row r="4" spans="1:4">
      <c r="A4" s="2" t="s">
        <v>366</v>
      </c>
      <c r="B4" s="2">
        <f>FLOOR(B3*0.65,10)</f>
        <v>36980</v>
      </c>
      <c r="C4" s="2">
        <f>C3</f>
        <v>1750</v>
      </c>
      <c r="D4" s="2">
        <f>B4*C4/1000000</f>
        <v>64.715000000000003</v>
      </c>
    </row>
    <row r="5" spans="1:4">
      <c r="A5" s="2" t="s">
        <v>367</v>
      </c>
      <c r="B5" s="2"/>
      <c r="C5" s="2"/>
      <c r="D5" s="2">
        <f>D3-D4</f>
        <v>34.86699999999999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68"/>
  <sheetViews>
    <sheetView zoomScale="90" zoomScaleNormal="90" workbookViewId="0">
      <selection activeCell="X16" sqref="X16"/>
    </sheetView>
  </sheetViews>
  <sheetFormatPr defaultRowHeight="15"/>
  <cols>
    <col min="1" max="1" width="12.85546875" customWidth="1"/>
    <col min="5" max="5" width="10.42578125" customWidth="1"/>
    <col min="10" max="10" width="20.5703125" customWidth="1"/>
    <col min="11" max="11" width="11.5703125" customWidth="1"/>
    <col min="13" max="13" width="12" customWidth="1"/>
    <col min="15" max="15" width="11.42578125" customWidth="1"/>
    <col min="17" max="17" width="13" customWidth="1"/>
    <col min="18" max="18" width="9.140625" customWidth="1"/>
    <col min="19" max="19" width="3.5703125" customWidth="1"/>
    <col min="20" max="20" width="8.7109375" customWidth="1"/>
    <col min="21" max="21" width="3.42578125" customWidth="1"/>
    <col min="22" max="22" width="3.5703125" customWidth="1"/>
    <col min="23" max="23" width="5.140625" customWidth="1"/>
    <col min="24" max="24" width="3.5703125" customWidth="1"/>
    <col min="25" max="25" width="8.28515625" customWidth="1"/>
    <col min="26" max="26" width="3.140625" customWidth="1"/>
    <col min="27" max="27" width="8" customWidth="1"/>
    <col min="28" max="28" width="3.42578125" customWidth="1"/>
    <col min="29" max="29" width="9.42578125" customWidth="1"/>
    <col min="30" max="30" width="3.85546875" customWidth="1"/>
  </cols>
  <sheetData>
    <row r="1" spans="1:30">
      <c r="A1" s="743" t="s">
        <v>373</v>
      </c>
      <c r="B1" s="744"/>
      <c r="C1" s="744"/>
      <c r="D1" s="744"/>
      <c r="E1" s="744"/>
      <c r="F1" s="744"/>
      <c r="G1" s="744"/>
      <c r="H1" s="744"/>
      <c r="I1" s="745"/>
      <c r="J1" s="516"/>
      <c r="K1" s="516"/>
      <c r="L1" s="516"/>
      <c r="M1" s="517"/>
      <c r="N1" s="517"/>
      <c r="O1" s="517"/>
      <c r="P1" s="517"/>
      <c r="Q1" s="518"/>
      <c r="R1" s="518"/>
      <c r="S1" s="518"/>
      <c r="T1" s="518"/>
      <c r="U1" s="518"/>
      <c r="V1" s="518"/>
      <c r="W1" s="518"/>
      <c r="X1" s="519"/>
      <c r="Y1" s="519"/>
      <c r="Z1" s="519"/>
      <c r="AA1" s="519"/>
      <c r="AB1" s="519"/>
      <c r="AC1" s="519"/>
      <c r="AD1" s="519"/>
    </row>
    <row r="2" spans="1:30">
      <c r="A2" s="754" t="s">
        <v>374</v>
      </c>
      <c r="B2" s="756"/>
      <c r="C2" s="756"/>
      <c r="D2" s="755"/>
      <c r="E2" s="754" t="s">
        <v>375</v>
      </c>
      <c r="F2" s="756"/>
      <c r="G2" s="756"/>
      <c r="H2" s="756"/>
      <c r="I2" s="755"/>
      <c r="J2" s="520"/>
      <c r="K2" s="520"/>
      <c r="L2" s="520"/>
      <c r="M2" s="517"/>
      <c r="N2" s="517"/>
      <c r="O2" s="517"/>
      <c r="P2" s="517"/>
      <c r="Q2" s="518"/>
      <c r="R2" s="518"/>
      <c r="S2" s="518"/>
      <c r="T2" s="518"/>
      <c r="U2" s="518"/>
      <c r="V2" s="518"/>
      <c r="W2" s="518"/>
      <c r="X2" s="519"/>
      <c r="Y2" s="519"/>
      <c r="Z2" s="519"/>
      <c r="AA2" s="519"/>
      <c r="AB2" s="519"/>
      <c r="AC2" s="519"/>
      <c r="AD2" s="519"/>
    </row>
    <row r="3" spans="1:30">
      <c r="A3" s="754" t="s">
        <v>376</v>
      </c>
      <c r="B3" s="755"/>
      <c r="C3" s="521">
        <v>0</v>
      </c>
      <c r="D3" s="522" t="s">
        <v>377</v>
      </c>
      <c r="E3" s="754" t="s">
        <v>376</v>
      </c>
      <c r="F3" s="755"/>
      <c r="G3" s="757">
        <v>0</v>
      </c>
      <c r="H3" s="759"/>
      <c r="I3" s="522" t="s">
        <v>377</v>
      </c>
      <c r="J3" s="520"/>
      <c r="K3" s="523"/>
      <c r="L3" s="523"/>
      <c r="M3" s="517"/>
      <c r="N3" s="517"/>
      <c r="O3" s="517"/>
      <c r="P3" s="517"/>
      <c r="Q3" s="518"/>
      <c r="R3" s="518"/>
      <c r="S3" s="518"/>
      <c r="T3" s="518"/>
      <c r="U3" s="518"/>
      <c r="V3" s="518"/>
      <c r="W3" s="518"/>
      <c r="X3" s="519"/>
      <c r="Y3" s="519"/>
      <c r="Z3" s="519"/>
      <c r="AA3" s="519"/>
      <c r="AB3" s="519"/>
      <c r="AC3" s="519"/>
      <c r="AD3" s="519"/>
    </row>
    <row r="4" spans="1:30">
      <c r="A4" s="754" t="s">
        <v>378</v>
      </c>
      <c r="B4" s="755"/>
      <c r="C4" s="545" t="s">
        <v>140</v>
      </c>
      <c r="D4" s="522" t="s">
        <v>379</v>
      </c>
      <c r="E4" s="524" t="s">
        <v>378</v>
      </c>
      <c r="F4" s="525"/>
      <c r="G4" s="757" t="s">
        <v>140</v>
      </c>
      <c r="H4" s="759"/>
      <c r="I4" s="526" t="s">
        <v>379</v>
      </c>
      <c r="J4" s="520"/>
      <c r="K4" s="523"/>
      <c r="L4" s="523"/>
      <c r="M4" s="517"/>
      <c r="N4" s="517"/>
      <c r="O4" s="517"/>
      <c r="P4" s="517"/>
      <c r="Q4" s="518"/>
      <c r="R4" s="518"/>
      <c r="S4" s="518"/>
      <c r="T4" s="518"/>
      <c r="U4" s="518"/>
      <c r="V4" s="518"/>
      <c r="W4" s="518"/>
      <c r="X4" s="519"/>
      <c r="Y4" s="519"/>
      <c r="Z4" s="519"/>
      <c r="AA4" s="519"/>
      <c r="AB4" s="519"/>
      <c r="AC4" s="519"/>
      <c r="AD4" s="519"/>
    </row>
    <row r="5" spans="1:30">
      <c r="A5" s="754" t="s">
        <v>380</v>
      </c>
      <c r="B5" s="755"/>
      <c r="C5" s="545" t="s">
        <v>140</v>
      </c>
      <c r="D5" s="522" t="s">
        <v>0</v>
      </c>
      <c r="E5" s="754" t="s">
        <v>380</v>
      </c>
      <c r="F5" s="755"/>
      <c r="G5" s="757" t="s">
        <v>140</v>
      </c>
      <c r="H5" s="759"/>
      <c r="I5" s="522" t="s">
        <v>0</v>
      </c>
      <c r="J5" s="520"/>
      <c r="K5" s="523"/>
      <c r="L5" s="523"/>
      <c r="M5" s="517"/>
      <c r="N5" s="517"/>
      <c r="O5" s="517"/>
      <c r="P5" s="517"/>
      <c r="Q5" s="518"/>
      <c r="R5" s="518"/>
      <c r="S5" s="518"/>
      <c r="T5" s="518"/>
      <c r="U5" s="518"/>
      <c r="V5" s="518"/>
      <c r="W5" s="518"/>
      <c r="X5" s="519"/>
      <c r="Y5" s="519"/>
      <c r="Z5" s="519"/>
      <c r="AA5" s="519"/>
      <c r="AB5" s="519"/>
      <c r="AC5" s="519"/>
      <c r="AD5" s="519"/>
    </row>
    <row r="6" spans="1:30">
      <c r="A6" s="754" t="s">
        <v>381</v>
      </c>
      <c r="B6" s="755"/>
      <c r="C6" s="545" t="s">
        <v>140</v>
      </c>
      <c r="D6" s="522" t="s">
        <v>382</v>
      </c>
      <c r="E6" s="734" t="s">
        <v>381</v>
      </c>
      <c r="F6" s="735"/>
      <c r="G6" s="757" t="s">
        <v>140</v>
      </c>
      <c r="H6" s="759"/>
      <c r="I6" s="522" t="s">
        <v>382</v>
      </c>
      <c r="J6" s="520"/>
      <c r="K6" s="523"/>
      <c r="L6" s="523"/>
      <c r="M6" s="517"/>
      <c r="N6" s="517"/>
      <c r="O6" s="517"/>
      <c r="P6" s="517"/>
      <c r="Q6" s="518"/>
      <c r="R6" s="518"/>
      <c r="S6" s="518"/>
      <c r="T6" s="518"/>
      <c r="U6" s="518"/>
      <c r="V6" s="518"/>
      <c r="W6" s="518"/>
      <c r="X6" s="519"/>
      <c r="Y6" s="519"/>
      <c r="Z6" s="519"/>
      <c r="AA6" s="519"/>
      <c r="AB6" s="519"/>
      <c r="AC6" s="519"/>
      <c r="AD6" s="519"/>
    </row>
    <row r="7" spans="1:30">
      <c r="A7" s="524" t="s">
        <v>383</v>
      </c>
      <c r="B7" s="524"/>
      <c r="C7" s="524"/>
      <c r="D7" s="524"/>
      <c r="E7" s="754" t="s">
        <v>384</v>
      </c>
      <c r="F7" s="756"/>
      <c r="G7" s="756"/>
      <c r="H7" s="756"/>
      <c r="I7" s="755"/>
      <c r="J7" s="520"/>
      <c r="K7" s="520"/>
      <c r="L7" s="520"/>
      <c r="M7" s="517"/>
      <c r="N7" s="517"/>
      <c r="O7" s="517"/>
      <c r="P7" s="517"/>
      <c r="Q7" s="518"/>
      <c r="R7" s="518"/>
      <c r="S7" s="518"/>
      <c r="T7" s="518"/>
      <c r="U7" s="518"/>
      <c r="V7" s="518"/>
      <c r="W7" s="518"/>
      <c r="X7" s="519"/>
      <c r="Y7" s="519"/>
      <c r="Z7" s="519"/>
      <c r="AA7" s="519"/>
      <c r="AB7" s="519"/>
      <c r="AC7" s="519"/>
      <c r="AD7" s="519"/>
    </row>
    <row r="8" spans="1:30">
      <c r="A8" s="728" t="s">
        <v>385</v>
      </c>
      <c r="B8" s="728"/>
      <c r="C8" s="521">
        <v>0</v>
      </c>
      <c r="D8" s="527" t="s">
        <v>377</v>
      </c>
      <c r="E8" s="728" t="s">
        <v>386</v>
      </c>
      <c r="F8" s="728"/>
      <c r="G8" s="757" t="s">
        <v>140</v>
      </c>
      <c r="H8" s="758"/>
      <c r="I8" s="759"/>
      <c r="J8" s="517"/>
      <c r="K8" s="517"/>
      <c r="L8" s="517"/>
      <c r="M8" s="517"/>
      <c r="N8" s="517"/>
      <c r="O8" s="517"/>
      <c r="P8" s="517"/>
      <c r="Q8" s="518"/>
      <c r="R8" s="518"/>
      <c r="S8" s="518"/>
      <c r="T8" s="518"/>
      <c r="U8" s="518"/>
      <c r="V8" s="518"/>
      <c r="W8" s="518"/>
      <c r="X8" s="519"/>
      <c r="Y8" s="519"/>
      <c r="Z8" s="519"/>
      <c r="AA8" s="519"/>
      <c r="AB8" s="519"/>
      <c r="AC8" s="519"/>
      <c r="AD8" s="519"/>
    </row>
    <row r="9" spans="1:30">
      <c r="A9" s="728" t="s">
        <v>387</v>
      </c>
      <c r="B9" s="728"/>
      <c r="C9" s="545" t="s">
        <v>140</v>
      </c>
      <c r="D9" s="527" t="s">
        <v>379</v>
      </c>
      <c r="E9" s="728" t="s">
        <v>388</v>
      </c>
      <c r="F9" s="728"/>
      <c r="G9" s="757" t="s">
        <v>140</v>
      </c>
      <c r="H9" s="758"/>
      <c r="I9" s="759"/>
      <c r="J9" s="517"/>
      <c r="K9" s="517"/>
      <c r="L9" s="517"/>
      <c r="M9" s="517"/>
      <c r="N9" s="517"/>
      <c r="O9" s="517"/>
      <c r="P9" s="517"/>
      <c r="Q9" s="518"/>
      <c r="R9" s="518"/>
      <c r="S9" s="518"/>
      <c r="T9" s="518"/>
      <c r="U9" s="518"/>
      <c r="V9" s="518"/>
      <c r="W9" s="518"/>
      <c r="X9" s="519"/>
      <c r="Y9" s="519"/>
      <c r="Z9" s="519"/>
      <c r="AA9" s="519"/>
      <c r="AB9" s="519"/>
      <c r="AC9" s="519"/>
      <c r="AD9" s="519"/>
    </row>
    <row r="10" spans="1:30">
      <c r="A10" s="728" t="s">
        <v>389</v>
      </c>
      <c r="B10" s="728"/>
      <c r="C10" s="545" t="s">
        <v>140</v>
      </c>
      <c r="D10" s="527" t="s">
        <v>379</v>
      </c>
      <c r="E10" s="728" t="s">
        <v>390</v>
      </c>
      <c r="F10" s="728"/>
      <c r="G10" s="757" t="s">
        <v>140</v>
      </c>
      <c r="H10" s="758"/>
      <c r="I10" s="759"/>
      <c r="J10" s="517"/>
      <c r="K10" s="517"/>
      <c r="L10" s="517"/>
      <c r="M10" s="517"/>
      <c r="N10" s="517"/>
      <c r="O10" s="517"/>
      <c r="P10" s="517"/>
      <c r="Q10" s="518"/>
      <c r="R10" s="518"/>
      <c r="S10" s="518"/>
      <c r="T10" s="518"/>
      <c r="U10" s="518"/>
      <c r="V10" s="518"/>
      <c r="W10" s="518"/>
      <c r="X10" s="519"/>
      <c r="Y10" s="519"/>
      <c r="Z10" s="519"/>
      <c r="AA10" s="519"/>
      <c r="AB10" s="519"/>
      <c r="AC10" s="519"/>
      <c r="AD10" s="519"/>
    </row>
    <row r="11" spans="1:30">
      <c r="A11" s="728" t="s">
        <v>391</v>
      </c>
      <c r="B11" s="728"/>
      <c r="C11" s="545" t="s">
        <v>140</v>
      </c>
      <c r="D11" s="527" t="s">
        <v>0</v>
      </c>
      <c r="E11" s="760"/>
      <c r="F11" s="761"/>
      <c r="G11" s="761"/>
      <c r="H11" s="761"/>
      <c r="I11" s="740"/>
      <c r="J11" s="517"/>
      <c r="K11" s="517"/>
      <c r="L11" s="517"/>
      <c r="M11" s="517"/>
      <c r="N11" s="517"/>
      <c r="O11" s="517"/>
      <c r="P11" s="517"/>
      <c r="Q11" s="518"/>
      <c r="R11" s="518"/>
      <c r="S11" s="518"/>
      <c r="T11" s="518"/>
      <c r="U11" s="518"/>
      <c r="V11" s="518"/>
      <c r="W11" s="518"/>
      <c r="X11" s="519"/>
      <c r="Y11" s="519"/>
      <c r="Z11" s="519"/>
      <c r="AA11" s="519"/>
      <c r="AB11" s="519"/>
      <c r="AC11" s="519"/>
      <c r="AD11" s="519"/>
    </row>
    <row r="12" spans="1:30">
      <c r="A12" s="728" t="s">
        <v>392</v>
      </c>
      <c r="B12" s="728"/>
      <c r="C12" s="545" t="s">
        <v>140</v>
      </c>
      <c r="D12" s="527" t="s">
        <v>0</v>
      </c>
      <c r="E12" s="762"/>
      <c r="F12" s="763"/>
      <c r="G12" s="763"/>
      <c r="H12" s="763"/>
      <c r="I12" s="764"/>
      <c r="J12" s="517"/>
      <c r="K12" s="517"/>
      <c r="L12" s="517"/>
      <c r="M12" s="517"/>
      <c r="N12" s="517"/>
      <c r="O12" s="517"/>
      <c r="P12" s="517"/>
      <c r="Q12" s="518"/>
      <c r="R12" s="518"/>
      <c r="S12" s="518"/>
      <c r="T12" s="518"/>
      <c r="U12" s="518"/>
      <c r="V12" s="518"/>
      <c r="W12" s="518"/>
      <c r="X12" s="519"/>
      <c r="Y12" s="519"/>
      <c r="Z12" s="519"/>
      <c r="AA12" s="519"/>
      <c r="AB12" s="519"/>
      <c r="AC12" s="519"/>
      <c r="AD12" s="519"/>
    </row>
    <row r="13" spans="1:30">
      <c r="A13" s="728" t="s">
        <v>381</v>
      </c>
      <c r="B13" s="728"/>
      <c r="C13" s="545" t="s">
        <v>140</v>
      </c>
      <c r="D13" s="527" t="s">
        <v>1</v>
      </c>
      <c r="E13" s="765"/>
      <c r="F13" s="766"/>
      <c r="G13" s="766"/>
      <c r="H13" s="766"/>
      <c r="I13" s="767"/>
      <c r="J13" s="517"/>
      <c r="K13" s="517"/>
      <c r="L13" s="517"/>
      <c r="M13" s="517"/>
      <c r="N13" s="517"/>
      <c r="O13" s="517"/>
      <c r="P13" s="517"/>
      <c r="Q13" s="518"/>
      <c r="R13" s="518"/>
      <c r="S13" s="518"/>
      <c r="T13" s="518"/>
      <c r="U13" s="518"/>
      <c r="V13" s="518"/>
      <c r="W13" s="518"/>
      <c r="X13" s="519"/>
      <c r="Y13" s="519"/>
      <c r="Z13" s="519"/>
      <c r="AA13" s="519"/>
      <c r="AB13" s="519"/>
      <c r="AC13" s="519"/>
      <c r="AD13" s="519"/>
    </row>
    <row r="14" spans="1:30">
      <c r="A14" s="743" t="s">
        <v>393</v>
      </c>
      <c r="B14" s="744"/>
      <c r="C14" s="744"/>
      <c r="D14" s="744"/>
      <c r="E14" s="744"/>
      <c r="F14" s="744"/>
      <c r="G14" s="744"/>
      <c r="H14" s="744"/>
      <c r="I14" s="745"/>
      <c r="J14" s="516"/>
      <c r="K14" s="516"/>
      <c r="L14" s="516"/>
      <c r="M14" s="516"/>
      <c r="N14" s="517"/>
      <c r="O14" s="517"/>
      <c r="P14" s="517"/>
      <c r="Q14" s="518"/>
      <c r="R14" s="518"/>
      <c r="S14" s="518"/>
      <c r="T14" s="518"/>
      <c r="U14" s="518"/>
      <c r="V14" s="518"/>
      <c r="W14" s="518"/>
      <c r="X14" s="518"/>
      <c r="Y14" s="519"/>
      <c r="Z14" s="519"/>
      <c r="AA14" s="519"/>
      <c r="AB14" s="519"/>
      <c r="AC14" s="519"/>
      <c r="AD14" s="519"/>
    </row>
    <row r="15" spans="1:30" ht="28.5">
      <c r="A15" s="528" t="s">
        <v>394</v>
      </c>
      <c r="B15" s="754" t="s">
        <v>395</v>
      </c>
      <c r="C15" s="755"/>
      <c r="D15" s="754" t="s">
        <v>396</v>
      </c>
      <c r="E15" s="756"/>
      <c r="F15" s="755"/>
      <c r="G15" s="728" t="s">
        <v>4</v>
      </c>
      <c r="H15" s="728"/>
      <c r="I15" s="728"/>
      <c r="J15" s="517"/>
      <c r="K15" s="523"/>
      <c r="L15" s="520"/>
      <c r="M15" s="520"/>
      <c r="N15" s="517"/>
      <c r="O15" s="517"/>
      <c r="P15" s="517"/>
      <c r="Q15" s="518"/>
      <c r="R15" s="518"/>
      <c r="S15" s="518"/>
      <c r="T15" s="518"/>
      <c r="U15" s="518"/>
      <c r="V15" s="518"/>
      <c r="W15" s="518"/>
      <c r="X15" s="518"/>
      <c r="Y15" s="519"/>
      <c r="Z15" s="519"/>
      <c r="AA15" s="519"/>
      <c r="AB15" s="519"/>
      <c r="AC15" s="519"/>
      <c r="AD15" s="519"/>
    </row>
    <row r="16" spans="1:30">
      <c r="A16" s="529" t="s">
        <v>307</v>
      </c>
      <c r="B16" s="530" t="s">
        <v>140</v>
      </c>
      <c r="C16" s="524" t="s">
        <v>379</v>
      </c>
      <c r="D16" s="748">
        <f>'Energetické vstupy'!E7</f>
        <v>500.2800565365286</v>
      </c>
      <c r="E16" s="753"/>
      <c r="F16" s="524" t="s">
        <v>397</v>
      </c>
      <c r="G16" s="749" t="s">
        <v>20</v>
      </c>
      <c r="H16" s="749"/>
      <c r="I16" s="749"/>
      <c r="J16" s="520"/>
      <c r="K16" s="523"/>
      <c r="L16" s="517"/>
      <c r="M16" s="517"/>
      <c r="N16" s="517"/>
      <c r="O16" s="517"/>
      <c r="P16" s="517"/>
      <c r="Q16" s="518"/>
      <c r="R16" s="518"/>
      <c r="S16" s="518"/>
      <c r="T16" s="518"/>
      <c r="U16" s="518"/>
      <c r="V16" s="518"/>
      <c r="W16" s="518"/>
      <c r="X16" s="518"/>
      <c r="Y16" s="519"/>
      <c r="Z16" s="519"/>
      <c r="AA16" s="519"/>
      <c r="AB16" s="519"/>
      <c r="AC16" s="519"/>
      <c r="AD16" s="519"/>
    </row>
    <row r="17" spans="1:30">
      <c r="A17" s="529" t="s">
        <v>359</v>
      </c>
      <c r="B17" s="530" t="s">
        <v>140</v>
      </c>
      <c r="C17" s="524" t="s">
        <v>379</v>
      </c>
      <c r="D17" s="748">
        <f>'Spotřeby energie'!B13</f>
        <v>63.78</v>
      </c>
      <c r="E17" s="753"/>
      <c r="F17" s="524" t="s">
        <v>397</v>
      </c>
      <c r="G17" s="749" t="s">
        <v>231</v>
      </c>
      <c r="H17" s="749"/>
      <c r="I17" s="749"/>
      <c r="J17" s="520"/>
      <c r="K17" s="523"/>
      <c r="L17" s="517"/>
      <c r="M17" s="517"/>
      <c r="N17" s="517"/>
      <c r="O17" s="517"/>
      <c r="P17" s="517"/>
      <c r="Q17" s="518"/>
      <c r="R17" s="518"/>
      <c r="S17" s="518"/>
      <c r="T17" s="518"/>
      <c r="U17" s="518"/>
      <c r="V17" s="518"/>
      <c r="W17" s="518"/>
      <c r="X17" s="518"/>
      <c r="Y17" s="519"/>
      <c r="Z17" s="519"/>
      <c r="AA17" s="519"/>
      <c r="AB17" s="519"/>
      <c r="AC17" s="519"/>
      <c r="AD17" s="519"/>
    </row>
    <row r="18" spans="1:30">
      <c r="A18" s="529" t="s">
        <v>398</v>
      </c>
      <c r="B18" s="530" t="s">
        <v>140</v>
      </c>
      <c r="C18" s="524" t="s">
        <v>379</v>
      </c>
      <c r="D18" s="748">
        <f>'Spotřeby energie'!B12</f>
        <v>4.25</v>
      </c>
      <c r="E18" s="753"/>
      <c r="F18" s="524" t="s">
        <v>397</v>
      </c>
      <c r="G18" s="749" t="s">
        <v>231</v>
      </c>
      <c r="H18" s="749"/>
      <c r="I18" s="749"/>
      <c r="J18" s="520"/>
      <c r="K18" s="523"/>
      <c r="L18" s="517"/>
      <c r="M18" s="517"/>
      <c r="N18" s="517"/>
      <c r="O18" s="517"/>
      <c r="P18" s="517"/>
      <c r="Q18" s="518"/>
      <c r="R18" s="518"/>
      <c r="S18" s="518"/>
      <c r="T18" s="518"/>
      <c r="U18" s="518"/>
      <c r="V18" s="518"/>
      <c r="W18" s="518"/>
      <c r="X18" s="518"/>
      <c r="Y18" s="519"/>
      <c r="Z18" s="519"/>
      <c r="AA18" s="519"/>
      <c r="AB18" s="519"/>
      <c r="AC18" s="519"/>
      <c r="AD18" s="519"/>
    </row>
    <row r="19" spans="1:30" ht="28.5">
      <c r="A19" s="529" t="s">
        <v>399</v>
      </c>
      <c r="B19" s="530" t="s">
        <v>140</v>
      </c>
      <c r="C19" s="524" t="s">
        <v>379</v>
      </c>
      <c r="D19" s="753" t="s">
        <v>140</v>
      </c>
      <c r="E19" s="753"/>
      <c r="F19" s="524" t="s">
        <v>397</v>
      </c>
      <c r="G19" s="749" t="s">
        <v>140</v>
      </c>
      <c r="H19" s="749"/>
      <c r="I19" s="749"/>
      <c r="J19" s="520"/>
      <c r="K19" s="523"/>
      <c r="L19" s="517"/>
      <c r="M19" s="517"/>
      <c r="N19" s="517"/>
      <c r="O19" s="517"/>
      <c r="P19" s="517"/>
      <c r="Q19" s="518"/>
      <c r="R19" s="518"/>
      <c r="S19" s="518"/>
      <c r="T19" s="518"/>
      <c r="U19" s="518"/>
      <c r="V19" s="518"/>
      <c r="W19" s="518"/>
      <c r="X19" s="518"/>
      <c r="Y19" s="519"/>
      <c r="Z19" s="519"/>
      <c r="AA19" s="519"/>
      <c r="AB19" s="519"/>
      <c r="AC19" s="519"/>
      <c r="AD19" s="519"/>
    </row>
    <row r="20" spans="1:30">
      <c r="A20" s="529" t="s">
        <v>2</v>
      </c>
      <c r="B20" s="530" t="s">
        <v>140</v>
      </c>
      <c r="C20" s="524" t="s">
        <v>379</v>
      </c>
      <c r="D20" s="748">
        <f>'Energetické vstupy'!E19</f>
        <v>93.06</v>
      </c>
      <c r="E20" s="748"/>
      <c r="F20" s="524" t="s">
        <v>397</v>
      </c>
      <c r="G20" s="749" t="s">
        <v>371</v>
      </c>
      <c r="H20" s="749"/>
      <c r="I20" s="749"/>
      <c r="J20" s="520"/>
      <c r="K20" s="523"/>
      <c r="L20" s="517"/>
      <c r="M20" s="517"/>
      <c r="N20" s="517"/>
      <c r="O20" s="517"/>
      <c r="P20" s="517"/>
      <c r="Q20" s="518"/>
      <c r="R20" s="518"/>
      <c r="S20" s="518"/>
      <c r="T20" s="518"/>
      <c r="U20" s="518"/>
      <c r="V20" s="518"/>
      <c r="W20" s="518"/>
      <c r="X20" s="518"/>
      <c r="Y20" s="519"/>
      <c r="Z20" s="519"/>
      <c r="AA20" s="519"/>
      <c r="AB20" s="519"/>
      <c r="AC20" s="519"/>
      <c r="AD20" s="519"/>
    </row>
    <row r="21" spans="1:30">
      <c r="A21" s="529" t="s">
        <v>322</v>
      </c>
      <c r="B21" s="530" t="s">
        <v>400</v>
      </c>
      <c r="C21" s="524" t="s">
        <v>379</v>
      </c>
      <c r="D21" s="748">
        <f>'Spotřeby energie'!B11</f>
        <v>99.581999999999994</v>
      </c>
      <c r="E21" s="753"/>
      <c r="F21" s="524" t="s">
        <v>397</v>
      </c>
      <c r="G21" s="749" t="s">
        <v>231</v>
      </c>
      <c r="H21" s="749"/>
      <c r="I21" s="749"/>
      <c r="J21" s="520"/>
      <c r="K21" s="523"/>
      <c r="L21" s="517"/>
      <c r="M21" s="517"/>
      <c r="N21" s="517"/>
      <c r="O21" s="517"/>
      <c r="P21" s="517"/>
      <c r="Q21" s="518"/>
      <c r="R21" s="518"/>
      <c r="S21" s="518"/>
      <c r="T21" s="518"/>
      <c r="U21" s="518"/>
      <c r="V21" s="518"/>
      <c r="W21" s="518"/>
      <c r="X21" s="518"/>
      <c r="Y21" s="519"/>
      <c r="Z21" s="519"/>
      <c r="AA21" s="519"/>
      <c r="AB21" s="519"/>
      <c r="AC21" s="519"/>
      <c r="AD21" s="519"/>
    </row>
    <row r="22" spans="1:30">
      <c r="A22" s="529" t="s">
        <v>401</v>
      </c>
      <c r="B22" s="530" t="s">
        <v>400</v>
      </c>
      <c r="C22" s="524" t="s">
        <v>379</v>
      </c>
      <c r="D22" s="748">
        <f>'Spotřeby energie'!B14</f>
        <v>64.291666666666686</v>
      </c>
      <c r="E22" s="753"/>
      <c r="F22" s="524" t="s">
        <v>397</v>
      </c>
      <c r="G22" s="749" t="s">
        <v>231</v>
      </c>
      <c r="H22" s="749"/>
      <c r="I22" s="749"/>
      <c r="J22" s="520"/>
      <c r="K22" s="523"/>
      <c r="L22" s="517"/>
      <c r="M22" s="517"/>
      <c r="N22" s="517"/>
      <c r="O22" s="517"/>
      <c r="P22" s="517"/>
      <c r="Q22" s="518"/>
      <c r="R22" s="518"/>
      <c r="S22" s="518"/>
      <c r="T22" s="518"/>
      <c r="U22" s="518"/>
      <c r="V22" s="518"/>
      <c r="W22" s="518"/>
      <c r="X22" s="518"/>
      <c r="Y22" s="519"/>
      <c r="Z22" s="519"/>
      <c r="AA22" s="519"/>
      <c r="AB22" s="519"/>
      <c r="AC22" s="519"/>
      <c r="AD22" s="519"/>
    </row>
    <row r="23" spans="1:30">
      <c r="A23" s="529" t="s">
        <v>3</v>
      </c>
      <c r="B23" s="530" t="s">
        <v>400</v>
      </c>
      <c r="C23" s="524" t="s">
        <v>379</v>
      </c>
      <c r="D23" s="748">
        <f>SUM(D16:E22)</f>
        <v>825.24372320319526</v>
      </c>
      <c r="E23" s="748"/>
      <c r="F23" s="524" t="s">
        <v>397</v>
      </c>
      <c r="G23" s="749" t="s">
        <v>140</v>
      </c>
      <c r="H23" s="749"/>
      <c r="I23" s="749"/>
      <c r="J23" s="520"/>
      <c r="K23" s="523"/>
      <c r="L23" s="517"/>
      <c r="M23" s="517"/>
      <c r="N23" s="517"/>
      <c r="O23" s="517"/>
      <c r="P23" s="517"/>
      <c r="Q23" s="518"/>
      <c r="R23" s="518"/>
      <c r="S23" s="518"/>
      <c r="T23" s="518"/>
      <c r="U23" s="518"/>
      <c r="V23" s="518"/>
      <c r="W23" s="518"/>
      <c r="X23" s="518"/>
      <c r="Y23" s="519"/>
      <c r="Z23" s="519"/>
      <c r="AA23" s="519"/>
      <c r="AB23" s="519"/>
      <c r="AC23" s="519"/>
      <c r="AD23" s="519"/>
    </row>
    <row r="24" spans="1:30" ht="15.75" thickBot="1">
      <c r="A24" s="523"/>
      <c r="B24" s="523"/>
      <c r="C24" s="523"/>
      <c r="D24" s="523"/>
      <c r="E24" s="523"/>
      <c r="F24" s="523"/>
      <c r="G24" s="523"/>
      <c r="H24" s="523"/>
      <c r="I24" s="523"/>
      <c r="J24" s="729" t="s">
        <v>402</v>
      </c>
      <c r="K24" s="729"/>
      <c r="L24" s="729"/>
      <c r="M24" s="729"/>
      <c r="N24" s="729"/>
      <c r="O24" s="729"/>
      <c r="P24" s="729"/>
      <c r="Q24" s="516"/>
      <c r="R24" s="516"/>
      <c r="S24" s="516"/>
      <c r="T24" s="516"/>
      <c r="U24" s="516"/>
      <c r="V24" s="516"/>
      <c r="W24" s="516"/>
      <c r="X24" s="516"/>
      <c r="Y24" s="516"/>
      <c r="Z24" s="516"/>
      <c r="AA24" s="516"/>
      <c r="AB24" s="516"/>
      <c r="AC24" s="516"/>
      <c r="AD24" s="516"/>
    </row>
    <row r="25" spans="1:30">
      <c r="A25" s="523"/>
      <c r="B25" s="523"/>
      <c r="C25" s="523"/>
      <c r="D25" s="523"/>
      <c r="E25" s="523"/>
      <c r="F25" s="523"/>
      <c r="G25" s="523"/>
      <c r="H25" s="523"/>
      <c r="I25" s="523"/>
      <c r="J25" s="731" t="s">
        <v>403</v>
      </c>
      <c r="K25" s="731"/>
      <c r="L25" s="731"/>
      <c r="M25" s="731"/>
      <c r="N25" s="731"/>
      <c r="O25" s="731"/>
      <c r="P25" s="731"/>
      <c r="Q25" s="750" t="s">
        <v>404</v>
      </c>
      <c r="R25" s="750"/>
      <c r="S25" s="750"/>
      <c r="T25" s="751"/>
      <c r="U25" s="531"/>
      <c r="V25" s="531"/>
      <c r="W25" s="531"/>
      <c r="X25" s="531"/>
      <c r="Y25" s="531"/>
      <c r="Z25" s="531"/>
      <c r="AA25" s="531"/>
      <c r="AB25" s="531"/>
      <c r="AC25" s="531"/>
      <c r="AD25" s="531"/>
    </row>
    <row r="26" spans="1:30">
      <c r="A26" s="523"/>
      <c r="B26" s="523"/>
      <c r="C26" s="523"/>
      <c r="D26" s="523"/>
      <c r="E26" s="523"/>
      <c r="F26" s="523"/>
      <c r="G26" s="523"/>
      <c r="H26" s="523"/>
      <c r="I26" s="523"/>
      <c r="J26" s="525"/>
      <c r="K26" s="752" t="s">
        <v>7</v>
      </c>
      <c r="L26" s="752"/>
      <c r="M26" s="752" t="s">
        <v>405</v>
      </c>
      <c r="N26" s="752"/>
      <c r="O26" s="728" t="s">
        <v>8</v>
      </c>
      <c r="P26" s="728"/>
      <c r="Q26" s="532" t="s">
        <v>406</v>
      </c>
      <c r="R26" s="533" t="s">
        <v>407</v>
      </c>
      <c r="S26" s="533"/>
      <c r="T26" s="534" t="s">
        <v>408</v>
      </c>
      <c r="U26" s="523"/>
      <c r="V26" s="523"/>
      <c r="W26" s="523"/>
      <c r="X26" s="523"/>
      <c r="Y26" s="523"/>
      <c r="Z26" s="523"/>
      <c r="AA26" s="523"/>
      <c r="AB26" s="523"/>
      <c r="AC26" s="523"/>
      <c r="AD26" s="523"/>
    </row>
    <row r="27" spans="1:30" ht="15.75" thickBot="1">
      <c r="A27" s="523"/>
      <c r="B27" s="523"/>
      <c r="C27" s="523"/>
      <c r="D27" s="523"/>
      <c r="E27" s="523"/>
      <c r="F27" s="523"/>
      <c r="G27" s="523"/>
      <c r="H27" s="523"/>
      <c r="I27" s="523"/>
      <c r="J27" s="524" t="s">
        <v>5</v>
      </c>
      <c r="K27" s="535">
        <f>'Energetická bilance'!J6</f>
        <v>825.24372320319526</v>
      </c>
      <c r="L27" s="524" t="s">
        <v>397</v>
      </c>
      <c r="M27" s="535">
        <f>'Energetická bilance'!M6</f>
        <v>715.01346558987279</v>
      </c>
      <c r="N27" s="524" t="s">
        <v>397</v>
      </c>
      <c r="O27" s="535">
        <f>'Energetická bilance'!P6</f>
        <v>110.23025761332246</v>
      </c>
      <c r="P27" s="524" t="s">
        <v>397</v>
      </c>
      <c r="Q27" s="536">
        <f>SUM(K31:K37)</f>
        <v>825.24372320319526</v>
      </c>
      <c r="R27" s="536">
        <f>SUM(M31:M37)</f>
        <v>715.01346558987279</v>
      </c>
      <c r="S27" s="537"/>
      <c r="T27" s="538">
        <f>SUM(O31:O37)</f>
        <v>110.23025761332249</v>
      </c>
      <c r="U27" s="523"/>
      <c r="V27" s="523"/>
      <c r="W27" s="523"/>
      <c r="X27" s="523"/>
      <c r="Y27" s="523"/>
      <c r="Z27" s="523"/>
      <c r="AA27" s="523"/>
      <c r="AB27" s="523"/>
      <c r="AC27" s="523"/>
      <c r="AD27" s="523"/>
    </row>
    <row r="28" spans="1:30">
      <c r="A28" s="523"/>
      <c r="B28" s="523"/>
      <c r="C28" s="523"/>
      <c r="D28" s="523"/>
      <c r="E28" s="523"/>
      <c r="F28" s="523"/>
      <c r="G28" s="523"/>
      <c r="H28" s="523"/>
      <c r="I28" s="523"/>
      <c r="J28" s="524" t="s">
        <v>6</v>
      </c>
      <c r="K28" s="535">
        <f>'Energetická bilance'!K6</f>
        <v>1430.2459999999999</v>
      </c>
      <c r="L28" s="524" t="s">
        <v>409</v>
      </c>
      <c r="M28" s="535">
        <f>'Energetická bilance'!N6</f>
        <v>1223.7312235590869</v>
      </c>
      <c r="N28" s="524" t="s">
        <v>409</v>
      </c>
      <c r="O28" s="535">
        <f>'Energetická bilance'!Q6</f>
        <v>206.51477644091301</v>
      </c>
      <c r="P28" s="524" t="s">
        <v>409</v>
      </c>
      <c r="Q28" s="547">
        <f>K27-M27</f>
        <v>110.23025761332246</v>
      </c>
      <c r="R28" s="523"/>
      <c r="S28" s="523"/>
      <c r="T28" s="523"/>
      <c r="U28" s="523"/>
      <c r="V28" s="523"/>
      <c r="W28" s="523"/>
      <c r="X28" s="523"/>
      <c r="Y28" s="523"/>
      <c r="Z28" s="523"/>
      <c r="AA28" s="523"/>
      <c r="AB28" s="523"/>
      <c r="AC28" s="523"/>
      <c r="AD28" s="523"/>
    </row>
    <row r="29" spans="1:30">
      <c r="A29" s="523"/>
      <c r="B29" s="523"/>
      <c r="C29" s="523"/>
      <c r="D29" s="523"/>
      <c r="E29" s="523"/>
      <c r="F29" s="523"/>
      <c r="G29" s="523"/>
      <c r="H29" s="523"/>
      <c r="I29" s="523"/>
      <c r="J29" s="731" t="s">
        <v>396</v>
      </c>
      <c r="K29" s="731"/>
      <c r="L29" s="731"/>
      <c r="M29" s="731"/>
      <c r="N29" s="731"/>
      <c r="O29" s="731"/>
      <c r="P29" s="731"/>
      <c r="Q29" s="548">
        <f>K28-M28</f>
        <v>206.51477644091301</v>
      </c>
      <c r="R29" s="531"/>
      <c r="S29" s="531"/>
      <c r="T29" s="531"/>
      <c r="U29" s="531"/>
      <c r="V29" s="531"/>
      <c r="W29" s="531"/>
      <c r="X29" s="531"/>
      <c r="Y29" s="531"/>
      <c r="Z29" s="531"/>
      <c r="AA29" s="531"/>
      <c r="AB29" s="531"/>
      <c r="AC29" s="531"/>
      <c r="AD29" s="531"/>
    </row>
    <row r="30" spans="1:30">
      <c r="A30" s="523"/>
      <c r="B30" s="523"/>
      <c r="C30" s="523"/>
      <c r="D30" s="523"/>
      <c r="E30" s="523"/>
      <c r="F30" s="523"/>
      <c r="G30" s="523"/>
      <c r="H30" s="523"/>
      <c r="I30" s="523"/>
      <c r="J30" s="524"/>
      <c r="K30" s="524" t="s">
        <v>7</v>
      </c>
      <c r="L30" s="524"/>
      <c r="M30" s="525" t="s">
        <v>405</v>
      </c>
      <c r="N30" s="525"/>
      <c r="O30" s="741" t="s">
        <v>8</v>
      </c>
      <c r="P30" s="742"/>
      <c r="Q30" s="517"/>
      <c r="R30" s="517"/>
      <c r="S30" s="517"/>
      <c r="T30" s="517"/>
      <c r="U30" s="517"/>
      <c r="V30" s="517"/>
      <c r="W30" s="523"/>
      <c r="X30" s="517"/>
      <c r="Y30" s="517"/>
      <c r="Z30" s="517"/>
      <c r="AA30" s="517"/>
      <c r="AB30" s="517"/>
      <c r="AC30" s="517"/>
      <c r="AD30" s="517"/>
    </row>
    <row r="31" spans="1:30">
      <c r="A31" s="523"/>
      <c r="B31" s="523"/>
      <c r="C31" s="523"/>
      <c r="D31" s="523"/>
      <c r="E31" s="523"/>
      <c r="F31" s="523"/>
      <c r="G31" s="523"/>
      <c r="H31" s="523"/>
      <c r="I31" s="523"/>
      <c r="J31" s="524" t="s">
        <v>307</v>
      </c>
      <c r="K31" s="535">
        <f>'Energetická bilance'!D13+'Energetická bilance'!D14</f>
        <v>500.2800565365286</v>
      </c>
      <c r="L31" s="524" t="s">
        <v>397</v>
      </c>
      <c r="M31" s="535">
        <f>'Energetická bilance'!M13+'Energetická bilance'!M14</f>
        <v>424.9167989232061</v>
      </c>
      <c r="N31" s="524" t="s">
        <v>397</v>
      </c>
      <c r="O31" s="535">
        <f>K31-M31</f>
        <v>75.363257613322503</v>
      </c>
      <c r="P31" s="524" t="s">
        <v>397</v>
      </c>
      <c r="Q31" s="517"/>
      <c r="R31" s="517"/>
      <c r="S31" s="523"/>
      <c r="T31" s="520"/>
      <c r="U31" s="520"/>
      <c r="V31" s="520"/>
      <c r="W31" s="523"/>
      <c r="X31" s="517"/>
      <c r="Y31" s="517"/>
      <c r="Z31" s="517"/>
      <c r="AA31" s="517"/>
      <c r="AB31" s="517"/>
      <c r="AC31" s="517"/>
      <c r="AD31" s="523"/>
    </row>
    <row r="32" spans="1:30">
      <c r="A32" s="523"/>
      <c r="B32" s="523"/>
      <c r="C32" s="523"/>
      <c r="D32" s="523"/>
      <c r="E32" s="523"/>
      <c r="F32" s="523"/>
      <c r="G32" s="523"/>
      <c r="H32" s="523"/>
      <c r="I32" s="523"/>
      <c r="J32" s="524" t="s">
        <v>359</v>
      </c>
      <c r="K32" s="535">
        <f>'Energetická bilance'!D15</f>
        <v>63.78</v>
      </c>
      <c r="L32" s="524" t="s">
        <v>397</v>
      </c>
      <c r="M32" s="535">
        <f>'Energetická bilance'!M15</f>
        <v>63.78</v>
      </c>
      <c r="N32" s="524" t="s">
        <v>397</v>
      </c>
      <c r="O32" s="539">
        <f t="shared" ref="O32:O34" si="0">K32-M32</f>
        <v>0</v>
      </c>
      <c r="P32" s="524" t="s">
        <v>397</v>
      </c>
      <c r="Q32" s="517"/>
      <c r="R32" s="517"/>
      <c r="S32" s="523"/>
      <c r="T32" s="520"/>
      <c r="U32" s="520"/>
      <c r="V32" s="520"/>
      <c r="W32" s="523"/>
      <c r="X32" s="517"/>
      <c r="Y32" s="517"/>
      <c r="Z32" s="517"/>
      <c r="AA32" s="517"/>
      <c r="AB32" s="517"/>
      <c r="AC32" s="517"/>
      <c r="AD32" s="523"/>
    </row>
    <row r="33" spans="1:31">
      <c r="A33" s="523"/>
      <c r="B33" s="523"/>
      <c r="C33" s="523"/>
      <c r="D33" s="523"/>
      <c r="E33" s="523"/>
      <c r="F33" s="523"/>
      <c r="G33" s="523"/>
      <c r="H33" s="523"/>
      <c r="I33" s="523"/>
      <c r="J33" s="524" t="s">
        <v>398</v>
      </c>
      <c r="K33" s="535">
        <f>'Energetická bilance'!D17</f>
        <v>4.25</v>
      </c>
      <c r="L33" s="524" t="s">
        <v>397</v>
      </c>
      <c r="M33" s="535">
        <f>'Energetická bilance'!M17</f>
        <v>4.25</v>
      </c>
      <c r="N33" s="524" t="s">
        <v>397</v>
      </c>
      <c r="O33" s="539">
        <f>K33-M33</f>
        <v>0</v>
      </c>
      <c r="P33" s="524" t="s">
        <v>397</v>
      </c>
      <c r="Q33" s="517"/>
      <c r="R33" s="517"/>
      <c r="S33" s="523"/>
      <c r="T33" s="520"/>
      <c r="U33" s="520"/>
      <c r="V33" s="520"/>
      <c r="W33" s="523"/>
      <c r="X33" s="517"/>
      <c r="Y33" s="517"/>
      <c r="Z33" s="517"/>
      <c r="AA33" s="517"/>
      <c r="AB33" s="517"/>
      <c r="AC33" s="517"/>
      <c r="AD33" s="523"/>
    </row>
    <row r="34" spans="1:31">
      <c r="A34" s="523"/>
      <c r="B34" s="523"/>
      <c r="C34" s="523"/>
      <c r="D34" s="523"/>
      <c r="E34" s="523"/>
      <c r="F34" s="523"/>
      <c r="G34" s="523"/>
      <c r="H34" s="523"/>
      <c r="I34" s="523"/>
      <c r="J34" s="524" t="s">
        <v>399</v>
      </c>
      <c r="K34" s="530">
        <v>0</v>
      </c>
      <c r="L34" s="524" t="s">
        <v>397</v>
      </c>
      <c r="M34" s="530">
        <v>0</v>
      </c>
      <c r="N34" s="524" t="s">
        <v>397</v>
      </c>
      <c r="O34" s="539">
        <f t="shared" si="0"/>
        <v>0</v>
      </c>
      <c r="P34" s="524" t="s">
        <v>397</v>
      </c>
      <c r="Q34" s="517"/>
      <c r="R34" s="517"/>
      <c r="S34" s="523"/>
      <c r="T34" s="520"/>
      <c r="U34" s="520"/>
      <c r="V34" s="520"/>
      <c r="W34" s="523"/>
      <c r="X34" s="517"/>
      <c r="Y34" s="517"/>
      <c r="Z34" s="517"/>
      <c r="AA34" s="517"/>
      <c r="AB34" s="517"/>
      <c r="AC34" s="517"/>
      <c r="AD34" s="523"/>
    </row>
    <row r="35" spans="1:31">
      <c r="A35" s="523"/>
      <c r="B35" s="523"/>
      <c r="C35" s="523"/>
      <c r="D35" s="523"/>
      <c r="E35" s="523"/>
      <c r="F35" s="523"/>
      <c r="G35" s="523"/>
      <c r="H35" s="523"/>
      <c r="I35" s="523"/>
      <c r="J35" s="524" t="s">
        <v>2</v>
      </c>
      <c r="K35" s="535">
        <f>'Energetická bilance'!D16+'Energetická bilance'!D12</f>
        <v>93.06</v>
      </c>
      <c r="L35" s="524" t="s">
        <v>397</v>
      </c>
      <c r="M35" s="535">
        <f>'Energetická bilance'!M12+'Energetická bilance'!M16</f>
        <v>93.06</v>
      </c>
      <c r="N35" s="524" t="s">
        <v>397</v>
      </c>
      <c r="O35" s="539">
        <f>K35-M35</f>
        <v>0</v>
      </c>
      <c r="P35" s="524" t="s">
        <v>397</v>
      </c>
      <c r="Q35" s="517"/>
      <c r="R35" s="517"/>
      <c r="S35" s="523"/>
      <c r="T35" s="520"/>
      <c r="U35" s="520"/>
      <c r="V35" s="520"/>
      <c r="W35" s="523"/>
      <c r="X35" s="517"/>
      <c r="Y35" s="517"/>
      <c r="Z35" s="517"/>
      <c r="AA35" s="517"/>
      <c r="AB35" s="517"/>
      <c r="AC35" s="517"/>
      <c r="AD35" s="523"/>
    </row>
    <row r="36" spans="1:31">
      <c r="A36" s="523"/>
      <c r="B36" s="523"/>
      <c r="C36" s="523"/>
      <c r="D36" s="523"/>
      <c r="E36" s="523"/>
      <c r="F36" s="523"/>
      <c r="G36" s="523"/>
      <c r="H36" s="523"/>
      <c r="I36" s="523"/>
      <c r="J36" s="524" t="s">
        <v>322</v>
      </c>
      <c r="K36" s="535">
        <f>'Energetická bilance'!D19</f>
        <v>99.581999999999994</v>
      </c>
      <c r="L36" s="524" t="s">
        <v>397</v>
      </c>
      <c r="M36" s="535">
        <f>'Energetická bilance'!M19</f>
        <v>64.715000000000003</v>
      </c>
      <c r="N36" s="524" t="s">
        <v>397</v>
      </c>
      <c r="O36" s="535">
        <f>K36-M36</f>
        <v>34.86699999999999</v>
      </c>
      <c r="P36" s="524" t="s">
        <v>397</v>
      </c>
      <c r="Q36" s="517"/>
      <c r="R36" s="517"/>
      <c r="S36" s="523"/>
      <c r="T36" s="520"/>
      <c r="U36" s="520"/>
      <c r="V36" s="520"/>
      <c r="W36" s="523"/>
      <c r="X36" s="517"/>
      <c r="Y36" s="517"/>
      <c r="Z36" s="517"/>
      <c r="AA36" s="517"/>
      <c r="AB36" s="517"/>
      <c r="AC36" s="517"/>
      <c r="AD36" s="523"/>
    </row>
    <row r="37" spans="1:31">
      <c r="A37" s="523"/>
      <c r="B37" s="523"/>
      <c r="C37" s="523"/>
      <c r="D37" s="523"/>
      <c r="E37" s="523"/>
      <c r="F37" s="523"/>
      <c r="G37" s="523"/>
      <c r="H37" s="523"/>
      <c r="I37" s="523"/>
      <c r="J37" s="524" t="s">
        <v>401</v>
      </c>
      <c r="K37" s="535">
        <f>'Energetická bilance'!D20</f>
        <v>64.291666666666686</v>
      </c>
      <c r="L37" s="524" t="s">
        <v>397</v>
      </c>
      <c r="M37" s="535">
        <f>'Energetická bilance'!M20</f>
        <v>64.291666666666686</v>
      </c>
      <c r="N37" s="524" t="s">
        <v>397</v>
      </c>
      <c r="O37" s="539">
        <f>K37-M37</f>
        <v>0</v>
      </c>
      <c r="P37" s="524" t="s">
        <v>397</v>
      </c>
      <c r="Q37" s="517"/>
      <c r="R37" s="517"/>
      <c r="S37" s="523"/>
      <c r="T37" s="520"/>
      <c r="U37" s="520"/>
      <c r="V37" s="520"/>
      <c r="W37" s="523"/>
      <c r="X37" s="517"/>
      <c r="Y37" s="517"/>
      <c r="Z37" s="517"/>
      <c r="AA37" s="517"/>
      <c r="AB37" s="517"/>
      <c r="AC37" s="517"/>
      <c r="AD37" s="523"/>
    </row>
    <row r="38" spans="1:31">
      <c r="A38" s="523"/>
      <c r="B38" s="523"/>
      <c r="C38" s="523"/>
      <c r="D38" s="523"/>
      <c r="E38" s="523"/>
      <c r="F38" s="523"/>
      <c r="G38" s="523"/>
      <c r="H38" s="523"/>
      <c r="I38" s="523"/>
      <c r="Q38" s="743" t="s">
        <v>410</v>
      </c>
      <c r="R38" s="744"/>
      <c r="S38" s="744"/>
      <c r="T38" s="744"/>
      <c r="U38" s="744"/>
      <c r="V38" s="744"/>
      <c r="W38" s="744"/>
      <c r="X38" s="744"/>
      <c r="Y38" s="744"/>
      <c r="Z38" s="744"/>
      <c r="AA38" s="744"/>
      <c r="AB38" s="744"/>
      <c r="AC38" s="744"/>
      <c r="AD38" s="745"/>
    </row>
    <row r="39" spans="1:31">
      <c r="A39" s="523"/>
      <c r="B39" s="523"/>
      <c r="C39" s="523"/>
      <c r="D39" s="523"/>
      <c r="E39" s="523"/>
      <c r="F39" s="523"/>
      <c r="G39" s="523"/>
      <c r="H39" s="523"/>
      <c r="I39" s="523"/>
      <c r="Q39" s="728" t="s">
        <v>411</v>
      </c>
      <c r="R39" s="728"/>
      <c r="S39" s="728"/>
      <c r="T39" s="521">
        <v>20</v>
      </c>
      <c r="U39" s="732" t="s">
        <v>412</v>
      </c>
      <c r="V39" s="732"/>
      <c r="W39" s="728" t="s">
        <v>413</v>
      </c>
      <c r="X39" s="728"/>
      <c r="Y39" s="728"/>
      <c r="Z39" s="728"/>
      <c r="AA39" s="746">
        <v>4</v>
      </c>
      <c r="AB39" s="747"/>
      <c r="AC39" s="734" t="s">
        <v>10</v>
      </c>
      <c r="AD39" s="735"/>
    </row>
    <row r="40" spans="1:31">
      <c r="A40" s="523"/>
      <c r="B40" s="523"/>
      <c r="C40" s="523"/>
      <c r="D40" s="523"/>
      <c r="E40" s="523"/>
      <c r="F40" s="523"/>
      <c r="G40" s="523"/>
      <c r="H40" s="523"/>
      <c r="I40" s="523"/>
      <c r="Q40" s="728" t="s">
        <v>414</v>
      </c>
      <c r="R40" s="728"/>
      <c r="S40" s="728"/>
      <c r="T40" s="521" t="str">
        <f>'Ekonomické hodnocení'!C16</f>
        <v>&gt;20</v>
      </c>
      <c r="U40" s="732" t="s">
        <v>412</v>
      </c>
      <c r="V40" s="732"/>
      <c r="W40" s="728" t="s">
        <v>415</v>
      </c>
      <c r="X40" s="728"/>
      <c r="Y40" s="728"/>
      <c r="Z40" s="728"/>
      <c r="AA40" s="737">
        <f>'Ekonomické hodnocení'!C5</f>
        <v>3864.2847600000005</v>
      </c>
      <c r="AB40" s="738"/>
      <c r="AC40" s="734" t="s">
        <v>416</v>
      </c>
      <c r="AD40" s="735"/>
    </row>
    <row r="41" spans="1:31">
      <c r="A41" s="523"/>
      <c r="B41" s="523"/>
      <c r="C41" s="523"/>
      <c r="D41" s="523"/>
      <c r="E41" s="523"/>
      <c r="F41" s="523"/>
      <c r="G41" s="523"/>
      <c r="H41" s="523"/>
      <c r="I41" s="523"/>
      <c r="Q41" s="728" t="s">
        <v>417</v>
      </c>
      <c r="R41" s="728"/>
      <c r="S41" s="728"/>
      <c r="T41" s="540">
        <f>'Ekonomické hodnocení'!C15</f>
        <v>19</v>
      </c>
      <c r="U41" s="732" t="s">
        <v>412</v>
      </c>
      <c r="V41" s="732"/>
      <c r="W41" s="728" t="s">
        <v>418</v>
      </c>
      <c r="X41" s="728"/>
      <c r="Y41" s="728"/>
      <c r="Z41" s="728"/>
      <c r="AA41" s="739">
        <f>'Ekonomické hodnocení'!C11</f>
        <v>206.51477644091301</v>
      </c>
      <c r="AB41" s="740"/>
      <c r="AC41" s="734" t="s">
        <v>419</v>
      </c>
      <c r="AD41" s="735"/>
    </row>
    <row r="42" spans="1:31">
      <c r="A42" s="523"/>
      <c r="B42" s="523"/>
      <c r="C42" s="523"/>
      <c r="D42" s="523"/>
      <c r="E42" s="523"/>
      <c r="F42" s="523"/>
      <c r="G42" s="523"/>
      <c r="H42" s="523"/>
      <c r="I42" s="523"/>
      <c r="Q42" s="728" t="s">
        <v>9</v>
      </c>
      <c r="R42" s="728"/>
      <c r="S42" s="728"/>
      <c r="T42" s="541">
        <f>'Ekonomické hodnocení'!C18</f>
        <v>6.4257302826173134E-3</v>
      </c>
      <c r="U42" s="732" t="s">
        <v>10</v>
      </c>
      <c r="V42" s="732"/>
      <c r="W42" s="728" t="s">
        <v>11</v>
      </c>
      <c r="X42" s="728"/>
      <c r="Y42" s="728"/>
      <c r="Z42" s="728"/>
      <c r="AA42" s="733">
        <f>'Ekonomické hodnocení'!C17</f>
        <v>-137.61142341800624</v>
      </c>
      <c r="AB42" s="733"/>
      <c r="AC42" s="734" t="s">
        <v>419</v>
      </c>
      <c r="AD42" s="735"/>
    </row>
    <row r="43" spans="1:31">
      <c r="A43" s="523"/>
      <c r="B43" s="523"/>
      <c r="C43" s="523"/>
      <c r="D43" s="523"/>
      <c r="E43" s="523"/>
      <c r="F43" s="523"/>
      <c r="G43" s="523"/>
      <c r="H43" s="523"/>
      <c r="I43" s="523"/>
      <c r="Q43" s="728" t="s">
        <v>420</v>
      </c>
      <c r="R43" s="728"/>
      <c r="S43" s="728"/>
      <c r="T43" s="521">
        <v>2016</v>
      </c>
      <c r="U43" s="736"/>
      <c r="V43" s="736"/>
      <c r="W43" s="736"/>
      <c r="X43" s="736"/>
      <c r="Y43" s="736"/>
      <c r="Z43" s="736"/>
      <c r="AA43" s="736"/>
      <c r="AB43" s="736"/>
      <c r="AC43" s="736"/>
      <c r="AD43" s="736"/>
    </row>
    <row r="44" spans="1:31">
      <c r="A44" s="523"/>
      <c r="B44" s="523"/>
      <c r="C44" s="523"/>
      <c r="D44" s="523"/>
      <c r="E44" s="523"/>
      <c r="F44" s="523"/>
      <c r="G44" s="523"/>
      <c r="H44" s="523"/>
      <c r="I44" s="523"/>
      <c r="Q44" s="729" t="s">
        <v>421</v>
      </c>
      <c r="R44" s="729"/>
      <c r="S44" s="729"/>
      <c r="T44" s="729"/>
      <c r="U44" s="729"/>
      <c r="V44" s="729"/>
      <c r="W44" s="729"/>
      <c r="X44" s="729"/>
      <c r="Y44" s="729"/>
      <c r="Z44" s="729"/>
      <c r="AA44" s="729"/>
      <c r="AB44" s="729"/>
      <c r="AC44" s="729"/>
      <c r="AD44" s="729"/>
    </row>
    <row r="45" spans="1:31">
      <c r="A45" s="523"/>
      <c r="B45" s="523"/>
      <c r="C45" s="523"/>
      <c r="D45" s="523"/>
      <c r="E45" s="523"/>
      <c r="F45" s="523"/>
      <c r="G45" s="523"/>
      <c r="H45" s="523"/>
      <c r="I45" s="523"/>
      <c r="Q45" s="730" t="s">
        <v>422</v>
      </c>
      <c r="R45" s="731" t="s">
        <v>7</v>
      </c>
      <c r="S45" s="731"/>
      <c r="T45" s="731"/>
      <c r="U45" s="731"/>
      <c r="V45" s="731" t="s">
        <v>405</v>
      </c>
      <c r="W45" s="731"/>
      <c r="X45" s="731"/>
      <c r="Y45" s="731"/>
      <c r="Z45" s="731"/>
      <c r="AA45" s="731" t="s">
        <v>423</v>
      </c>
      <c r="AB45" s="731"/>
      <c r="AC45" s="731"/>
      <c r="AD45" s="731"/>
    </row>
    <row r="46" spans="1:31">
      <c r="A46" s="523"/>
      <c r="B46" s="523"/>
      <c r="C46" s="523"/>
      <c r="D46" s="523"/>
      <c r="E46" s="523"/>
      <c r="F46" s="523"/>
      <c r="G46" s="523"/>
      <c r="H46" s="523"/>
      <c r="I46" s="523"/>
      <c r="Q46" s="730"/>
      <c r="R46" s="728" t="s">
        <v>424</v>
      </c>
      <c r="S46" s="728"/>
      <c r="T46" s="728" t="s">
        <v>425</v>
      </c>
      <c r="U46" s="728"/>
      <c r="V46" s="728" t="s">
        <v>424</v>
      </c>
      <c r="W46" s="728"/>
      <c r="X46" s="728"/>
      <c r="Y46" s="728" t="s">
        <v>425</v>
      </c>
      <c r="Z46" s="728"/>
      <c r="AA46" s="728" t="s">
        <v>424</v>
      </c>
      <c r="AB46" s="728"/>
      <c r="AC46" s="728" t="s">
        <v>425</v>
      </c>
      <c r="AD46" s="728"/>
    </row>
    <row r="47" spans="1:31">
      <c r="A47" s="519"/>
      <c r="B47" s="519"/>
      <c r="C47" s="519"/>
      <c r="D47" s="519"/>
      <c r="E47" s="519"/>
      <c r="F47" s="519"/>
      <c r="G47" s="519"/>
      <c r="H47" s="519"/>
      <c r="I47" s="519"/>
      <c r="J47" s="523"/>
      <c r="K47" s="523"/>
      <c r="L47" s="523"/>
      <c r="M47" s="523"/>
      <c r="N47" s="523"/>
      <c r="O47" s="523"/>
      <c r="P47" s="523"/>
      <c r="Q47" s="529" t="s">
        <v>13</v>
      </c>
      <c r="R47" s="542"/>
      <c r="S47" s="543" t="s">
        <v>426</v>
      </c>
      <c r="T47" s="542">
        <f>Emise!B6</f>
        <v>0.252</v>
      </c>
      <c r="U47" s="543" t="s">
        <v>426</v>
      </c>
      <c r="V47" s="727"/>
      <c r="W47" s="727"/>
      <c r="X47" s="543" t="s">
        <v>426</v>
      </c>
      <c r="Y47" s="544">
        <f>Emise!C6</f>
        <v>0.214</v>
      </c>
      <c r="Z47" s="543" t="s">
        <v>426</v>
      </c>
      <c r="AA47" s="544"/>
      <c r="AB47" s="543" t="s">
        <v>426</v>
      </c>
      <c r="AC47" s="544">
        <f>Emise!D6</f>
        <v>3.8000000000000006E-2</v>
      </c>
      <c r="AD47" s="543" t="s">
        <v>426</v>
      </c>
      <c r="AE47" s="549"/>
    </row>
    <row r="48" spans="1:31" ht="18.75">
      <c r="A48" s="519"/>
      <c r="B48" s="519"/>
      <c r="C48" s="519"/>
      <c r="D48" s="519"/>
      <c r="E48" s="519"/>
      <c r="F48" s="519"/>
      <c r="G48" s="519"/>
      <c r="H48" s="519"/>
      <c r="I48" s="519"/>
      <c r="J48" s="523"/>
      <c r="K48" s="523"/>
      <c r="L48" s="523"/>
      <c r="M48" s="523"/>
      <c r="N48" s="523"/>
      <c r="O48" s="523"/>
      <c r="P48" s="523"/>
      <c r="Q48" s="529" t="s">
        <v>427</v>
      </c>
      <c r="R48" s="542"/>
      <c r="S48" s="543" t="s">
        <v>426</v>
      </c>
      <c r="T48" s="542">
        <f>Emise!B7</f>
        <v>1.952</v>
      </c>
      <c r="U48" s="543" t="s">
        <v>426</v>
      </c>
      <c r="V48" s="727"/>
      <c r="W48" s="727"/>
      <c r="X48" s="543" t="s">
        <v>426</v>
      </c>
      <c r="Y48" s="544">
        <f>Emise!C7</f>
        <v>1.6579999999999999</v>
      </c>
      <c r="Z48" s="543" t="s">
        <v>426</v>
      </c>
      <c r="AA48" s="544"/>
      <c r="AB48" s="543" t="s">
        <v>426</v>
      </c>
      <c r="AC48" s="544">
        <f>Emise!D7</f>
        <v>0.29400000000000004</v>
      </c>
      <c r="AD48" s="543" t="s">
        <v>426</v>
      </c>
      <c r="AE48" s="549"/>
    </row>
    <row r="49" spans="1:31" ht="18.75">
      <c r="A49" s="519"/>
      <c r="B49" s="519"/>
      <c r="C49" s="519"/>
      <c r="D49" s="519"/>
      <c r="E49" s="519"/>
      <c r="F49" s="519"/>
      <c r="G49" s="519"/>
      <c r="H49" s="519"/>
      <c r="I49" s="519"/>
      <c r="J49" s="523"/>
      <c r="K49" s="523"/>
      <c r="L49" s="523"/>
      <c r="M49" s="523"/>
      <c r="N49" s="523"/>
      <c r="O49" s="523"/>
      <c r="P49" s="523"/>
      <c r="Q49" s="529" t="s">
        <v>428</v>
      </c>
      <c r="R49" s="542"/>
      <c r="S49" s="543" t="s">
        <v>426</v>
      </c>
      <c r="T49" s="542">
        <f>Emise!B8</f>
        <v>0.76600000000000001</v>
      </c>
      <c r="U49" s="543" t="s">
        <v>426</v>
      </c>
      <c r="V49" s="727"/>
      <c r="W49" s="727"/>
      <c r="X49" s="543" t="s">
        <v>426</v>
      </c>
      <c r="Y49" s="544">
        <f>Emise!C8</f>
        <v>0.65100000000000002</v>
      </c>
      <c r="Z49" s="543" t="s">
        <v>426</v>
      </c>
      <c r="AA49" s="544"/>
      <c r="AB49" s="543" t="s">
        <v>426</v>
      </c>
      <c r="AC49" s="544">
        <f>Emise!D8</f>
        <v>0.11499999999999999</v>
      </c>
      <c r="AD49" s="543" t="s">
        <v>426</v>
      </c>
      <c r="AE49" s="549"/>
    </row>
    <row r="50" spans="1:31">
      <c r="A50" s="519"/>
      <c r="B50" s="519"/>
      <c r="C50" s="519"/>
      <c r="D50" s="519"/>
      <c r="E50" s="519"/>
      <c r="F50" s="519"/>
      <c r="G50" s="519"/>
      <c r="H50" s="519"/>
      <c r="I50" s="519"/>
      <c r="J50" s="523"/>
      <c r="K50" s="523"/>
      <c r="L50" s="523"/>
      <c r="M50" s="523"/>
      <c r="N50" s="523"/>
      <c r="O50" s="523"/>
      <c r="P50" s="523"/>
      <c r="Q50" s="529" t="s">
        <v>15</v>
      </c>
      <c r="R50" s="542"/>
      <c r="S50" s="543" t="s">
        <v>426</v>
      </c>
      <c r="T50" s="542">
        <f>Emise!B9</f>
        <v>0.44599999999999995</v>
      </c>
      <c r="U50" s="543" t="s">
        <v>426</v>
      </c>
      <c r="V50" s="727"/>
      <c r="W50" s="727"/>
      <c r="X50" s="543" t="s">
        <v>426</v>
      </c>
      <c r="Y50" s="544">
        <f>Emise!C9</f>
        <v>0.35799999999999998</v>
      </c>
      <c r="Z50" s="543" t="s">
        <v>426</v>
      </c>
      <c r="AA50" s="544"/>
      <c r="AB50" s="543" t="s">
        <v>426</v>
      </c>
      <c r="AC50" s="544">
        <f>Emise!D9</f>
        <v>8.7999999999999967E-2</v>
      </c>
      <c r="AD50" s="543" t="s">
        <v>426</v>
      </c>
      <c r="AE50" s="549"/>
    </row>
    <row r="51" spans="1:31" ht="18.75">
      <c r="A51" s="519"/>
      <c r="B51" s="519"/>
      <c r="C51" s="519"/>
      <c r="D51" s="519"/>
      <c r="E51" s="519"/>
      <c r="F51" s="519"/>
      <c r="G51" s="519"/>
      <c r="H51" s="519"/>
      <c r="I51" s="519"/>
      <c r="J51" s="523"/>
      <c r="K51" s="523"/>
      <c r="L51" s="523"/>
      <c r="M51" s="523"/>
      <c r="N51" s="523"/>
      <c r="O51" s="523"/>
      <c r="P51" s="523"/>
      <c r="Q51" s="529" t="s">
        <v>429</v>
      </c>
      <c r="R51" s="542"/>
      <c r="S51" s="543" t="s">
        <v>426</v>
      </c>
      <c r="T51" s="542">
        <f>Emise!B10</f>
        <v>477.72800000000001</v>
      </c>
      <c r="U51" s="543" t="s">
        <v>426</v>
      </c>
      <c r="V51" s="727"/>
      <c r="W51" s="727"/>
      <c r="X51" s="543" t="s">
        <v>426</v>
      </c>
      <c r="Y51" s="544">
        <f>Emise!C10</f>
        <v>405.84100000000001</v>
      </c>
      <c r="Z51" s="543" t="s">
        <v>426</v>
      </c>
      <c r="AA51" s="544"/>
      <c r="AB51" s="543" t="s">
        <v>426</v>
      </c>
      <c r="AC51" s="544">
        <f>Emise!D10</f>
        <v>71.887</v>
      </c>
      <c r="AD51" s="543" t="s">
        <v>426</v>
      </c>
      <c r="AE51" s="549"/>
    </row>
    <row r="52" spans="1:31">
      <c r="A52" s="519"/>
      <c r="B52" s="519"/>
      <c r="C52" s="519"/>
      <c r="D52" s="519"/>
      <c r="E52" s="519"/>
      <c r="F52" s="519"/>
      <c r="G52" s="519"/>
      <c r="H52" s="519"/>
      <c r="I52" s="519"/>
      <c r="J52" s="523"/>
      <c r="K52" s="523"/>
      <c r="L52" s="523"/>
      <c r="M52" s="523"/>
      <c r="N52" s="523"/>
      <c r="O52" s="523"/>
      <c r="P52" s="523"/>
    </row>
    <row r="53" spans="1:31">
      <c r="A53" s="519"/>
      <c r="B53" s="519"/>
      <c r="C53" s="519"/>
      <c r="D53" s="519"/>
      <c r="E53" s="519"/>
      <c r="F53" s="519"/>
      <c r="G53" s="519"/>
      <c r="H53" s="519"/>
      <c r="I53" s="519"/>
      <c r="J53" s="523"/>
      <c r="K53" s="523"/>
      <c r="L53" s="523"/>
      <c r="M53" s="523"/>
      <c r="N53" s="523"/>
      <c r="O53" s="523"/>
      <c r="P53" s="523"/>
    </row>
    <row r="54" spans="1:31">
      <c r="A54" s="519"/>
      <c r="B54" s="519"/>
      <c r="C54" s="519"/>
      <c r="D54" s="519"/>
      <c r="E54" s="519"/>
      <c r="F54" s="519"/>
      <c r="G54" s="519"/>
      <c r="H54" s="519"/>
      <c r="I54" s="519"/>
      <c r="J54" s="523"/>
      <c r="K54" s="523"/>
      <c r="L54" s="523"/>
      <c r="M54" s="523"/>
      <c r="N54" s="523"/>
      <c r="O54" s="523"/>
      <c r="P54" s="523"/>
    </row>
    <row r="55" spans="1:31">
      <c r="A55" s="519"/>
      <c r="B55" s="519"/>
      <c r="C55" s="519"/>
      <c r="D55" s="519"/>
      <c r="E55" s="519"/>
      <c r="F55" s="519"/>
      <c r="G55" s="519"/>
      <c r="H55" s="519"/>
      <c r="I55" s="519"/>
      <c r="J55" s="523"/>
      <c r="K55" s="523"/>
      <c r="L55" s="523"/>
      <c r="M55" s="523"/>
      <c r="N55" s="523"/>
      <c r="O55" s="523"/>
      <c r="P55" s="523"/>
    </row>
    <row r="56" spans="1:31">
      <c r="A56" s="519"/>
      <c r="B56" s="519"/>
      <c r="C56" s="519"/>
      <c r="D56" s="519"/>
      <c r="E56" s="519"/>
      <c r="F56" s="519"/>
      <c r="G56" s="519"/>
      <c r="H56" s="519"/>
      <c r="I56" s="519"/>
      <c r="J56" s="523"/>
      <c r="K56" s="523"/>
      <c r="L56" s="523"/>
      <c r="M56" s="523"/>
      <c r="N56" s="523"/>
      <c r="O56" s="523"/>
      <c r="P56" s="523"/>
    </row>
    <row r="57" spans="1:31">
      <c r="A57" s="519"/>
      <c r="B57" s="519"/>
      <c r="C57" s="519"/>
      <c r="D57" s="519"/>
      <c r="E57" s="519"/>
      <c r="F57" s="519"/>
      <c r="G57" s="519"/>
      <c r="H57" s="519"/>
      <c r="I57" s="519"/>
      <c r="J57" s="523"/>
      <c r="K57" s="523"/>
      <c r="L57" s="523"/>
      <c r="M57" s="523"/>
      <c r="N57" s="523"/>
      <c r="O57" s="523"/>
      <c r="P57" s="523"/>
    </row>
    <row r="58" spans="1:31">
      <c r="A58" s="519"/>
      <c r="B58" s="519"/>
      <c r="C58" s="519"/>
      <c r="D58" s="519"/>
      <c r="E58" s="519"/>
      <c r="F58" s="519"/>
      <c r="G58" s="519"/>
      <c r="H58" s="519"/>
      <c r="I58" s="519"/>
      <c r="J58" s="523"/>
      <c r="K58" s="523"/>
      <c r="L58" s="523"/>
      <c r="M58" s="523"/>
      <c r="N58" s="523"/>
      <c r="O58" s="523"/>
      <c r="P58" s="523"/>
    </row>
    <row r="59" spans="1:31">
      <c r="A59" s="519"/>
      <c r="B59" s="519"/>
      <c r="C59" s="519"/>
      <c r="D59" s="519"/>
      <c r="E59" s="519"/>
      <c r="F59" s="519"/>
      <c r="G59" s="519"/>
      <c r="H59" s="519"/>
      <c r="I59" s="519"/>
      <c r="J59" s="523"/>
      <c r="K59" s="523"/>
      <c r="L59" s="523"/>
      <c r="M59" s="523"/>
      <c r="N59" s="523"/>
      <c r="O59" s="523"/>
      <c r="P59" s="523"/>
    </row>
    <row r="60" spans="1:31">
      <c r="A60" s="519"/>
      <c r="B60" s="519"/>
      <c r="C60" s="519"/>
      <c r="D60" s="519"/>
      <c r="E60" s="519"/>
      <c r="F60" s="519"/>
      <c r="G60" s="519"/>
      <c r="H60" s="519"/>
      <c r="I60" s="519"/>
      <c r="J60" s="523"/>
      <c r="K60" s="523"/>
      <c r="L60" s="523"/>
      <c r="M60" s="523"/>
      <c r="N60" s="523"/>
      <c r="O60" s="523"/>
      <c r="P60" s="523"/>
    </row>
    <row r="61" spans="1:31" ht="15" customHeight="1">
      <c r="A61" s="519"/>
      <c r="B61" s="519"/>
      <c r="C61" s="519"/>
      <c r="D61" s="519"/>
      <c r="E61" s="519"/>
      <c r="F61" s="519"/>
      <c r="G61" s="519"/>
      <c r="H61" s="519"/>
      <c r="I61" s="519"/>
      <c r="J61" s="523"/>
      <c r="K61" s="523"/>
      <c r="L61" s="523"/>
      <c r="M61" s="523"/>
      <c r="N61" s="523"/>
      <c r="O61" s="523"/>
      <c r="P61" s="523"/>
    </row>
    <row r="62" spans="1:31">
      <c r="A62" s="519"/>
      <c r="B62" s="519"/>
      <c r="C62" s="519"/>
      <c r="D62" s="519"/>
      <c r="E62" s="519"/>
      <c r="F62" s="519"/>
      <c r="G62" s="519"/>
      <c r="H62" s="519"/>
      <c r="I62" s="519"/>
      <c r="J62" s="523"/>
      <c r="K62" s="523"/>
      <c r="L62" s="523"/>
      <c r="M62" s="523"/>
      <c r="N62" s="523"/>
      <c r="O62" s="523"/>
      <c r="P62" s="523"/>
    </row>
    <row r="63" spans="1:31" ht="28.5" customHeight="1">
      <c r="A63" s="519"/>
      <c r="B63" s="519"/>
      <c r="C63" s="519"/>
      <c r="D63" s="519"/>
      <c r="E63" s="519"/>
      <c r="F63" s="519"/>
      <c r="G63" s="519"/>
      <c r="H63" s="519"/>
      <c r="I63" s="519"/>
      <c r="J63" s="523"/>
      <c r="K63" s="523"/>
      <c r="L63" s="523"/>
      <c r="M63" s="523"/>
      <c r="N63" s="523"/>
      <c r="O63" s="523"/>
      <c r="P63" s="523"/>
    </row>
    <row r="64" spans="1:31">
      <c r="A64" s="519"/>
      <c r="B64" s="519"/>
      <c r="C64" s="519"/>
      <c r="D64" s="519"/>
      <c r="E64" s="519"/>
      <c r="F64" s="519"/>
      <c r="G64" s="519"/>
      <c r="H64" s="519"/>
      <c r="I64" s="519"/>
      <c r="J64" s="523"/>
      <c r="K64" s="523"/>
      <c r="L64" s="523"/>
      <c r="M64" s="523"/>
      <c r="N64" s="523"/>
      <c r="O64" s="523"/>
      <c r="P64" s="523"/>
    </row>
    <row r="65" spans="1:16">
      <c r="A65" s="519"/>
      <c r="B65" s="519"/>
      <c r="C65" s="519"/>
      <c r="D65" s="519"/>
      <c r="E65" s="519"/>
      <c r="F65" s="519"/>
      <c r="G65" s="519"/>
      <c r="H65" s="519"/>
      <c r="I65" s="519"/>
      <c r="J65" s="523"/>
      <c r="K65" s="523"/>
      <c r="L65" s="523"/>
      <c r="M65" s="523"/>
      <c r="N65" s="523"/>
      <c r="O65" s="523"/>
      <c r="P65" s="523"/>
    </row>
    <row r="66" spans="1:16">
      <c r="A66" s="519"/>
      <c r="B66" s="519"/>
      <c r="C66" s="519"/>
      <c r="D66" s="519"/>
      <c r="E66" s="519"/>
      <c r="F66" s="519"/>
      <c r="G66" s="519"/>
      <c r="H66" s="519"/>
      <c r="I66" s="519"/>
      <c r="J66" s="523"/>
      <c r="K66" s="523"/>
      <c r="L66" s="523"/>
      <c r="M66" s="523"/>
      <c r="N66" s="523"/>
      <c r="O66" s="523"/>
      <c r="P66" s="523"/>
    </row>
    <row r="67" spans="1:16">
      <c r="A67" s="519"/>
      <c r="B67" s="519"/>
      <c r="C67" s="519"/>
      <c r="D67" s="519"/>
      <c r="E67" s="519"/>
      <c r="F67" s="519"/>
      <c r="G67" s="519"/>
      <c r="H67" s="519"/>
      <c r="I67" s="519"/>
      <c r="J67" s="523"/>
      <c r="K67" s="523"/>
      <c r="L67" s="523"/>
      <c r="M67" s="523"/>
      <c r="N67" s="523"/>
      <c r="O67" s="523"/>
      <c r="P67" s="523"/>
    </row>
    <row r="68" spans="1:16">
      <c r="A68" s="519"/>
      <c r="B68" s="519"/>
      <c r="C68" s="519"/>
      <c r="D68" s="519"/>
      <c r="E68" s="519"/>
      <c r="F68" s="519"/>
      <c r="G68" s="519"/>
      <c r="H68" s="519"/>
      <c r="I68" s="519"/>
      <c r="J68" s="523"/>
      <c r="K68" s="523"/>
      <c r="L68" s="523"/>
      <c r="M68" s="523"/>
      <c r="N68" s="523"/>
      <c r="O68" s="523"/>
      <c r="P68" s="523"/>
    </row>
  </sheetData>
  <mergeCells count="95">
    <mergeCell ref="A6:B6"/>
    <mergeCell ref="E6:F6"/>
    <mergeCell ref="G6:H6"/>
    <mergeCell ref="A1:I1"/>
    <mergeCell ref="A2:D2"/>
    <mergeCell ref="E2:I2"/>
    <mergeCell ref="A3:B3"/>
    <mergeCell ref="E3:F3"/>
    <mergeCell ref="G3:H3"/>
    <mergeCell ref="A4:B4"/>
    <mergeCell ref="G4:H4"/>
    <mergeCell ref="A5:B5"/>
    <mergeCell ref="E5:F5"/>
    <mergeCell ref="G5:H5"/>
    <mergeCell ref="E7:I7"/>
    <mergeCell ref="A8:B8"/>
    <mergeCell ref="E8:F8"/>
    <mergeCell ref="G8:I8"/>
    <mergeCell ref="A9:B9"/>
    <mergeCell ref="E9:F9"/>
    <mergeCell ref="G9:I9"/>
    <mergeCell ref="A10:B10"/>
    <mergeCell ref="E10:F10"/>
    <mergeCell ref="G10:I10"/>
    <mergeCell ref="A11:B11"/>
    <mergeCell ref="E11:I13"/>
    <mergeCell ref="A12:B12"/>
    <mergeCell ref="A13:B13"/>
    <mergeCell ref="A14:I14"/>
    <mergeCell ref="B15:C15"/>
    <mergeCell ref="D15:F15"/>
    <mergeCell ref="G15:I15"/>
    <mergeCell ref="D16:E16"/>
    <mergeCell ref="G16:I16"/>
    <mergeCell ref="D17:E17"/>
    <mergeCell ref="G17:I17"/>
    <mergeCell ref="D18:E18"/>
    <mergeCell ref="G18:I18"/>
    <mergeCell ref="D19:E19"/>
    <mergeCell ref="G19:I19"/>
    <mergeCell ref="K26:L26"/>
    <mergeCell ref="M26:N26"/>
    <mergeCell ref="O26:P26"/>
    <mergeCell ref="D20:E20"/>
    <mergeCell ref="G20:I20"/>
    <mergeCell ref="D21:E21"/>
    <mergeCell ref="G21:I21"/>
    <mergeCell ref="D22:E22"/>
    <mergeCell ref="G22:I22"/>
    <mergeCell ref="D23:E23"/>
    <mergeCell ref="G23:I23"/>
    <mergeCell ref="J24:P24"/>
    <mergeCell ref="J25:P25"/>
    <mergeCell ref="Q25:T25"/>
    <mergeCell ref="J29:P29"/>
    <mergeCell ref="O30:P30"/>
    <mergeCell ref="Q38:AD38"/>
    <mergeCell ref="Q39:S39"/>
    <mergeCell ref="U39:V39"/>
    <mergeCell ref="W39:Z39"/>
    <mergeCell ref="AA39:AB39"/>
    <mergeCell ref="AC39:AD39"/>
    <mergeCell ref="Q43:S43"/>
    <mergeCell ref="U43:AD43"/>
    <mergeCell ref="Q40:S40"/>
    <mergeCell ref="U40:V40"/>
    <mergeCell ref="W40:Z40"/>
    <mergeCell ref="AA40:AB40"/>
    <mergeCell ref="AC40:AD40"/>
    <mergeCell ref="Q41:S41"/>
    <mergeCell ref="U41:V41"/>
    <mergeCell ref="W41:Z41"/>
    <mergeCell ref="AA41:AB41"/>
    <mergeCell ref="AC41:AD41"/>
    <mergeCell ref="Q42:S42"/>
    <mergeCell ref="U42:V42"/>
    <mergeCell ref="W42:Z42"/>
    <mergeCell ref="AA42:AB42"/>
    <mergeCell ref="AC42:AD42"/>
    <mergeCell ref="Q44:AD44"/>
    <mergeCell ref="Q45:Q46"/>
    <mergeCell ref="R45:U45"/>
    <mergeCell ref="V45:Z45"/>
    <mergeCell ref="AA45:AD45"/>
    <mergeCell ref="R46:S46"/>
    <mergeCell ref="T46:U46"/>
    <mergeCell ref="V46:X46"/>
    <mergeCell ref="Y46:Z46"/>
    <mergeCell ref="AA46:AB46"/>
    <mergeCell ref="V51:W51"/>
    <mergeCell ref="AC46:AD46"/>
    <mergeCell ref="V47:W47"/>
    <mergeCell ref="V48:W48"/>
    <mergeCell ref="V49:W49"/>
    <mergeCell ref="V50:W5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8"/>
  <sheetViews>
    <sheetView zoomScale="85" zoomScaleNormal="85" workbookViewId="0">
      <selection activeCell="B14" sqref="B14"/>
    </sheetView>
  </sheetViews>
  <sheetFormatPr defaultRowHeight="15"/>
  <cols>
    <col min="1" max="1" width="4.28515625" customWidth="1"/>
    <col min="2" max="2" width="55.5703125" bestFit="1" customWidth="1"/>
    <col min="3" max="3" width="10" bestFit="1" customWidth="1"/>
    <col min="7" max="7" width="55.5703125" bestFit="1" customWidth="1"/>
    <col min="12" max="12" width="29.7109375" bestFit="1" customWidth="1"/>
  </cols>
  <sheetData>
    <row r="1" spans="1:9" ht="18.75">
      <c r="A1" s="4" t="s">
        <v>41</v>
      </c>
    </row>
    <row r="2" spans="1:9">
      <c r="B2" t="s">
        <v>156</v>
      </c>
      <c r="F2" t="s">
        <v>235</v>
      </c>
    </row>
    <row r="3" spans="1:9" ht="15.75" thickBot="1">
      <c r="A3" s="1" t="s">
        <v>40</v>
      </c>
      <c r="F3" s="1" t="s">
        <v>40</v>
      </c>
    </row>
    <row r="4" spans="1:9">
      <c r="A4" s="398" t="s">
        <v>42</v>
      </c>
      <c r="B4" s="396" t="s">
        <v>43</v>
      </c>
      <c r="C4" s="396" t="s">
        <v>33</v>
      </c>
      <c r="D4" s="397" t="s">
        <v>62</v>
      </c>
      <c r="F4" s="398" t="s">
        <v>42</v>
      </c>
      <c r="G4" s="396" t="s">
        <v>43</v>
      </c>
      <c r="H4" s="396" t="s">
        <v>33</v>
      </c>
      <c r="I4" s="397" t="s">
        <v>62</v>
      </c>
    </row>
    <row r="5" spans="1:9">
      <c r="A5" s="568">
        <v>1</v>
      </c>
      <c r="B5" s="13" t="s">
        <v>44</v>
      </c>
      <c r="C5" s="570" t="s">
        <v>58</v>
      </c>
      <c r="D5" s="572">
        <f>D9</f>
        <v>100</v>
      </c>
      <c r="F5" s="568">
        <v>1</v>
      </c>
      <c r="G5" s="13" t="s">
        <v>44</v>
      </c>
      <c r="H5" s="570" t="s">
        <v>58</v>
      </c>
      <c r="I5" s="572" t="e">
        <f>I9</f>
        <v>#DIV/0!</v>
      </c>
    </row>
    <row r="6" spans="1:9">
      <c r="A6" s="574"/>
      <c r="B6" s="12" t="s">
        <v>47</v>
      </c>
      <c r="C6" s="575"/>
      <c r="D6" s="580"/>
      <c r="F6" s="574"/>
      <c r="G6" s="12" t="s">
        <v>47</v>
      </c>
      <c r="H6" s="575"/>
      <c r="I6" s="580"/>
    </row>
    <row r="7" spans="1:9">
      <c r="A7" s="568">
        <v>2</v>
      </c>
      <c r="B7" s="13" t="s">
        <v>45</v>
      </c>
      <c r="C7" s="570" t="s">
        <v>58</v>
      </c>
      <c r="D7" s="581">
        <v>0</v>
      </c>
      <c r="F7" s="568">
        <v>2</v>
      </c>
      <c r="G7" s="13" t="s">
        <v>45</v>
      </c>
      <c r="H7" s="570" t="s">
        <v>58</v>
      </c>
      <c r="I7" s="572">
        <v>0</v>
      </c>
    </row>
    <row r="8" spans="1:9">
      <c r="A8" s="574"/>
      <c r="B8" s="12" t="s">
        <v>48</v>
      </c>
      <c r="C8" s="575"/>
      <c r="D8" s="577"/>
      <c r="F8" s="574"/>
      <c r="G8" s="12" t="s">
        <v>48</v>
      </c>
      <c r="H8" s="575"/>
      <c r="I8" s="580"/>
    </row>
    <row r="9" spans="1:9">
      <c r="A9" s="568">
        <v>3</v>
      </c>
      <c r="B9" s="13" t="s">
        <v>46</v>
      </c>
      <c r="C9" s="570" t="s">
        <v>58</v>
      </c>
      <c r="D9" s="572">
        <f>D28/D32*100</f>
        <v>100</v>
      </c>
      <c r="F9" s="568">
        <v>3</v>
      </c>
      <c r="G9" s="13" t="s">
        <v>46</v>
      </c>
      <c r="H9" s="570" t="s">
        <v>58</v>
      </c>
      <c r="I9" s="572" t="e">
        <f>I28/I32*100</f>
        <v>#DIV/0!</v>
      </c>
    </row>
    <row r="10" spans="1:9">
      <c r="A10" s="574"/>
      <c r="B10" s="12" t="s">
        <v>49</v>
      </c>
      <c r="C10" s="575"/>
      <c r="D10" s="580"/>
      <c r="F10" s="574"/>
      <c r="G10" s="12" t="s">
        <v>49</v>
      </c>
      <c r="H10" s="575"/>
      <c r="I10" s="580"/>
    </row>
    <row r="11" spans="1:9">
      <c r="A11" s="568">
        <v>4</v>
      </c>
      <c r="B11" s="13" t="s">
        <v>50</v>
      </c>
      <c r="C11" s="570" t="s">
        <v>59</v>
      </c>
      <c r="D11" s="581">
        <v>0</v>
      </c>
      <c r="F11" s="568">
        <v>4</v>
      </c>
      <c r="G11" s="13" t="s">
        <v>50</v>
      </c>
      <c r="H11" s="570" t="s">
        <v>59</v>
      </c>
      <c r="I11" s="572">
        <v>0</v>
      </c>
    </row>
    <row r="12" spans="1:9">
      <c r="A12" s="574"/>
      <c r="B12" s="12" t="s">
        <v>51</v>
      </c>
      <c r="C12" s="575"/>
      <c r="D12" s="577"/>
      <c r="F12" s="574"/>
      <c r="G12" s="12" t="s">
        <v>51</v>
      </c>
      <c r="H12" s="575"/>
      <c r="I12" s="580"/>
    </row>
    <row r="13" spans="1:9">
      <c r="A13" s="568">
        <v>5</v>
      </c>
      <c r="B13" s="13" t="s">
        <v>52</v>
      </c>
      <c r="C13" s="570" t="s">
        <v>236</v>
      </c>
      <c r="D13" s="576">
        <f>D32/D28</f>
        <v>1</v>
      </c>
      <c r="F13" s="568">
        <v>5</v>
      </c>
      <c r="G13" s="13" t="s">
        <v>52</v>
      </c>
      <c r="H13" s="570" t="s">
        <v>236</v>
      </c>
      <c r="I13" s="576">
        <f>I32/I28</f>
        <v>0</v>
      </c>
    </row>
    <row r="14" spans="1:9">
      <c r="A14" s="574"/>
      <c r="B14" s="12" t="s">
        <v>53</v>
      </c>
      <c r="C14" s="575"/>
      <c r="D14" s="577"/>
      <c r="F14" s="574"/>
      <c r="G14" s="12" t="s">
        <v>53</v>
      </c>
      <c r="H14" s="575"/>
      <c r="I14" s="582"/>
    </row>
    <row r="15" spans="1:9">
      <c r="A15" s="568">
        <v>6</v>
      </c>
      <c r="B15" s="13" t="s">
        <v>54</v>
      </c>
      <c r="C15" s="570" t="s">
        <v>61</v>
      </c>
      <c r="D15" s="578">
        <v>0</v>
      </c>
      <c r="F15" s="568">
        <v>6</v>
      </c>
      <c r="G15" s="13" t="s">
        <v>54</v>
      </c>
      <c r="H15" s="570" t="s">
        <v>61</v>
      </c>
      <c r="I15" s="583">
        <v>0</v>
      </c>
    </row>
    <row r="16" spans="1:9">
      <c r="A16" s="574"/>
      <c r="B16" s="12" t="s">
        <v>55</v>
      </c>
      <c r="C16" s="575"/>
      <c r="D16" s="579"/>
      <c r="E16" s="15"/>
      <c r="F16" s="574"/>
      <c r="G16" s="12" t="s">
        <v>55</v>
      </c>
      <c r="H16" s="575"/>
      <c r="I16" s="584"/>
    </row>
    <row r="17" spans="1:9">
      <c r="A17" s="568">
        <v>7</v>
      </c>
      <c r="B17" s="13" t="s">
        <v>56</v>
      </c>
      <c r="C17" s="570" t="s">
        <v>61</v>
      </c>
      <c r="D17" s="572">
        <f>D28/3.6/D23</f>
        <v>5558.6672948503183</v>
      </c>
      <c r="E17" s="15"/>
      <c r="F17" s="568">
        <v>7</v>
      </c>
      <c r="G17" s="13" t="s">
        <v>56</v>
      </c>
      <c r="H17" s="570" t="s">
        <v>61</v>
      </c>
      <c r="I17" s="572">
        <f>I28/3.6/I23</f>
        <v>2481.2896756803325</v>
      </c>
    </row>
    <row r="18" spans="1:9" ht="15.75" thickBot="1">
      <c r="A18" s="569"/>
      <c r="B18" s="14" t="s">
        <v>57</v>
      </c>
      <c r="C18" s="571"/>
      <c r="D18" s="573"/>
      <c r="E18" s="15"/>
      <c r="F18" s="569"/>
      <c r="G18" s="14" t="s">
        <v>57</v>
      </c>
      <c r="H18" s="571"/>
      <c r="I18" s="573"/>
    </row>
    <row r="20" spans="1:9" ht="15.75" thickBot="1">
      <c r="A20" s="1" t="s">
        <v>63</v>
      </c>
      <c r="F20" s="1" t="s">
        <v>63</v>
      </c>
    </row>
    <row r="21" spans="1:9">
      <c r="A21" s="398" t="s">
        <v>42</v>
      </c>
      <c r="B21" s="396" t="s">
        <v>43</v>
      </c>
      <c r="C21" s="396" t="s">
        <v>33</v>
      </c>
      <c r="D21" s="397" t="s">
        <v>62</v>
      </c>
      <c r="F21" s="398" t="s">
        <v>42</v>
      </c>
      <c r="G21" s="396" t="s">
        <v>43</v>
      </c>
      <c r="H21" s="396" t="s">
        <v>33</v>
      </c>
      <c r="I21" s="397" t="s">
        <v>62</v>
      </c>
    </row>
    <row r="22" spans="1:9">
      <c r="A22" s="16">
        <v>1</v>
      </c>
      <c r="B22" s="2" t="s">
        <v>64</v>
      </c>
      <c r="C22" s="7" t="s">
        <v>74</v>
      </c>
      <c r="D22" s="22">
        <v>0</v>
      </c>
      <c r="F22" s="16">
        <v>1</v>
      </c>
      <c r="G22" s="2" t="s">
        <v>64</v>
      </c>
      <c r="H22" s="49" t="s">
        <v>74</v>
      </c>
      <c r="I22" s="22">
        <v>0</v>
      </c>
    </row>
    <row r="23" spans="1:9">
      <c r="A23" s="16">
        <v>2</v>
      </c>
      <c r="B23" s="2" t="s">
        <v>65</v>
      </c>
      <c r="C23" s="7" t="s">
        <v>74</v>
      </c>
      <c r="D23" s="22">
        <v>0.09</v>
      </c>
      <c r="F23" s="16">
        <v>2</v>
      </c>
      <c r="G23" s="2" t="s">
        <v>65</v>
      </c>
      <c r="H23" s="49" t="s">
        <v>74</v>
      </c>
      <c r="I23" s="22">
        <v>0.14000000000000001</v>
      </c>
    </row>
    <row r="24" spans="1:9">
      <c r="A24" s="16">
        <v>3</v>
      </c>
      <c r="B24" s="2" t="s">
        <v>66</v>
      </c>
      <c r="C24" s="7" t="s">
        <v>75</v>
      </c>
      <c r="D24" s="22">
        <v>0</v>
      </c>
      <c r="F24" s="16">
        <v>3</v>
      </c>
      <c r="G24" s="2" t="s">
        <v>66</v>
      </c>
      <c r="H24" s="49" t="s">
        <v>75</v>
      </c>
      <c r="I24" s="22">
        <v>0</v>
      </c>
    </row>
    <row r="25" spans="1:9">
      <c r="A25" s="16">
        <v>4</v>
      </c>
      <c r="B25" s="2" t="s">
        <v>67</v>
      </c>
      <c r="C25" s="7" t="s">
        <v>75</v>
      </c>
      <c r="D25" s="22">
        <v>0</v>
      </c>
      <c r="F25" s="16">
        <v>4</v>
      </c>
      <c r="G25" s="2" t="s">
        <v>67</v>
      </c>
      <c r="H25" s="49" t="s">
        <v>75</v>
      </c>
      <c r="I25" s="22">
        <v>0</v>
      </c>
    </row>
    <row r="26" spans="1:9">
      <c r="A26" s="16">
        <v>5</v>
      </c>
      <c r="B26" s="2" t="s">
        <v>68</v>
      </c>
      <c r="C26" s="7" t="s">
        <v>75</v>
      </c>
      <c r="D26" s="22">
        <v>0</v>
      </c>
      <c r="F26" s="16">
        <v>5</v>
      </c>
      <c r="G26" s="2" t="s">
        <v>68</v>
      </c>
      <c r="H26" s="49" t="s">
        <v>75</v>
      </c>
      <c r="I26" s="22">
        <v>0</v>
      </c>
    </row>
    <row r="27" spans="1:9">
      <c r="A27" s="16">
        <v>6</v>
      </c>
      <c r="B27" s="2" t="s">
        <v>50</v>
      </c>
      <c r="C27" s="7" t="s">
        <v>76</v>
      </c>
      <c r="D27" s="22">
        <v>0</v>
      </c>
      <c r="F27" s="16">
        <v>6</v>
      </c>
      <c r="G27" s="2" t="s">
        <v>50</v>
      </c>
      <c r="H27" s="49" t="s">
        <v>76</v>
      </c>
      <c r="I27" s="22">
        <v>0</v>
      </c>
    </row>
    <row r="28" spans="1:9">
      <c r="A28" s="16">
        <v>7</v>
      </c>
      <c r="B28" s="2" t="s">
        <v>69</v>
      </c>
      <c r="C28" s="7" t="s">
        <v>76</v>
      </c>
      <c r="D28" s="50">
        <f>'Výpočet spotřeby tepla'!E17</f>
        <v>1801.0082035315031</v>
      </c>
      <c r="F28" s="16">
        <v>7</v>
      </c>
      <c r="G28" s="2" t="s">
        <v>69</v>
      </c>
      <c r="H28" s="49" t="s">
        <v>76</v>
      </c>
      <c r="I28" s="50">
        <f>'Výpočet spotřeby tepla'!E63</f>
        <v>1250.5699965428876</v>
      </c>
    </row>
    <row r="29" spans="1:9">
      <c r="A29" s="16">
        <v>8</v>
      </c>
      <c r="B29" s="2" t="s">
        <v>70</v>
      </c>
      <c r="C29" s="7" t="s">
        <v>76</v>
      </c>
      <c r="D29" s="22">
        <v>0</v>
      </c>
      <c r="F29" s="16">
        <v>8</v>
      </c>
      <c r="G29" s="2" t="s">
        <v>70</v>
      </c>
      <c r="H29" s="49" t="s">
        <v>76</v>
      </c>
      <c r="I29" s="22">
        <v>0</v>
      </c>
    </row>
    <row r="30" spans="1:9">
      <c r="A30" s="16">
        <v>9</v>
      </c>
      <c r="B30" s="2" t="s">
        <v>71</v>
      </c>
      <c r="C30" s="7" t="s">
        <v>76</v>
      </c>
      <c r="D30" s="22">
        <v>0</v>
      </c>
      <c r="F30" s="16">
        <v>9</v>
      </c>
      <c r="G30" s="2" t="s">
        <v>71</v>
      </c>
      <c r="H30" s="49" t="s">
        <v>76</v>
      </c>
      <c r="I30" s="22">
        <v>0</v>
      </c>
    </row>
    <row r="31" spans="1:9">
      <c r="A31" s="16">
        <v>10</v>
      </c>
      <c r="B31" s="2" t="s">
        <v>72</v>
      </c>
      <c r="C31" s="7" t="s">
        <v>76</v>
      </c>
      <c r="D31" s="22">
        <v>0</v>
      </c>
      <c r="F31" s="16">
        <v>10</v>
      </c>
      <c r="G31" s="2" t="s">
        <v>72</v>
      </c>
      <c r="H31" s="49" t="s">
        <v>76</v>
      </c>
      <c r="I31" s="22">
        <v>0</v>
      </c>
    </row>
    <row r="32" spans="1:9">
      <c r="A32" s="16">
        <v>11</v>
      </c>
      <c r="B32" s="2" t="s">
        <v>52</v>
      </c>
      <c r="C32" s="7" t="s">
        <v>76</v>
      </c>
      <c r="D32" s="50">
        <f>'Výpočet spotřeby tepla'!E22</f>
        <v>1801.0082035315031</v>
      </c>
      <c r="F32" s="16">
        <v>11</v>
      </c>
      <c r="G32" s="2" t="s">
        <v>52</v>
      </c>
      <c r="H32" s="49" t="s">
        <v>76</v>
      </c>
      <c r="I32" s="50">
        <f>'Výpočet spotřeby tepla'!E74</f>
        <v>0</v>
      </c>
    </row>
    <row r="33" spans="1:9" ht="15.75" thickBot="1">
      <c r="A33" s="17">
        <v>12</v>
      </c>
      <c r="B33" s="10" t="s">
        <v>73</v>
      </c>
      <c r="C33" s="18" t="s">
        <v>76</v>
      </c>
      <c r="D33" s="51">
        <f>D32</f>
        <v>1801.0082035315031</v>
      </c>
      <c r="F33" s="17">
        <v>12</v>
      </c>
      <c r="G33" s="10" t="s">
        <v>73</v>
      </c>
      <c r="H33" s="18" t="s">
        <v>76</v>
      </c>
      <c r="I33" s="51">
        <f>I32</f>
        <v>0</v>
      </c>
    </row>
    <row r="36" spans="1:9">
      <c r="B36" t="s">
        <v>250</v>
      </c>
      <c r="F36" t="s">
        <v>269</v>
      </c>
    </row>
    <row r="37" spans="1:9" ht="15.75" thickBot="1"/>
    <row r="38" spans="1:9" ht="15.75" thickBot="1">
      <c r="A38" s="398" t="s">
        <v>42</v>
      </c>
      <c r="B38" s="396" t="s">
        <v>43</v>
      </c>
      <c r="C38" s="396" t="s">
        <v>33</v>
      </c>
      <c r="D38" s="397" t="s">
        <v>62</v>
      </c>
      <c r="F38" s="1" t="s">
        <v>40</v>
      </c>
    </row>
    <row r="39" spans="1:9">
      <c r="A39" s="568">
        <v>1</v>
      </c>
      <c r="B39" s="13" t="s">
        <v>44</v>
      </c>
      <c r="C39" s="570" t="s">
        <v>58</v>
      </c>
      <c r="D39" s="572">
        <f>D43</f>
        <v>100</v>
      </c>
      <c r="F39" s="317" t="s">
        <v>42</v>
      </c>
      <c r="G39" s="137" t="s">
        <v>43</v>
      </c>
      <c r="H39" s="137" t="s">
        <v>33</v>
      </c>
      <c r="I39" s="318" t="s">
        <v>62</v>
      </c>
    </row>
    <row r="40" spans="1:9">
      <c r="A40" s="574"/>
      <c r="B40" s="12" t="s">
        <v>47</v>
      </c>
      <c r="C40" s="575"/>
      <c r="D40" s="580"/>
      <c r="F40" s="585">
        <v>1</v>
      </c>
      <c r="G40" s="319" t="s">
        <v>44</v>
      </c>
      <c r="H40" s="587" t="s">
        <v>58</v>
      </c>
      <c r="I40" s="589" t="e">
        <f>I44</f>
        <v>#DIV/0!</v>
      </c>
    </row>
    <row r="41" spans="1:9">
      <c r="A41" s="568">
        <v>2</v>
      </c>
      <c r="B41" s="13" t="s">
        <v>45</v>
      </c>
      <c r="C41" s="570" t="s">
        <v>58</v>
      </c>
      <c r="D41" s="581">
        <v>0</v>
      </c>
      <c r="F41" s="586"/>
      <c r="G41" s="320" t="s">
        <v>47</v>
      </c>
      <c r="H41" s="588"/>
      <c r="I41" s="590"/>
    </row>
    <row r="42" spans="1:9">
      <c r="A42" s="574"/>
      <c r="B42" s="12" t="s">
        <v>48</v>
      </c>
      <c r="C42" s="575"/>
      <c r="D42" s="577"/>
      <c r="F42" s="585">
        <v>2</v>
      </c>
      <c r="G42" s="319" t="s">
        <v>45</v>
      </c>
      <c r="H42" s="587" t="s">
        <v>58</v>
      </c>
      <c r="I42" s="589">
        <v>0</v>
      </c>
    </row>
    <row r="43" spans="1:9">
      <c r="A43" s="568">
        <v>3</v>
      </c>
      <c r="B43" s="13" t="s">
        <v>46</v>
      </c>
      <c r="C43" s="570" t="s">
        <v>58</v>
      </c>
      <c r="D43" s="572">
        <f>D62/D66*100</f>
        <v>100</v>
      </c>
      <c r="F43" s="586"/>
      <c r="G43" s="320" t="s">
        <v>48</v>
      </c>
      <c r="H43" s="588"/>
      <c r="I43" s="590"/>
    </row>
    <row r="44" spans="1:9">
      <c r="A44" s="574"/>
      <c r="B44" s="12" t="s">
        <v>49</v>
      </c>
      <c r="C44" s="575"/>
      <c r="D44" s="580"/>
      <c r="F44" s="585">
        <v>3</v>
      </c>
      <c r="G44" s="319" t="s">
        <v>46</v>
      </c>
      <c r="H44" s="587" t="s">
        <v>58</v>
      </c>
      <c r="I44" s="589" t="e">
        <f>I63/I67*100</f>
        <v>#DIV/0!</v>
      </c>
    </row>
    <row r="45" spans="1:9">
      <c r="A45" s="568">
        <v>4</v>
      </c>
      <c r="B45" s="13" t="s">
        <v>50</v>
      </c>
      <c r="C45" s="570" t="s">
        <v>59</v>
      </c>
      <c r="D45" s="581">
        <v>0</v>
      </c>
      <c r="F45" s="586"/>
      <c r="G45" s="320" t="s">
        <v>49</v>
      </c>
      <c r="H45" s="588"/>
      <c r="I45" s="590"/>
    </row>
    <row r="46" spans="1:9">
      <c r="A46" s="574"/>
      <c r="B46" s="12" t="s">
        <v>51</v>
      </c>
      <c r="C46" s="575"/>
      <c r="D46" s="577"/>
      <c r="F46" s="585">
        <v>4</v>
      </c>
      <c r="G46" s="319" t="s">
        <v>50</v>
      </c>
      <c r="H46" s="587" t="s">
        <v>59</v>
      </c>
      <c r="I46" s="589">
        <v>0</v>
      </c>
    </row>
    <row r="47" spans="1:9">
      <c r="A47" s="568">
        <v>5</v>
      </c>
      <c r="B47" s="13" t="s">
        <v>52</v>
      </c>
      <c r="C47" s="570" t="s">
        <v>236</v>
      </c>
      <c r="D47" s="576">
        <f>D66/D62</f>
        <v>1</v>
      </c>
      <c r="F47" s="586"/>
      <c r="G47" s="320" t="s">
        <v>51</v>
      </c>
      <c r="H47" s="588"/>
      <c r="I47" s="590"/>
    </row>
    <row r="48" spans="1:9">
      <c r="A48" s="574"/>
      <c r="B48" s="12" t="s">
        <v>53</v>
      </c>
      <c r="C48" s="575"/>
      <c r="D48" s="577"/>
      <c r="F48" s="585">
        <v>5</v>
      </c>
      <c r="G48" s="319" t="s">
        <v>52</v>
      </c>
      <c r="H48" s="587" t="s">
        <v>236</v>
      </c>
      <c r="I48" s="594">
        <f>I67/I63</f>
        <v>0</v>
      </c>
    </row>
    <row r="49" spans="1:9">
      <c r="A49" s="568">
        <v>6</v>
      </c>
      <c r="B49" s="13" t="s">
        <v>54</v>
      </c>
      <c r="C49" s="570" t="s">
        <v>61</v>
      </c>
      <c r="D49" s="578">
        <v>0</v>
      </c>
      <c r="F49" s="586"/>
      <c r="G49" s="320" t="s">
        <v>53</v>
      </c>
      <c r="H49" s="588"/>
      <c r="I49" s="595"/>
    </row>
    <row r="50" spans="1:9">
      <c r="A50" s="574"/>
      <c r="B50" s="12" t="s">
        <v>55</v>
      </c>
      <c r="C50" s="575"/>
      <c r="D50" s="579"/>
      <c r="F50" s="585">
        <v>6</v>
      </c>
      <c r="G50" s="319" t="s">
        <v>54</v>
      </c>
      <c r="H50" s="587" t="s">
        <v>61</v>
      </c>
      <c r="I50" s="596">
        <v>0</v>
      </c>
    </row>
    <row r="51" spans="1:9">
      <c r="A51" s="568">
        <v>7</v>
      </c>
      <c r="B51" s="13" t="s">
        <v>56</v>
      </c>
      <c r="C51" s="570" t="s">
        <v>61</v>
      </c>
      <c r="D51" s="572">
        <f>D62/3.6/D57</f>
        <v>4721.2977658134014</v>
      </c>
      <c r="F51" s="586"/>
      <c r="G51" s="320" t="s">
        <v>55</v>
      </c>
      <c r="H51" s="588"/>
      <c r="I51" s="597"/>
    </row>
    <row r="52" spans="1:9" ht="15.75" thickBot="1">
      <c r="A52" s="569"/>
      <c r="B52" s="14" t="s">
        <v>57</v>
      </c>
      <c r="C52" s="571"/>
      <c r="D52" s="573"/>
      <c r="F52" s="585">
        <v>7</v>
      </c>
      <c r="G52" s="319" t="s">
        <v>56</v>
      </c>
      <c r="H52" s="587" t="s">
        <v>61</v>
      </c>
      <c r="I52" s="589">
        <f>I63/3.6/I58</f>
        <v>4342.2569324405822</v>
      </c>
    </row>
    <row r="53" spans="1:9" ht="15.75" thickBot="1">
      <c r="F53" s="591"/>
      <c r="G53" s="321" t="s">
        <v>57</v>
      </c>
      <c r="H53" s="592"/>
      <c r="I53" s="593"/>
    </row>
    <row r="54" spans="1:9" ht="15.75" thickBot="1">
      <c r="A54" s="1" t="s">
        <v>63</v>
      </c>
      <c r="F54" s="243"/>
      <c r="G54" s="243"/>
      <c r="H54" s="243"/>
      <c r="I54" s="243"/>
    </row>
    <row r="55" spans="1:9" ht="15.75" thickBot="1">
      <c r="A55" s="398" t="s">
        <v>42</v>
      </c>
      <c r="B55" s="396" t="s">
        <v>43</v>
      </c>
      <c r="C55" s="396" t="s">
        <v>33</v>
      </c>
      <c r="D55" s="397" t="s">
        <v>62</v>
      </c>
      <c r="F55" s="281" t="s">
        <v>63</v>
      </c>
      <c r="G55" s="243"/>
      <c r="H55" s="243"/>
      <c r="I55" s="243"/>
    </row>
    <row r="56" spans="1:9">
      <c r="A56" s="16">
        <v>1</v>
      </c>
      <c r="B56" s="2" t="s">
        <v>64</v>
      </c>
      <c r="C56" s="74" t="s">
        <v>74</v>
      </c>
      <c r="D56" s="22">
        <v>0</v>
      </c>
      <c r="F56" s="317" t="s">
        <v>42</v>
      </c>
      <c r="G56" s="137" t="s">
        <v>43</v>
      </c>
      <c r="H56" s="137" t="s">
        <v>33</v>
      </c>
      <c r="I56" s="318" t="s">
        <v>62</v>
      </c>
    </row>
    <row r="57" spans="1:9">
      <c r="A57" s="16">
        <v>2</v>
      </c>
      <c r="B57" s="2" t="s">
        <v>65</v>
      </c>
      <c r="C57" s="74" t="s">
        <v>74</v>
      </c>
      <c r="D57" s="22">
        <v>0.09</v>
      </c>
      <c r="F57" s="164">
        <v>1</v>
      </c>
      <c r="G57" s="322" t="s">
        <v>64</v>
      </c>
      <c r="H57" s="315" t="s">
        <v>74</v>
      </c>
      <c r="I57" s="139">
        <v>0</v>
      </c>
    </row>
    <row r="58" spans="1:9">
      <c r="A58" s="16">
        <v>3</v>
      </c>
      <c r="B58" s="2" t="s">
        <v>66</v>
      </c>
      <c r="C58" s="74" t="s">
        <v>75</v>
      </c>
      <c r="D58" s="22">
        <v>0</v>
      </c>
      <c r="F58" s="164">
        <v>2</v>
      </c>
      <c r="G58" s="322" t="s">
        <v>65</v>
      </c>
      <c r="H58" s="315" t="s">
        <v>74</v>
      </c>
      <c r="I58" s="139">
        <v>0.08</v>
      </c>
    </row>
    <row r="59" spans="1:9">
      <c r="A59" s="16">
        <v>4</v>
      </c>
      <c r="B59" s="2" t="s">
        <v>67</v>
      </c>
      <c r="C59" s="74" t="s">
        <v>75</v>
      </c>
      <c r="D59" s="22">
        <v>0</v>
      </c>
      <c r="F59" s="164">
        <v>3</v>
      </c>
      <c r="G59" s="322" t="s">
        <v>66</v>
      </c>
      <c r="H59" s="315" t="s">
        <v>75</v>
      </c>
      <c r="I59" s="139">
        <v>0</v>
      </c>
    </row>
    <row r="60" spans="1:9">
      <c r="A60" s="16">
        <v>5</v>
      </c>
      <c r="B60" s="2" t="s">
        <v>68</v>
      </c>
      <c r="C60" s="74" t="s">
        <v>75</v>
      </c>
      <c r="D60" s="22">
        <v>0</v>
      </c>
      <c r="F60" s="164">
        <v>4</v>
      </c>
      <c r="G60" s="322" t="s">
        <v>67</v>
      </c>
      <c r="H60" s="315" t="s">
        <v>75</v>
      </c>
      <c r="I60" s="139">
        <v>0</v>
      </c>
    </row>
    <row r="61" spans="1:9">
      <c r="A61" s="16">
        <v>6</v>
      </c>
      <c r="B61" s="2" t="s">
        <v>50</v>
      </c>
      <c r="C61" s="74" t="s">
        <v>76</v>
      </c>
      <c r="D61" s="22">
        <v>0</v>
      </c>
      <c r="F61" s="164">
        <v>5</v>
      </c>
      <c r="G61" s="322" t="s">
        <v>68</v>
      </c>
      <c r="H61" s="315" t="s">
        <v>75</v>
      </c>
      <c r="I61" s="139">
        <v>0</v>
      </c>
    </row>
    <row r="62" spans="1:9">
      <c r="A62" s="16">
        <v>7</v>
      </c>
      <c r="B62" s="2" t="s">
        <v>69</v>
      </c>
      <c r="C62" s="74" t="s">
        <v>76</v>
      </c>
      <c r="D62" s="50">
        <f>'Výpočet spotřeby tepla'!E40</f>
        <v>1529.7004761235421</v>
      </c>
      <c r="F62" s="164">
        <v>6</v>
      </c>
      <c r="G62" s="322" t="s">
        <v>50</v>
      </c>
      <c r="H62" s="315" t="s">
        <v>76</v>
      </c>
      <c r="I62" s="139">
        <v>0</v>
      </c>
    </row>
    <row r="63" spans="1:9">
      <c r="A63" s="16">
        <v>8</v>
      </c>
      <c r="B63" s="2" t="s">
        <v>70</v>
      </c>
      <c r="C63" s="74" t="s">
        <v>76</v>
      </c>
      <c r="D63" s="22">
        <v>0</v>
      </c>
      <c r="F63" s="164">
        <v>7</v>
      </c>
      <c r="G63" s="322" t="s">
        <v>69</v>
      </c>
      <c r="H63" s="315" t="s">
        <v>76</v>
      </c>
      <c r="I63" s="133">
        <f>'Výpočet spotřeby tepla'!E65</f>
        <v>1250.5699965428876</v>
      </c>
    </row>
    <row r="64" spans="1:9">
      <c r="A64" s="16">
        <v>9</v>
      </c>
      <c r="B64" s="2" t="s">
        <v>71</v>
      </c>
      <c r="C64" s="74" t="s">
        <v>76</v>
      </c>
      <c r="D64" s="22">
        <v>0</v>
      </c>
      <c r="F64" s="164">
        <v>8</v>
      </c>
      <c r="G64" s="322" t="s">
        <v>70</v>
      </c>
      <c r="H64" s="315" t="s">
        <v>76</v>
      </c>
      <c r="I64" s="139">
        <v>0</v>
      </c>
    </row>
    <row r="65" spans="1:14">
      <c r="A65" s="16">
        <v>10</v>
      </c>
      <c r="B65" s="2" t="s">
        <v>72</v>
      </c>
      <c r="C65" s="74" t="s">
        <v>76</v>
      </c>
      <c r="D65" s="22">
        <v>0</v>
      </c>
      <c r="F65" s="164">
        <v>9</v>
      </c>
      <c r="G65" s="322" t="s">
        <v>71</v>
      </c>
      <c r="H65" s="315" t="s">
        <v>76</v>
      </c>
      <c r="I65" s="139">
        <v>0</v>
      </c>
    </row>
    <row r="66" spans="1:14" ht="15.75" thickBot="1">
      <c r="A66" s="16">
        <v>11</v>
      </c>
      <c r="B66" s="2" t="s">
        <v>52</v>
      </c>
      <c r="C66" s="74" t="s">
        <v>76</v>
      </c>
      <c r="D66" s="50">
        <f>'Výpočet spotřeby tepla'!E45</f>
        <v>1529.7004761235421</v>
      </c>
      <c r="F66" s="164">
        <v>10</v>
      </c>
      <c r="G66" s="322" t="s">
        <v>72</v>
      </c>
      <c r="H66" s="315" t="s">
        <v>76</v>
      </c>
      <c r="I66" s="139">
        <v>0</v>
      </c>
    </row>
    <row r="67" spans="1:14" ht="15.75" thickBot="1">
      <c r="A67" s="17">
        <v>12</v>
      </c>
      <c r="B67" s="10" t="s">
        <v>73</v>
      </c>
      <c r="C67" s="18" t="s">
        <v>76</v>
      </c>
      <c r="D67" s="51">
        <f>D66</f>
        <v>1529.7004761235421</v>
      </c>
      <c r="F67" s="164">
        <v>11</v>
      </c>
      <c r="G67" s="322" t="s">
        <v>52</v>
      </c>
      <c r="H67" s="315" t="s">
        <v>76</v>
      </c>
      <c r="I67" s="133">
        <f>'Výpočet spotřeby tepla'!E67</f>
        <v>0</v>
      </c>
      <c r="L67" s="422" t="s">
        <v>341</v>
      </c>
      <c r="M67" s="418">
        <v>0</v>
      </c>
      <c r="N67" s="419" t="s">
        <v>160</v>
      </c>
    </row>
    <row r="68" spans="1:14" ht="15.75" thickBot="1">
      <c r="F68" s="323">
        <v>12</v>
      </c>
      <c r="G68" s="324" t="s">
        <v>73</v>
      </c>
      <c r="H68" s="325" t="s">
        <v>76</v>
      </c>
      <c r="I68" s="144">
        <f>I67</f>
        <v>0</v>
      </c>
      <c r="L68" s="423" t="s">
        <v>342</v>
      </c>
      <c r="M68" s="420">
        <f>I52*M67</f>
        <v>0</v>
      </c>
      <c r="N68" s="421" t="s">
        <v>206</v>
      </c>
    </row>
  </sheetData>
  <mergeCells count="84">
    <mergeCell ref="F52:F53"/>
    <mergeCell ref="H52:H53"/>
    <mergeCell ref="I52:I53"/>
    <mergeCell ref="F48:F49"/>
    <mergeCell ref="H48:H49"/>
    <mergeCell ref="I48:I49"/>
    <mergeCell ref="F50:F51"/>
    <mergeCell ref="H50:H51"/>
    <mergeCell ref="I50:I51"/>
    <mergeCell ref="F44:F45"/>
    <mergeCell ref="H44:H45"/>
    <mergeCell ref="I44:I45"/>
    <mergeCell ref="F46:F47"/>
    <mergeCell ref="H46:H47"/>
    <mergeCell ref="I46:I47"/>
    <mergeCell ref="F40:F41"/>
    <mergeCell ref="H40:H41"/>
    <mergeCell ref="I40:I41"/>
    <mergeCell ref="F42:F43"/>
    <mergeCell ref="H42:H43"/>
    <mergeCell ref="I42:I43"/>
    <mergeCell ref="A17:A18"/>
    <mergeCell ref="C5:C6"/>
    <mergeCell ref="C7:C8"/>
    <mergeCell ref="C9:C10"/>
    <mergeCell ref="C11:C12"/>
    <mergeCell ref="C13:C14"/>
    <mergeCell ref="C15:C16"/>
    <mergeCell ref="C17:C18"/>
    <mergeCell ref="A5:A6"/>
    <mergeCell ref="A7:A8"/>
    <mergeCell ref="A9:A10"/>
    <mergeCell ref="A11:A12"/>
    <mergeCell ref="A13:A14"/>
    <mergeCell ref="A15:A16"/>
    <mergeCell ref="D17:D18"/>
    <mergeCell ref="D5:D6"/>
    <mergeCell ref="D7:D8"/>
    <mergeCell ref="D9:D10"/>
    <mergeCell ref="D11:D12"/>
    <mergeCell ref="D13:D14"/>
    <mergeCell ref="D15:D16"/>
    <mergeCell ref="F5:F6"/>
    <mergeCell ref="H5:H6"/>
    <mergeCell ref="I5:I6"/>
    <mergeCell ref="F7:F8"/>
    <mergeCell ref="H7:H8"/>
    <mergeCell ref="I7:I8"/>
    <mergeCell ref="F9:F10"/>
    <mergeCell ref="H9:H10"/>
    <mergeCell ref="I9:I10"/>
    <mergeCell ref="F11:F12"/>
    <mergeCell ref="H11:H12"/>
    <mergeCell ref="I11:I12"/>
    <mergeCell ref="F17:F18"/>
    <mergeCell ref="H17:H18"/>
    <mergeCell ref="I17:I18"/>
    <mergeCell ref="F13:F14"/>
    <mergeCell ref="H13:H14"/>
    <mergeCell ref="I13:I14"/>
    <mergeCell ref="F15:F16"/>
    <mergeCell ref="H15:H16"/>
    <mergeCell ref="I15:I16"/>
    <mergeCell ref="A39:A40"/>
    <mergeCell ref="C39:C40"/>
    <mergeCell ref="D39:D40"/>
    <mergeCell ref="A41:A42"/>
    <mergeCell ref="C41:C42"/>
    <mergeCell ref="D41:D42"/>
    <mergeCell ref="A43:A44"/>
    <mergeCell ref="C43:C44"/>
    <mergeCell ref="D43:D44"/>
    <mergeCell ref="A45:A46"/>
    <mergeCell ref="C45:C46"/>
    <mergeCell ref="D45:D46"/>
    <mergeCell ref="A51:A52"/>
    <mergeCell ref="C51:C52"/>
    <mergeCell ref="D51:D52"/>
    <mergeCell ref="A47:A48"/>
    <mergeCell ref="C47:C48"/>
    <mergeCell ref="D47:D48"/>
    <mergeCell ref="A49:A50"/>
    <mergeCell ref="C49:C50"/>
    <mergeCell ref="D49:D50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8"/>
  <sheetViews>
    <sheetView zoomScale="85" zoomScaleNormal="85" workbookViewId="0">
      <selection activeCell="D15" sqref="D15"/>
    </sheetView>
  </sheetViews>
  <sheetFormatPr defaultRowHeight="15"/>
  <cols>
    <col min="1" max="1" width="3.7109375" customWidth="1"/>
    <col min="2" max="2" width="32.5703125" customWidth="1"/>
    <col min="8" max="8" width="32.7109375" customWidth="1"/>
    <col min="10" max="10" width="11.7109375" customWidth="1"/>
    <col min="14" max="14" width="9.85546875" customWidth="1"/>
  </cols>
  <sheetData>
    <row r="1" spans="1:17" ht="18.75">
      <c r="A1" s="4" t="s">
        <v>77</v>
      </c>
    </row>
    <row r="2" spans="1:17" ht="15.75" thickBot="1">
      <c r="G2" s="1" t="s">
        <v>93</v>
      </c>
      <c r="I2" t="s">
        <v>97</v>
      </c>
    </row>
    <row r="3" spans="1:17" ht="15.75" thickBot="1">
      <c r="A3" s="1" t="s">
        <v>78</v>
      </c>
      <c r="G3" s="612" t="s">
        <v>42</v>
      </c>
      <c r="H3" s="614" t="s">
        <v>79</v>
      </c>
      <c r="I3" s="616" t="s">
        <v>94</v>
      </c>
      <c r="J3" s="616"/>
      <c r="K3" s="616"/>
      <c r="L3" s="617" t="s">
        <v>212</v>
      </c>
      <c r="M3" s="617"/>
      <c r="N3" s="617"/>
      <c r="O3" s="610" t="s">
        <v>123</v>
      </c>
      <c r="P3" s="610"/>
      <c r="Q3" s="611"/>
    </row>
    <row r="4" spans="1:17" ht="15.75" customHeight="1">
      <c r="A4" s="621" t="s">
        <v>42</v>
      </c>
      <c r="B4" s="623" t="s">
        <v>79</v>
      </c>
      <c r="C4" s="625" t="s">
        <v>5</v>
      </c>
      <c r="D4" s="626"/>
      <c r="E4" s="498" t="s">
        <v>6</v>
      </c>
      <c r="G4" s="613"/>
      <c r="H4" s="615"/>
      <c r="I4" s="609" t="s">
        <v>5</v>
      </c>
      <c r="J4" s="609"/>
      <c r="K4" s="496" t="s">
        <v>6</v>
      </c>
      <c r="L4" s="609" t="s">
        <v>5</v>
      </c>
      <c r="M4" s="609"/>
      <c r="N4" s="496" t="s">
        <v>6</v>
      </c>
      <c r="O4" s="609" t="s">
        <v>5</v>
      </c>
      <c r="P4" s="609"/>
      <c r="Q4" s="497" t="s">
        <v>8</v>
      </c>
    </row>
    <row r="5" spans="1:17">
      <c r="A5" s="622"/>
      <c r="B5" s="624"/>
      <c r="C5" s="496" t="s">
        <v>60</v>
      </c>
      <c r="D5" s="496" t="s">
        <v>75</v>
      </c>
      <c r="E5" s="497" t="s">
        <v>80</v>
      </c>
      <c r="G5" s="613"/>
      <c r="H5" s="615"/>
      <c r="I5" s="496" t="s">
        <v>60</v>
      </c>
      <c r="J5" s="496" t="s">
        <v>75</v>
      </c>
      <c r="K5" s="496" t="s">
        <v>80</v>
      </c>
      <c r="L5" s="496" t="s">
        <v>60</v>
      </c>
      <c r="M5" s="496" t="s">
        <v>75</v>
      </c>
      <c r="N5" s="496" t="s">
        <v>80</v>
      </c>
      <c r="O5" s="496" t="s">
        <v>60</v>
      </c>
      <c r="P5" s="496" t="s">
        <v>75</v>
      </c>
      <c r="Q5" s="497" t="s">
        <v>80</v>
      </c>
    </row>
    <row r="6" spans="1:17">
      <c r="A6" s="16">
        <v>1</v>
      </c>
      <c r="B6" s="6" t="s">
        <v>18</v>
      </c>
      <c r="C6" s="65">
        <f>D6*3.6</f>
        <v>2970.8774035315032</v>
      </c>
      <c r="D6" s="52">
        <f>'Energetické vstupy'!E20</f>
        <v>825.24372320319526</v>
      </c>
      <c r="E6" s="50">
        <f>'Energetické vstupy'!F20</f>
        <v>1430.2459999999999</v>
      </c>
      <c r="G6" s="16">
        <v>1</v>
      </c>
      <c r="H6" s="19" t="s">
        <v>18</v>
      </c>
      <c r="I6" s="52">
        <f>C6</f>
        <v>2970.8774035315032</v>
      </c>
      <c r="J6" s="52">
        <f>D6</f>
        <v>825.24372320319526</v>
      </c>
      <c r="K6" s="52">
        <f>E6</f>
        <v>1430.2459999999999</v>
      </c>
      <c r="L6" s="52">
        <f>M6*3.6</f>
        <v>2574.0484761235421</v>
      </c>
      <c r="M6" s="52">
        <f>'Energetické vstupy'!E29</f>
        <v>715.01346558987279</v>
      </c>
      <c r="N6" s="52">
        <f>'Energetické vstupy'!F29</f>
        <v>1223.7312235590869</v>
      </c>
      <c r="O6" s="52">
        <f>I6-L6</f>
        <v>396.82892740796115</v>
      </c>
      <c r="P6" s="52">
        <f>J6-M6</f>
        <v>110.23025761332246</v>
      </c>
      <c r="Q6" s="50">
        <f>K6-N6</f>
        <v>206.51477644091301</v>
      </c>
    </row>
    <row r="7" spans="1:17">
      <c r="A7" s="16">
        <v>2</v>
      </c>
      <c r="B7" s="6" t="s">
        <v>81</v>
      </c>
      <c r="C7" s="52">
        <v>0</v>
      </c>
      <c r="D7" s="52">
        <v>0</v>
      </c>
      <c r="E7" s="50">
        <v>0</v>
      </c>
      <c r="G7" s="16">
        <v>2</v>
      </c>
      <c r="H7" s="19" t="s">
        <v>81</v>
      </c>
      <c r="I7" s="52">
        <f t="shared" ref="I7:I19" si="0">C7</f>
        <v>0</v>
      </c>
      <c r="J7" s="52">
        <f t="shared" ref="J7:J19" si="1">D7</f>
        <v>0</v>
      </c>
      <c r="K7" s="52">
        <f t="shared" ref="K7:K19" si="2">E7</f>
        <v>0</v>
      </c>
      <c r="L7" s="52">
        <v>0</v>
      </c>
      <c r="M7" s="52">
        <v>0</v>
      </c>
      <c r="N7" s="52">
        <v>0</v>
      </c>
      <c r="O7" s="52">
        <f t="shared" ref="O7:O20" si="3">I7-L7</f>
        <v>0</v>
      </c>
      <c r="P7" s="52">
        <f t="shared" ref="P7:P20" si="4">J7-M7</f>
        <v>0</v>
      </c>
      <c r="Q7" s="50">
        <f t="shared" ref="Q7:Q20" si="5">K7-N7</f>
        <v>0</v>
      </c>
    </row>
    <row r="8" spans="1:17">
      <c r="A8" s="16">
        <v>3</v>
      </c>
      <c r="B8" s="6" t="s">
        <v>83</v>
      </c>
      <c r="C8" s="52">
        <f>C6</f>
        <v>2970.8774035315032</v>
      </c>
      <c r="D8" s="52">
        <f>D6</f>
        <v>825.24372320319526</v>
      </c>
      <c r="E8" s="50">
        <f>E6</f>
        <v>1430.2459999999999</v>
      </c>
      <c r="G8" s="16">
        <v>3</v>
      </c>
      <c r="H8" s="19" t="s">
        <v>83</v>
      </c>
      <c r="I8" s="52">
        <f t="shared" si="0"/>
        <v>2970.8774035315032</v>
      </c>
      <c r="J8" s="52">
        <f t="shared" si="1"/>
        <v>825.24372320319526</v>
      </c>
      <c r="K8" s="52">
        <f t="shared" si="2"/>
        <v>1430.2459999999999</v>
      </c>
      <c r="L8" s="52">
        <f>L6</f>
        <v>2574.0484761235421</v>
      </c>
      <c r="M8" s="52">
        <f>M6</f>
        <v>715.01346558987279</v>
      </c>
      <c r="N8" s="52">
        <f>N6</f>
        <v>1223.7312235590869</v>
      </c>
      <c r="O8" s="52">
        <f t="shared" si="3"/>
        <v>396.82892740796115</v>
      </c>
      <c r="P8" s="52">
        <f t="shared" si="4"/>
        <v>110.23025761332246</v>
      </c>
      <c r="Q8" s="50">
        <f t="shared" si="5"/>
        <v>206.51477644091301</v>
      </c>
    </row>
    <row r="9" spans="1:17">
      <c r="A9" s="16">
        <v>4</v>
      </c>
      <c r="B9" s="6" t="s">
        <v>82</v>
      </c>
      <c r="C9" s="52">
        <v>0</v>
      </c>
      <c r="D9" s="52">
        <v>0</v>
      </c>
      <c r="E9" s="50">
        <v>0</v>
      </c>
      <c r="G9" s="16">
        <v>4</v>
      </c>
      <c r="H9" s="19" t="s">
        <v>82</v>
      </c>
      <c r="I9" s="52">
        <f t="shared" si="0"/>
        <v>0</v>
      </c>
      <c r="J9" s="52">
        <f t="shared" si="1"/>
        <v>0</v>
      </c>
      <c r="K9" s="52">
        <f t="shared" si="2"/>
        <v>0</v>
      </c>
      <c r="L9" s="52">
        <v>0</v>
      </c>
      <c r="M9" s="52">
        <v>0</v>
      </c>
      <c r="N9" s="52">
        <v>0</v>
      </c>
      <c r="O9" s="52">
        <f t="shared" si="3"/>
        <v>0</v>
      </c>
      <c r="P9" s="52">
        <f t="shared" si="4"/>
        <v>0</v>
      </c>
      <c r="Q9" s="50">
        <f t="shared" si="5"/>
        <v>0</v>
      </c>
    </row>
    <row r="10" spans="1:17" ht="30">
      <c r="A10" s="16">
        <v>5</v>
      </c>
      <c r="B10" s="6" t="s">
        <v>84</v>
      </c>
      <c r="C10" s="52">
        <f>C8-C9</f>
        <v>2970.8774035315032</v>
      </c>
      <c r="D10" s="52">
        <f t="shared" ref="D10:E10" si="6">D8-D9</f>
        <v>825.24372320319526</v>
      </c>
      <c r="E10" s="50">
        <f t="shared" si="6"/>
        <v>1430.2459999999999</v>
      </c>
      <c r="G10" s="16">
        <v>5</v>
      </c>
      <c r="H10" s="19" t="s">
        <v>84</v>
      </c>
      <c r="I10" s="52">
        <f t="shared" si="0"/>
        <v>2970.8774035315032</v>
      </c>
      <c r="J10" s="52">
        <f t="shared" si="1"/>
        <v>825.24372320319526</v>
      </c>
      <c r="K10" s="52">
        <f t="shared" si="2"/>
        <v>1430.2459999999999</v>
      </c>
      <c r="L10" s="52">
        <f>L8-L9</f>
        <v>2574.0484761235421</v>
      </c>
      <c r="M10" s="52">
        <f>M8-M9</f>
        <v>715.01346558987279</v>
      </c>
      <c r="N10" s="52">
        <f t="shared" ref="N10" si="7">N8-N9</f>
        <v>1223.7312235590869</v>
      </c>
      <c r="O10" s="52">
        <f t="shared" si="3"/>
        <v>396.82892740796115</v>
      </c>
      <c r="P10" s="52">
        <f t="shared" si="4"/>
        <v>110.23025761332246</v>
      </c>
      <c r="Q10" s="50">
        <f t="shared" si="5"/>
        <v>206.51477644091301</v>
      </c>
    </row>
    <row r="11" spans="1:17" ht="30">
      <c r="A11" s="16">
        <v>6</v>
      </c>
      <c r="B11" s="6" t="s">
        <v>85</v>
      </c>
      <c r="C11" s="52">
        <f>C10-SUM(C14:C20)</f>
        <v>0</v>
      </c>
      <c r="D11" s="52">
        <f>D10-SUM(D14:D20)</f>
        <v>0</v>
      </c>
      <c r="E11" s="50">
        <f>E10-SUM(E14:E20)</f>
        <v>0</v>
      </c>
      <c r="F11">
        <f>D11*C24</f>
        <v>0</v>
      </c>
      <c r="G11" s="16">
        <v>6</v>
      </c>
      <c r="H11" s="19" t="s">
        <v>85</v>
      </c>
      <c r="I11" s="52">
        <f t="shared" si="0"/>
        <v>0</v>
      </c>
      <c r="J11" s="52">
        <f t="shared" si="1"/>
        <v>0</v>
      </c>
      <c r="K11" s="52">
        <f t="shared" si="2"/>
        <v>0</v>
      </c>
      <c r="L11" s="52">
        <f>L10-SUM(L14:L20)</f>
        <v>0</v>
      </c>
      <c r="M11" s="52">
        <f>M10-SUM(M14:M20)</f>
        <v>0</v>
      </c>
      <c r="N11" s="52">
        <f>N10-SUM(N14:N20)</f>
        <v>0</v>
      </c>
      <c r="O11" s="52">
        <f t="shared" si="3"/>
        <v>0</v>
      </c>
      <c r="P11" s="52">
        <f t="shared" si="4"/>
        <v>0</v>
      </c>
      <c r="Q11" s="50">
        <f t="shared" si="5"/>
        <v>0</v>
      </c>
    </row>
    <row r="12" spans="1:17">
      <c r="A12" s="16" t="s">
        <v>314</v>
      </c>
      <c r="B12" s="6" t="s">
        <v>316</v>
      </c>
      <c r="C12" s="52">
        <v>0</v>
      </c>
      <c r="D12" s="52">
        <v>0</v>
      </c>
      <c r="E12" s="50">
        <f>E11-E13</f>
        <v>0</v>
      </c>
      <c r="F12">
        <f>D12*C24</f>
        <v>0</v>
      </c>
      <c r="G12" s="16" t="s">
        <v>314</v>
      </c>
      <c r="H12" s="6" t="s">
        <v>316</v>
      </c>
      <c r="I12" s="52">
        <f>C12</f>
        <v>0</v>
      </c>
      <c r="J12" s="52">
        <f t="shared" si="1"/>
        <v>0</v>
      </c>
      <c r="K12" s="52">
        <f t="shared" si="2"/>
        <v>0</v>
      </c>
      <c r="L12" s="52">
        <v>0</v>
      </c>
      <c r="M12" s="52">
        <f>L12/3.6</f>
        <v>0</v>
      </c>
      <c r="N12" s="52">
        <f>K12</f>
        <v>0</v>
      </c>
      <c r="O12" s="52">
        <f>I12-L12</f>
        <v>0</v>
      </c>
      <c r="P12" s="52">
        <f t="shared" si="4"/>
        <v>0</v>
      </c>
      <c r="Q12" s="50">
        <f t="shared" si="5"/>
        <v>0</v>
      </c>
    </row>
    <row r="13" spans="1:17">
      <c r="A13" s="16" t="s">
        <v>315</v>
      </c>
      <c r="B13" s="6" t="s">
        <v>317</v>
      </c>
      <c r="C13" s="52">
        <f>'Výpočet spotřeby tepla'!E19-'Výpočet spotřeby tepla'!E15</f>
        <v>0</v>
      </c>
      <c r="D13" s="52">
        <f>C13/3.6</f>
        <v>0</v>
      </c>
      <c r="E13" s="50">
        <f>D13*C24</f>
        <v>0</v>
      </c>
      <c r="F13">
        <f>D13*C24</f>
        <v>0</v>
      </c>
      <c r="G13" s="16" t="s">
        <v>315</v>
      </c>
      <c r="H13" s="6" t="s">
        <v>317</v>
      </c>
      <c r="I13" s="52">
        <f>C13</f>
        <v>0</v>
      </c>
      <c r="J13" s="52">
        <f t="shared" si="1"/>
        <v>0</v>
      </c>
      <c r="K13" s="52">
        <f t="shared" si="2"/>
        <v>0</v>
      </c>
      <c r="L13" s="52">
        <f>'Výpočet spotřeby tepla'!E42-'Výpočet spotřeby tepla'!E38</f>
        <v>0</v>
      </c>
      <c r="M13" s="52">
        <f>L13/3.6</f>
        <v>0</v>
      </c>
      <c r="N13" s="52">
        <f>M13*C24</f>
        <v>0</v>
      </c>
      <c r="O13" s="52">
        <f>I13-L13</f>
        <v>0</v>
      </c>
      <c r="P13" s="52">
        <f t="shared" si="4"/>
        <v>0</v>
      </c>
      <c r="Q13" s="50">
        <f t="shared" si="5"/>
        <v>0</v>
      </c>
    </row>
    <row r="14" spans="1:17" ht="30">
      <c r="A14" s="16">
        <v>7</v>
      </c>
      <c r="B14" s="6" t="s">
        <v>86</v>
      </c>
      <c r="C14" s="52">
        <f>D14*3.6</f>
        <v>1801.0082035315031</v>
      </c>
      <c r="D14" s="52">
        <f>'Výpočet spotřeby tepla'!E15/3.6</f>
        <v>500.2800565365286</v>
      </c>
      <c r="E14" s="50">
        <f>D14*C24</f>
        <v>872.40800000000002</v>
      </c>
      <c r="G14" s="16">
        <v>7</v>
      </c>
      <c r="H14" s="19" t="s">
        <v>86</v>
      </c>
      <c r="I14" s="52">
        <f t="shared" si="0"/>
        <v>1801.0082035315031</v>
      </c>
      <c r="J14" s="52">
        <f t="shared" si="1"/>
        <v>500.2800565365286</v>
      </c>
      <c r="K14" s="52">
        <f t="shared" si="2"/>
        <v>872.40800000000002</v>
      </c>
      <c r="L14" s="52">
        <f>M14*3.6</f>
        <v>1529.7004761235421</v>
      </c>
      <c r="M14" s="52">
        <f>'Výpočet spotřeby tepla'!E38/3.6</f>
        <v>424.9167989232061</v>
      </c>
      <c r="N14" s="52">
        <f>C27*M14</f>
        <v>740.98659315220812</v>
      </c>
      <c r="O14" s="52">
        <f t="shared" si="3"/>
        <v>271.30772740796101</v>
      </c>
      <c r="P14" s="52">
        <f t="shared" si="4"/>
        <v>75.363257613322503</v>
      </c>
      <c r="Q14" s="50">
        <f t="shared" si="5"/>
        <v>131.4214068477919</v>
      </c>
    </row>
    <row r="15" spans="1:17">
      <c r="A15" s="16">
        <v>8</v>
      </c>
      <c r="B15" s="6" t="s">
        <v>87</v>
      </c>
      <c r="C15" s="52">
        <f>D15*3.6</f>
        <v>229.608</v>
      </c>
      <c r="D15" s="52">
        <f>'Spotřeby energie'!B13</f>
        <v>63.78</v>
      </c>
      <c r="E15" s="50">
        <f>D15*C23</f>
        <v>137.36355616053217</v>
      </c>
      <c r="G15" s="16">
        <v>8</v>
      </c>
      <c r="H15" s="19" t="s">
        <v>87</v>
      </c>
      <c r="I15" s="52">
        <f t="shared" si="0"/>
        <v>229.608</v>
      </c>
      <c r="J15" s="52">
        <f t="shared" si="1"/>
        <v>63.78</v>
      </c>
      <c r="K15" s="52">
        <f t="shared" si="2"/>
        <v>137.36355616053217</v>
      </c>
      <c r="L15" s="52">
        <f>M15*3.6</f>
        <v>229.608</v>
      </c>
      <c r="M15" s="52">
        <f>J15</f>
        <v>63.78</v>
      </c>
      <c r="N15" s="52">
        <f>M15*C23</f>
        <v>137.36355616053217</v>
      </c>
      <c r="O15" s="52">
        <f t="shared" si="3"/>
        <v>0</v>
      </c>
      <c r="P15" s="52">
        <f t="shared" si="4"/>
        <v>0</v>
      </c>
      <c r="Q15" s="50">
        <f t="shared" si="5"/>
        <v>0</v>
      </c>
    </row>
    <row r="16" spans="1:17" ht="30">
      <c r="A16" s="16">
        <v>9</v>
      </c>
      <c r="B16" s="6" t="s">
        <v>88</v>
      </c>
      <c r="C16" s="52">
        <f>D16*3.6</f>
        <v>335.01600000000002</v>
      </c>
      <c r="D16" s="52">
        <f>'Spotřeby energie'!B52</f>
        <v>93.06</v>
      </c>
      <c r="E16" s="50">
        <f>'Energetické vstupy'!F19</f>
        <v>58.384999999999998</v>
      </c>
      <c r="G16" s="16">
        <v>9</v>
      </c>
      <c r="H16" s="19" t="s">
        <v>88</v>
      </c>
      <c r="I16" s="52">
        <f t="shared" si="0"/>
        <v>335.01600000000002</v>
      </c>
      <c r="J16" s="52">
        <f t="shared" si="1"/>
        <v>93.06</v>
      </c>
      <c r="K16" s="52">
        <f t="shared" si="2"/>
        <v>58.384999999999998</v>
      </c>
      <c r="L16" s="52">
        <f>M16*3.6</f>
        <v>335.01600000000002</v>
      </c>
      <c r="M16" s="52">
        <f>J16</f>
        <v>93.06</v>
      </c>
      <c r="N16" s="52">
        <f>K16</f>
        <v>58.384999999999998</v>
      </c>
      <c r="O16" s="52">
        <f t="shared" si="3"/>
        <v>0</v>
      </c>
      <c r="P16" s="52">
        <f t="shared" si="4"/>
        <v>0</v>
      </c>
      <c r="Q16" s="50">
        <f t="shared" si="5"/>
        <v>0</v>
      </c>
    </row>
    <row r="17" spans="1:17">
      <c r="A17" s="16">
        <v>10</v>
      </c>
      <c r="B17" s="6" t="s">
        <v>89</v>
      </c>
      <c r="C17" s="52">
        <f>D17*3.6</f>
        <v>15.3</v>
      </c>
      <c r="D17" s="52">
        <f>'Spotřeby energie'!B12</f>
        <v>4.25</v>
      </c>
      <c r="E17" s="50">
        <f>D17*C23</f>
        <v>9.1532629928231692</v>
      </c>
      <c r="G17" s="16">
        <v>10</v>
      </c>
      <c r="H17" s="19" t="s">
        <v>89</v>
      </c>
      <c r="I17" s="52">
        <f t="shared" si="0"/>
        <v>15.3</v>
      </c>
      <c r="J17" s="52">
        <f t="shared" si="1"/>
        <v>4.25</v>
      </c>
      <c r="K17" s="52">
        <f t="shared" si="2"/>
        <v>9.1532629928231692</v>
      </c>
      <c r="L17" s="52">
        <f>M17*3.6</f>
        <v>15.3</v>
      </c>
      <c r="M17" s="52">
        <f>J17</f>
        <v>4.25</v>
      </c>
      <c r="N17" s="52">
        <f>M17*C23</f>
        <v>9.1532629928231692</v>
      </c>
      <c r="O17" s="52">
        <f t="shared" si="3"/>
        <v>0</v>
      </c>
      <c r="P17" s="52">
        <f t="shared" si="4"/>
        <v>0</v>
      </c>
      <c r="Q17" s="50">
        <f t="shared" si="5"/>
        <v>0</v>
      </c>
    </row>
    <row r="18" spans="1:17" ht="30">
      <c r="A18" s="16">
        <v>11</v>
      </c>
      <c r="B18" s="6" t="s">
        <v>90</v>
      </c>
      <c r="C18" s="52">
        <v>0</v>
      </c>
      <c r="D18" s="52">
        <v>0</v>
      </c>
      <c r="E18" s="50">
        <v>0</v>
      </c>
      <c r="G18" s="16">
        <v>11</v>
      </c>
      <c r="H18" s="19" t="s">
        <v>90</v>
      </c>
      <c r="I18" s="52">
        <f t="shared" si="0"/>
        <v>0</v>
      </c>
      <c r="J18" s="52">
        <f t="shared" si="1"/>
        <v>0</v>
      </c>
      <c r="K18" s="52">
        <f t="shared" si="2"/>
        <v>0</v>
      </c>
      <c r="L18" s="52">
        <v>0</v>
      </c>
      <c r="M18" s="52">
        <v>0</v>
      </c>
      <c r="N18" s="52">
        <v>0</v>
      </c>
      <c r="O18" s="52">
        <f t="shared" si="3"/>
        <v>0</v>
      </c>
      <c r="P18" s="52">
        <f t="shared" si="4"/>
        <v>0</v>
      </c>
      <c r="Q18" s="50">
        <f t="shared" si="5"/>
        <v>0</v>
      </c>
    </row>
    <row r="19" spans="1:17" ht="30">
      <c r="A19" s="16">
        <v>12</v>
      </c>
      <c r="B19" s="6" t="s">
        <v>91</v>
      </c>
      <c r="C19" s="52">
        <f>3.6*D19</f>
        <v>358.49520000000001</v>
      </c>
      <c r="D19" s="52">
        <f>'Spotřeby energie'!B11</f>
        <v>99.581999999999994</v>
      </c>
      <c r="E19" s="50">
        <f>D19*C23</f>
        <v>214.47064361207453</v>
      </c>
      <c r="G19" s="16">
        <v>12</v>
      </c>
      <c r="H19" s="19" t="s">
        <v>91</v>
      </c>
      <c r="I19" s="52">
        <f t="shared" si="0"/>
        <v>358.49520000000001</v>
      </c>
      <c r="J19" s="52">
        <f t="shared" si="1"/>
        <v>99.581999999999994</v>
      </c>
      <c r="K19" s="52">
        <f t="shared" si="2"/>
        <v>214.47064361207453</v>
      </c>
      <c r="L19" s="52">
        <f>M19*3.6</f>
        <v>232.97400000000002</v>
      </c>
      <c r="M19" s="52">
        <f>'LED světla'!D4</f>
        <v>64.715000000000003</v>
      </c>
      <c r="N19" s="52">
        <f>M19*C23</f>
        <v>139.37727401895327</v>
      </c>
      <c r="O19" s="52">
        <f t="shared" si="3"/>
        <v>125.52119999999999</v>
      </c>
      <c r="P19" s="52">
        <f t="shared" si="4"/>
        <v>34.86699999999999</v>
      </c>
      <c r="Q19" s="50">
        <f t="shared" si="5"/>
        <v>75.093369593121253</v>
      </c>
    </row>
    <row r="20" spans="1:17" ht="56.25" customHeight="1" thickBot="1">
      <c r="A20" s="17">
        <v>13</v>
      </c>
      <c r="B20" s="21" t="s">
        <v>92</v>
      </c>
      <c r="C20" s="53">
        <f>D20*3.6</f>
        <v>231.45000000000007</v>
      </c>
      <c r="D20" s="53">
        <f>'Spotřeby energie'!B14</f>
        <v>64.291666666666686</v>
      </c>
      <c r="E20" s="51">
        <f>D20*C23</f>
        <v>138.46553723457012</v>
      </c>
      <c r="G20" s="17">
        <v>13</v>
      </c>
      <c r="H20" s="20" t="s">
        <v>92</v>
      </c>
      <c r="I20" s="53">
        <f>C20</f>
        <v>231.45000000000007</v>
      </c>
      <c r="J20" s="53">
        <f>D20</f>
        <v>64.291666666666686</v>
      </c>
      <c r="K20" s="53">
        <f>E20</f>
        <v>138.46553723457012</v>
      </c>
      <c r="L20" s="53">
        <f>M20*3.6</f>
        <v>231.45000000000007</v>
      </c>
      <c r="M20" s="53">
        <f>J20</f>
        <v>64.291666666666686</v>
      </c>
      <c r="N20" s="53">
        <f>K20</f>
        <v>138.46553723457012</v>
      </c>
      <c r="O20" s="53">
        <f t="shared" si="3"/>
        <v>0</v>
      </c>
      <c r="P20" s="53">
        <f t="shared" si="4"/>
        <v>0</v>
      </c>
      <c r="Q20" s="51">
        <f t="shared" si="5"/>
        <v>0</v>
      </c>
    </row>
    <row r="21" spans="1:17" ht="15.75" thickBot="1"/>
    <row r="22" spans="1:17">
      <c r="B22" s="272" t="s">
        <v>156</v>
      </c>
      <c r="G22" s="612" t="s">
        <v>42</v>
      </c>
      <c r="H22" s="614" t="s">
        <v>79</v>
      </c>
      <c r="I22" s="616" t="s">
        <v>94</v>
      </c>
      <c r="J22" s="616"/>
      <c r="K22" s="616"/>
      <c r="L22" s="618" t="s">
        <v>213</v>
      </c>
      <c r="M22" s="619"/>
      <c r="N22" s="620"/>
      <c r="O22" s="610" t="s">
        <v>123</v>
      </c>
      <c r="P22" s="610"/>
      <c r="Q22" s="611"/>
    </row>
    <row r="23" spans="1:17">
      <c r="B23" s="272" t="s">
        <v>301</v>
      </c>
      <c r="C23">
        <f>'Energetické vstupy'!H6</f>
        <v>2.1537089394878044</v>
      </c>
      <c r="D23" t="s">
        <v>275</v>
      </c>
      <c r="G23" s="613"/>
      <c r="H23" s="615"/>
      <c r="I23" s="609" t="s">
        <v>5</v>
      </c>
      <c r="J23" s="609"/>
      <c r="K23" s="496" t="s">
        <v>6</v>
      </c>
      <c r="L23" s="609" t="s">
        <v>5</v>
      </c>
      <c r="M23" s="609"/>
      <c r="N23" s="496" t="s">
        <v>6</v>
      </c>
      <c r="O23" s="609" t="s">
        <v>5</v>
      </c>
      <c r="P23" s="609"/>
      <c r="Q23" s="497" t="s">
        <v>8</v>
      </c>
    </row>
    <row r="24" spans="1:17">
      <c r="B24" s="272" t="s">
        <v>302</v>
      </c>
      <c r="C24">
        <f>'Energetické vstupy'!H8</f>
        <v>1.7438392528371756</v>
      </c>
      <c r="D24" t="s">
        <v>275</v>
      </c>
      <c r="G24" s="613"/>
      <c r="H24" s="615"/>
      <c r="I24" s="496" t="s">
        <v>60</v>
      </c>
      <c r="J24" s="496" t="s">
        <v>75</v>
      </c>
      <c r="K24" s="496" t="s">
        <v>80</v>
      </c>
      <c r="L24" s="496" t="s">
        <v>60</v>
      </c>
      <c r="M24" s="496" t="s">
        <v>75</v>
      </c>
      <c r="N24" s="496" t="s">
        <v>80</v>
      </c>
      <c r="O24" s="496" t="s">
        <v>60</v>
      </c>
      <c r="P24" s="496" t="s">
        <v>75</v>
      </c>
      <c r="Q24" s="497" t="s">
        <v>80</v>
      </c>
    </row>
    <row r="25" spans="1:17">
      <c r="B25" s="272" t="s">
        <v>233</v>
      </c>
      <c r="G25" s="16">
        <v>1</v>
      </c>
      <c r="H25" s="19" t="s">
        <v>18</v>
      </c>
      <c r="I25" s="52">
        <f t="shared" ref="I25:I30" si="8">C6</f>
        <v>2970.8774035315032</v>
      </c>
      <c r="J25" s="52">
        <f t="shared" ref="J25:K25" si="9">D6</f>
        <v>825.24372320319526</v>
      </c>
      <c r="K25" s="52">
        <f t="shared" si="9"/>
        <v>1430.2459999999999</v>
      </c>
      <c r="L25" s="52">
        <f>M25*3.6</f>
        <v>2294.9179965428875</v>
      </c>
      <c r="M25" s="52">
        <f>'Energetické vstupy'!E36</f>
        <v>637.4772212619132</v>
      </c>
      <c r="N25" s="52">
        <f>'Energetické vstupy'!F36</f>
        <v>1088.5204771824172</v>
      </c>
      <c r="O25" s="52">
        <f>I25-L25</f>
        <v>675.95940698861568</v>
      </c>
      <c r="P25" s="52">
        <f>J25-M25</f>
        <v>187.76650194128206</v>
      </c>
      <c r="Q25" s="50">
        <f>K25-N25</f>
        <v>341.72552281758271</v>
      </c>
    </row>
    <row r="26" spans="1:17">
      <c r="B26" s="272" t="s">
        <v>301</v>
      </c>
      <c r="C26">
        <f>'Energetické vstupy'!F26/'Energetické vstupy'!E26</f>
        <v>2.1537089394878044</v>
      </c>
      <c r="D26" t="s">
        <v>275</v>
      </c>
      <c r="G26" s="16">
        <v>2</v>
      </c>
      <c r="H26" s="19" t="s">
        <v>81</v>
      </c>
      <c r="I26" s="52">
        <f t="shared" si="8"/>
        <v>0</v>
      </c>
      <c r="J26" s="52">
        <f t="shared" ref="J26:K30" si="10">D7</f>
        <v>0</v>
      </c>
      <c r="K26" s="52">
        <f t="shared" si="10"/>
        <v>0</v>
      </c>
      <c r="L26" s="52">
        <v>0</v>
      </c>
      <c r="M26" s="52">
        <v>0</v>
      </c>
      <c r="N26" s="52">
        <v>0</v>
      </c>
      <c r="O26" s="52">
        <f t="shared" ref="O26:O39" si="11">I26-L26</f>
        <v>0</v>
      </c>
      <c r="P26" s="52">
        <f t="shared" ref="P26:P39" si="12">J26-M26</f>
        <v>0</v>
      </c>
      <c r="Q26" s="50">
        <f t="shared" ref="Q26:Q39" si="13">K26-N26</f>
        <v>0</v>
      </c>
    </row>
    <row r="27" spans="1:17">
      <c r="B27" s="272" t="s">
        <v>302</v>
      </c>
      <c r="C27">
        <f>'Energetické vstupy'!F28/'Energetické vstupy'!E28</f>
        <v>1.7438392528371756</v>
      </c>
      <c r="D27" t="s">
        <v>275</v>
      </c>
      <c r="G27" s="16">
        <v>3</v>
      </c>
      <c r="H27" s="19" t="s">
        <v>83</v>
      </c>
      <c r="I27" s="52">
        <f t="shared" si="8"/>
        <v>2970.8774035315032</v>
      </c>
      <c r="J27" s="52">
        <f t="shared" si="10"/>
        <v>825.24372320319526</v>
      </c>
      <c r="K27" s="52">
        <f t="shared" si="10"/>
        <v>1430.2459999999999</v>
      </c>
      <c r="L27" s="52">
        <f>L25</f>
        <v>2294.9179965428875</v>
      </c>
      <c r="M27" s="52">
        <f>M25</f>
        <v>637.4772212619132</v>
      </c>
      <c r="N27" s="52">
        <f>N25</f>
        <v>1088.5204771824172</v>
      </c>
      <c r="O27" s="52">
        <f t="shared" si="11"/>
        <v>675.95940698861568</v>
      </c>
      <c r="P27" s="52">
        <f t="shared" si="12"/>
        <v>187.76650194128206</v>
      </c>
      <c r="Q27" s="50">
        <f t="shared" si="13"/>
        <v>341.72552281758271</v>
      </c>
    </row>
    <row r="28" spans="1:17">
      <c r="B28" s="272" t="s">
        <v>234</v>
      </c>
      <c r="G28" s="16">
        <v>4</v>
      </c>
      <c r="H28" s="19" t="s">
        <v>82</v>
      </c>
      <c r="I28" s="52">
        <f t="shared" si="8"/>
        <v>0</v>
      </c>
      <c r="J28" s="52">
        <f t="shared" si="10"/>
        <v>0</v>
      </c>
      <c r="K28" s="52">
        <f t="shared" si="10"/>
        <v>0</v>
      </c>
      <c r="L28" s="52">
        <v>0</v>
      </c>
      <c r="M28" s="52">
        <v>0</v>
      </c>
      <c r="N28" s="52">
        <v>0</v>
      </c>
      <c r="O28" s="52">
        <f t="shared" si="11"/>
        <v>0</v>
      </c>
      <c r="P28" s="52">
        <f t="shared" si="12"/>
        <v>0</v>
      </c>
      <c r="Q28" s="50">
        <f t="shared" si="13"/>
        <v>0</v>
      </c>
    </row>
    <row r="29" spans="1:17" ht="30">
      <c r="B29" s="272" t="s">
        <v>301</v>
      </c>
      <c r="C29">
        <f>'Energetické vstupy'!F33/'Energetické vstupy'!E33</f>
        <v>2.1537089394878044</v>
      </c>
      <c r="D29" t="s">
        <v>275</v>
      </c>
      <c r="G29" s="16">
        <v>5</v>
      </c>
      <c r="H29" s="19" t="s">
        <v>84</v>
      </c>
      <c r="I29" s="52">
        <f t="shared" si="8"/>
        <v>2970.8774035315032</v>
      </c>
      <c r="J29" s="52">
        <f t="shared" si="10"/>
        <v>825.24372320319526</v>
      </c>
      <c r="K29" s="52">
        <f t="shared" si="10"/>
        <v>1430.2459999999999</v>
      </c>
      <c r="L29" s="52">
        <f>L27-L28</f>
        <v>2294.9179965428875</v>
      </c>
      <c r="M29" s="52">
        <f t="shared" ref="M29" si="14">M27-M28</f>
        <v>637.4772212619132</v>
      </c>
      <c r="N29" s="52">
        <f t="shared" ref="N29" si="15">N27-N28</f>
        <v>1088.5204771824172</v>
      </c>
      <c r="O29" s="52">
        <f t="shared" si="11"/>
        <v>675.95940698861568</v>
      </c>
      <c r="P29" s="52">
        <f>J29-M29</f>
        <v>187.76650194128206</v>
      </c>
      <c r="Q29" s="50">
        <f t="shared" si="13"/>
        <v>341.72552281758271</v>
      </c>
    </row>
    <row r="30" spans="1:17" ht="30">
      <c r="B30" s="272" t="s">
        <v>302</v>
      </c>
      <c r="C30">
        <f>'Energetické vstupy'!F35/'Energetické vstupy'!E35</f>
        <v>1.7438392528371756</v>
      </c>
      <c r="D30" t="s">
        <v>275</v>
      </c>
      <c r="G30" s="16">
        <v>6</v>
      </c>
      <c r="H30" s="19" t="s">
        <v>85</v>
      </c>
      <c r="I30" s="52">
        <f t="shared" si="8"/>
        <v>0</v>
      </c>
      <c r="J30" s="52">
        <f t="shared" si="10"/>
        <v>0</v>
      </c>
      <c r="K30" s="52">
        <f t="shared" si="10"/>
        <v>0</v>
      </c>
      <c r="L30" s="52">
        <f>L29-SUM(L33:L39)</f>
        <v>0</v>
      </c>
      <c r="M30" s="52">
        <f>M29-SUM(M33:M39)</f>
        <v>0</v>
      </c>
      <c r="N30" s="52">
        <f>N29-SUM(N33:N39)</f>
        <v>0</v>
      </c>
      <c r="O30" s="52">
        <f t="shared" si="11"/>
        <v>0</v>
      </c>
      <c r="P30" s="52">
        <f t="shared" si="12"/>
        <v>0</v>
      </c>
      <c r="Q30" s="50">
        <f>K30-N30</f>
        <v>0</v>
      </c>
    </row>
    <row r="31" spans="1:17">
      <c r="B31" s="272"/>
      <c r="G31" s="16" t="s">
        <v>314</v>
      </c>
      <c r="H31" s="6" t="s">
        <v>316</v>
      </c>
      <c r="I31" s="52">
        <f>I12</f>
        <v>0</v>
      </c>
      <c r="J31" s="52">
        <f t="shared" ref="J31:K31" si="16">J12</f>
        <v>0</v>
      </c>
      <c r="K31" s="52">
        <f t="shared" si="16"/>
        <v>0</v>
      </c>
      <c r="L31" s="52">
        <v>0</v>
      </c>
      <c r="M31" s="52">
        <f>L31/3.6</f>
        <v>0</v>
      </c>
      <c r="N31" s="52">
        <v>0</v>
      </c>
      <c r="O31" s="52">
        <f>I31-L31</f>
        <v>0</v>
      </c>
      <c r="P31" s="52">
        <f t="shared" si="12"/>
        <v>0</v>
      </c>
      <c r="Q31" s="50">
        <f t="shared" ref="Q31:Q32" si="17">K31-N31</f>
        <v>0</v>
      </c>
    </row>
    <row r="32" spans="1:17">
      <c r="B32" s="272"/>
      <c r="G32" s="16" t="s">
        <v>315</v>
      </c>
      <c r="H32" s="6" t="s">
        <v>317</v>
      </c>
      <c r="I32" s="52">
        <f>I13</f>
        <v>0</v>
      </c>
      <c r="J32" s="52">
        <f t="shared" ref="J32:K32" si="18">J13</f>
        <v>0</v>
      </c>
      <c r="K32" s="52">
        <f t="shared" si="18"/>
        <v>0</v>
      </c>
      <c r="L32" s="52">
        <f>'Výpočet spotřeby tepla'!E65-'Výpočet spotřeby tepla'!E61</f>
        <v>0</v>
      </c>
      <c r="M32" s="52">
        <f>L32/3.6</f>
        <v>0</v>
      </c>
      <c r="N32" s="52">
        <f>M32*C30</f>
        <v>0</v>
      </c>
      <c r="O32" s="52">
        <f>I32-L32</f>
        <v>0</v>
      </c>
      <c r="P32" s="52">
        <f t="shared" si="12"/>
        <v>0</v>
      </c>
      <c r="Q32" s="50">
        <f t="shared" si="17"/>
        <v>0</v>
      </c>
    </row>
    <row r="33" spans="1:17" ht="30">
      <c r="A33" s="290"/>
      <c r="B33" s="291"/>
      <c r="C33" s="65"/>
      <c r="D33" s="65"/>
      <c r="E33" s="65"/>
      <c r="G33" s="16">
        <v>7</v>
      </c>
      <c r="H33" s="19" t="s">
        <v>86</v>
      </c>
      <c r="I33" s="52">
        <f t="shared" ref="I33:I39" si="19">C14</f>
        <v>1801.0082035315031</v>
      </c>
      <c r="J33" s="52">
        <f t="shared" ref="J33:J39" si="20">D14</f>
        <v>500.2800565365286</v>
      </c>
      <c r="K33" s="52">
        <f t="shared" ref="K33:K39" si="21">E14</f>
        <v>872.40800000000002</v>
      </c>
      <c r="L33" s="52">
        <f>M33*3.6</f>
        <v>1250.5699965428876</v>
      </c>
      <c r="M33" s="52">
        <f>'Výpočet spotřeby tepla'!E61/3.6</f>
        <v>347.38055459524656</v>
      </c>
      <c r="N33" s="52">
        <f>C30*M33</f>
        <v>605.77584677553841</v>
      </c>
      <c r="O33" s="52">
        <f t="shared" si="11"/>
        <v>550.43820698861555</v>
      </c>
      <c r="P33" s="52">
        <f t="shared" si="12"/>
        <v>152.89950194128204</v>
      </c>
      <c r="Q33" s="50">
        <f t="shared" si="13"/>
        <v>266.6321532244616</v>
      </c>
    </row>
    <row r="34" spans="1:17">
      <c r="G34" s="16">
        <v>8</v>
      </c>
      <c r="H34" s="19" t="s">
        <v>87</v>
      </c>
      <c r="I34" s="52">
        <f t="shared" si="19"/>
        <v>229.608</v>
      </c>
      <c r="J34" s="52">
        <f t="shared" si="20"/>
        <v>63.78</v>
      </c>
      <c r="K34" s="52">
        <f t="shared" si="21"/>
        <v>137.36355616053217</v>
      </c>
      <c r="L34" s="52">
        <f>M34*3.6</f>
        <v>229.608</v>
      </c>
      <c r="M34" s="52">
        <f>J34</f>
        <v>63.78</v>
      </c>
      <c r="N34" s="52">
        <f>M34*C23</f>
        <v>137.36355616053217</v>
      </c>
      <c r="O34" s="52">
        <f t="shared" si="11"/>
        <v>0</v>
      </c>
      <c r="P34" s="52">
        <f t="shared" si="12"/>
        <v>0</v>
      </c>
      <c r="Q34" s="50">
        <f t="shared" si="13"/>
        <v>0</v>
      </c>
    </row>
    <row r="35" spans="1:17" ht="30">
      <c r="G35" s="16">
        <v>9</v>
      </c>
      <c r="H35" s="19" t="s">
        <v>88</v>
      </c>
      <c r="I35" s="52">
        <f t="shared" si="19"/>
        <v>335.01600000000002</v>
      </c>
      <c r="J35" s="52">
        <f t="shared" si="20"/>
        <v>93.06</v>
      </c>
      <c r="K35" s="52">
        <f t="shared" si="21"/>
        <v>58.384999999999998</v>
      </c>
      <c r="L35" s="52">
        <f>M35*3.6</f>
        <v>335.01600000000002</v>
      </c>
      <c r="M35" s="52">
        <f>J35</f>
        <v>93.06</v>
      </c>
      <c r="N35" s="52">
        <f>K35</f>
        <v>58.384999999999998</v>
      </c>
      <c r="O35" s="52">
        <f t="shared" si="11"/>
        <v>0</v>
      </c>
      <c r="P35" s="52">
        <f t="shared" si="12"/>
        <v>0</v>
      </c>
      <c r="Q35" s="50">
        <f t="shared" si="13"/>
        <v>0</v>
      </c>
    </row>
    <row r="36" spans="1:17" ht="15.75" thickBot="1">
      <c r="G36" s="16">
        <v>10</v>
      </c>
      <c r="H36" s="19" t="s">
        <v>89</v>
      </c>
      <c r="I36" s="52">
        <f t="shared" si="19"/>
        <v>15.3</v>
      </c>
      <c r="J36" s="52">
        <f t="shared" si="20"/>
        <v>4.25</v>
      </c>
      <c r="K36" s="52">
        <f t="shared" si="21"/>
        <v>9.1532629928231692</v>
      </c>
      <c r="L36" s="52">
        <f>M36*3.6</f>
        <v>15.3</v>
      </c>
      <c r="M36" s="53">
        <f>J36</f>
        <v>4.25</v>
      </c>
      <c r="N36" s="53">
        <f>C23*M36</f>
        <v>9.1532629928231692</v>
      </c>
      <c r="O36" s="52">
        <f t="shared" si="11"/>
        <v>0</v>
      </c>
      <c r="P36" s="52">
        <f t="shared" si="12"/>
        <v>0</v>
      </c>
      <c r="Q36" s="50">
        <f t="shared" si="13"/>
        <v>0</v>
      </c>
    </row>
    <row r="37" spans="1:17" ht="30">
      <c r="G37" s="16">
        <v>11</v>
      </c>
      <c r="H37" s="19" t="s">
        <v>90</v>
      </c>
      <c r="I37" s="52">
        <f t="shared" si="19"/>
        <v>0</v>
      </c>
      <c r="J37" s="52">
        <f t="shared" si="20"/>
        <v>0</v>
      </c>
      <c r="K37" s="52">
        <f t="shared" si="21"/>
        <v>0</v>
      </c>
      <c r="L37" s="52">
        <v>0</v>
      </c>
      <c r="M37" s="52">
        <v>0</v>
      </c>
      <c r="N37" s="52">
        <v>0</v>
      </c>
      <c r="O37" s="52">
        <f t="shared" si="11"/>
        <v>0</v>
      </c>
      <c r="P37" s="52">
        <f t="shared" si="12"/>
        <v>0</v>
      </c>
      <c r="Q37" s="50">
        <f t="shared" si="13"/>
        <v>0</v>
      </c>
    </row>
    <row r="38" spans="1:17" ht="30">
      <c r="G38" s="16">
        <v>12</v>
      </c>
      <c r="H38" s="19" t="s">
        <v>91</v>
      </c>
      <c r="I38" s="52">
        <f t="shared" si="19"/>
        <v>358.49520000000001</v>
      </c>
      <c r="J38" s="52">
        <f t="shared" si="20"/>
        <v>99.581999999999994</v>
      </c>
      <c r="K38" s="52">
        <f t="shared" si="21"/>
        <v>214.47064361207453</v>
      </c>
      <c r="L38" s="52">
        <f>M38*3.6</f>
        <v>232.97400000000002</v>
      </c>
      <c r="M38" s="52">
        <f>'LED světla'!D4</f>
        <v>64.715000000000003</v>
      </c>
      <c r="N38" s="52">
        <f>M38*C29</f>
        <v>139.37727401895327</v>
      </c>
      <c r="O38" s="52">
        <f>I38-L38</f>
        <v>125.52119999999999</v>
      </c>
      <c r="P38" s="52">
        <f t="shared" si="12"/>
        <v>34.86699999999999</v>
      </c>
      <c r="Q38" s="50">
        <f t="shared" si="13"/>
        <v>75.093369593121253</v>
      </c>
    </row>
    <row r="39" spans="1:17" ht="30.75" thickBot="1">
      <c r="G39" s="17">
        <v>13</v>
      </c>
      <c r="H39" s="20" t="s">
        <v>92</v>
      </c>
      <c r="I39" s="53">
        <f t="shared" si="19"/>
        <v>231.45000000000007</v>
      </c>
      <c r="J39" s="53">
        <f t="shared" si="20"/>
        <v>64.291666666666686</v>
      </c>
      <c r="K39" s="53">
        <f t="shared" si="21"/>
        <v>138.46553723457012</v>
      </c>
      <c r="L39" s="53">
        <f>J39*3.6</f>
        <v>231.45000000000007</v>
      </c>
      <c r="M39" s="53">
        <f>L39/3.6</f>
        <v>64.291666666666686</v>
      </c>
      <c r="N39" s="53">
        <f>M39*C23</f>
        <v>138.46553723457012</v>
      </c>
      <c r="O39" s="53">
        <f t="shared" si="11"/>
        <v>0</v>
      </c>
      <c r="P39" s="53">
        <f t="shared" si="12"/>
        <v>0</v>
      </c>
      <c r="Q39" s="51">
        <f t="shared" si="13"/>
        <v>0</v>
      </c>
    </row>
    <row r="40" spans="1:17" ht="15.75" thickBot="1"/>
    <row r="41" spans="1:17">
      <c r="G41" s="598" t="s">
        <v>42</v>
      </c>
      <c r="H41" s="600" t="s">
        <v>79</v>
      </c>
      <c r="I41" s="602" t="s">
        <v>214</v>
      </c>
      <c r="J41" s="602"/>
      <c r="K41" s="602"/>
      <c r="L41" s="603" t="s">
        <v>213</v>
      </c>
      <c r="M41" s="604"/>
      <c r="N41" s="605"/>
      <c r="O41" s="606" t="s">
        <v>123</v>
      </c>
      <c r="P41" s="606"/>
      <c r="Q41" s="607"/>
    </row>
    <row r="42" spans="1:17">
      <c r="G42" s="599"/>
      <c r="H42" s="601"/>
      <c r="I42" s="608" t="s">
        <v>5</v>
      </c>
      <c r="J42" s="608"/>
      <c r="K42" s="399" t="s">
        <v>6</v>
      </c>
      <c r="L42" s="608" t="s">
        <v>5</v>
      </c>
      <c r="M42" s="608"/>
      <c r="N42" s="399" t="s">
        <v>6</v>
      </c>
      <c r="O42" s="608" t="s">
        <v>5</v>
      </c>
      <c r="P42" s="608"/>
      <c r="Q42" s="400" t="s">
        <v>8</v>
      </c>
    </row>
    <row r="43" spans="1:17">
      <c r="G43" s="599"/>
      <c r="H43" s="601"/>
      <c r="I43" s="399" t="s">
        <v>60</v>
      </c>
      <c r="J43" s="399" t="s">
        <v>75</v>
      </c>
      <c r="K43" s="399" t="s">
        <v>80</v>
      </c>
      <c r="L43" s="399" t="s">
        <v>60</v>
      </c>
      <c r="M43" s="399" t="s">
        <v>75</v>
      </c>
      <c r="N43" s="399" t="s">
        <v>80</v>
      </c>
      <c r="O43" s="399" t="s">
        <v>60</v>
      </c>
      <c r="P43" s="399" t="s">
        <v>75</v>
      </c>
      <c r="Q43" s="400" t="s">
        <v>80</v>
      </c>
    </row>
    <row r="44" spans="1:17">
      <c r="G44" s="164">
        <v>1</v>
      </c>
      <c r="H44" s="499" t="s">
        <v>18</v>
      </c>
      <c r="I44" s="141">
        <f t="shared" ref="I44:I51" si="22">L6</f>
        <v>2574.0484761235421</v>
      </c>
      <c r="J44" s="141">
        <f t="shared" ref="J44:K44" si="23">M6</f>
        <v>715.01346558987279</v>
      </c>
      <c r="K44" s="141">
        <f t="shared" si="23"/>
        <v>1223.7312235590869</v>
      </c>
      <c r="L44" s="141">
        <f>L25</f>
        <v>2294.9179965428875</v>
      </c>
      <c r="M44" s="141">
        <f t="shared" ref="M44:N44" si="24">M25</f>
        <v>637.4772212619132</v>
      </c>
      <c r="N44" s="141">
        <f t="shared" si="24"/>
        <v>1088.5204771824172</v>
      </c>
      <c r="O44" s="141">
        <f>I44-L44</f>
        <v>279.13047958065454</v>
      </c>
      <c r="P44" s="141">
        <f>J44-M44</f>
        <v>77.536244327959594</v>
      </c>
      <c r="Q44" s="133">
        <f>K44-N44</f>
        <v>135.2107463766697</v>
      </c>
    </row>
    <row r="45" spans="1:17">
      <c r="G45" s="164">
        <v>2</v>
      </c>
      <c r="H45" s="499" t="s">
        <v>81</v>
      </c>
      <c r="I45" s="141">
        <f t="shared" si="22"/>
        <v>0</v>
      </c>
      <c r="J45" s="141">
        <f t="shared" ref="J45:K49" si="25">M7</f>
        <v>0</v>
      </c>
      <c r="K45" s="141">
        <f t="shared" si="25"/>
        <v>0</v>
      </c>
      <c r="L45" s="141">
        <f t="shared" ref="L45:N45" si="26">L26</f>
        <v>0</v>
      </c>
      <c r="M45" s="141">
        <f t="shared" si="26"/>
        <v>0</v>
      </c>
      <c r="N45" s="141">
        <f t="shared" si="26"/>
        <v>0</v>
      </c>
      <c r="O45" s="141">
        <f t="shared" ref="O45:O58" si="27">I45-L45</f>
        <v>0</v>
      </c>
      <c r="P45" s="141">
        <f t="shared" ref="P45:P58" si="28">J45-M45</f>
        <v>0</v>
      </c>
      <c r="Q45" s="133">
        <f t="shared" ref="Q45:Q58" si="29">K45-N45</f>
        <v>0</v>
      </c>
    </row>
    <row r="46" spans="1:17">
      <c r="G46" s="164">
        <v>3</v>
      </c>
      <c r="H46" s="499" t="s">
        <v>83</v>
      </c>
      <c r="I46" s="141">
        <f t="shared" si="22"/>
        <v>2574.0484761235421</v>
      </c>
      <c r="J46" s="141">
        <f t="shared" si="25"/>
        <v>715.01346558987279</v>
      </c>
      <c r="K46" s="141">
        <f t="shared" si="25"/>
        <v>1223.7312235590869</v>
      </c>
      <c r="L46" s="141">
        <f t="shared" ref="L46:N46" si="30">L27</f>
        <v>2294.9179965428875</v>
      </c>
      <c r="M46" s="141">
        <f t="shared" si="30"/>
        <v>637.4772212619132</v>
      </c>
      <c r="N46" s="141">
        <f t="shared" si="30"/>
        <v>1088.5204771824172</v>
      </c>
      <c r="O46" s="141">
        <f t="shared" si="27"/>
        <v>279.13047958065454</v>
      </c>
      <c r="P46" s="141">
        <f t="shared" si="28"/>
        <v>77.536244327959594</v>
      </c>
      <c r="Q46" s="133">
        <f t="shared" si="29"/>
        <v>135.2107463766697</v>
      </c>
    </row>
    <row r="47" spans="1:17">
      <c r="G47" s="164">
        <v>4</v>
      </c>
      <c r="H47" s="499" t="s">
        <v>82</v>
      </c>
      <c r="I47" s="141">
        <f t="shared" si="22"/>
        <v>0</v>
      </c>
      <c r="J47" s="141">
        <f t="shared" si="25"/>
        <v>0</v>
      </c>
      <c r="K47" s="141">
        <f t="shared" si="25"/>
        <v>0</v>
      </c>
      <c r="L47" s="141">
        <f t="shared" ref="L47:N47" si="31">L28</f>
        <v>0</v>
      </c>
      <c r="M47" s="141">
        <f t="shared" si="31"/>
        <v>0</v>
      </c>
      <c r="N47" s="141">
        <f t="shared" si="31"/>
        <v>0</v>
      </c>
      <c r="O47" s="141">
        <f t="shared" si="27"/>
        <v>0</v>
      </c>
      <c r="P47" s="141">
        <f t="shared" si="28"/>
        <v>0</v>
      </c>
      <c r="Q47" s="133">
        <f t="shared" si="29"/>
        <v>0</v>
      </c>
    </row>
    <row r="48" spans="1:17" ht="30">
      <c r="G48" s="164">
        <v>5</v>
      </c>
      <c r="H48" s="499" t="s">
        <v>84</v>
      </c>
      <c r="I48" s="141">
        <f t="shared" si="22"/>
        <v>2574.0484761235421</v>
      </c>
      <c r="J48" s="141">
        <f t="shared" si="25"/>
        <v>715.01346558987279</v>
      </c>
      <c r="K48" s="141">
        <f t="shared" si="25"/>
        <v>1223.7312235590869</v>
      </c>
      <c r="L48" s="141">
        <f t="shared" ref="L48:N48" si="32">L29</f>
        <v>2294.9179965428875</v>
      </c>
      <c r="M48" s="141">
        <f t="shared" si="32"/>
        <v>637.4772212619132</v>
      </c>
      <c r="N48" s="141">
        <f t="shared" si="32"/>
        <v>1088.5204771824172</v>
      </c>
      <c r="O48" s="141">
        <f t="shared" si="27"/>
        <v>279.13047958065454</v>
      </c>
      <c r="P48" s="141">
        <f t="shared" si="28"/>
        <v>77.536244327959594</v>
      </c>
      <c r="Q48" s="133">
        <f t="shared" si="29"/>
        <v>135.2107463766697</v>
      </c>
    </row>
    <row r="49" spans="7:17" ht="30">
      <c r="G49" s="164">
        <v>6</v>
      </c>
      <c r="H49" s="499" t="s">
        <v>85</v>
      </c>
      <c r="I49" s="141">
        <f t="shared" si="22"/>
        <v>0</v>
      </c>
      <c r="J49" s="141">
        <f t="shared" si="25"/>
        <v>0</v>
      </c>
      <c r="K49" s="141">
        <f t="shared" si="25"/>
        <v>0</v>
      </c>
      <c r="L49" s="141">
        <f>L30</f>
        <v>0</v>
      </c>
      <c r="M49" s="141">
        <f>M30</f>
        <v>0</v>
      </c>
      <c r="N49" s="141">
        <f>N30</f>
        <v>0</v>
      </c>
      <c r="O49" s="141">
        <f t="shared" si="27"/>
        <v>0</v>
      </c>
      <c r="P49" s="141">
        <f t="shared" si="28"/>
        <v>0</v>
      </c>
      <c r="Q49" s="133">
        <f t="shared" si="29"/>
        <v>0</v>
      </c>
    </row>
    <row r="50" spans="7:17">
      <c r="G50" s="164" t="s">
        <v>314</v>
      </c>
      <c r="H50" s="500" t="s">
        <v>316</v>
      </c>
      <c r="I50" s="141">
        <f t="shared" si="22"/>
        <v>0</v>
      </c>
      <c r="J50" s="141">
        <f t="shared" ref="J50:K50" si="33">M12</f>
        <v>0</v>
      </c>
      <c r="K50" s="141">
        <f t="shared" si="33"/>
        <v>0</v>
      </c>
      <c r="L50" s="141">
        <f>L31</f>
        <v>0</v>
      </c>
      <c r="M50" s="141">
        <f t="shared" ref="M50:N51" si="34">M31</f>
        <v>0</v>
      </c>
      <c r="N50" s="141">
        <f t="shared" si="34"/>
        <v>0</v>
      </c>
      <c r="O50" s="141">
        <f>I50-L50</f>
        <v>0</v>
      </c>
      <c r="P50" s="141">
        <f t="shared" si="28"/>
        <v>0</v>
      </c>
      <c r="Q50" s="133">
        <f t="shared" si="29"/>
        <v>0</v>
      </c>
    </row>
    <row r="51" spans="7:17">
      <c r="G51" s="164" t="s">
        <v>315</v>
      </c>
      <c r="H51" s="500" t="s">
        <v>317</v>
      </c>
      <c r="I51" s="141">
        <f t="shared" si="22"/>
        <v>0</v>
      </c>
      <c r="J51" s="141">
        <f t="shared" ref="J51" si="35">M13</f>
        <v>0</v>
      </c>
      <c r="K51" s="141">
        <f t="shared" ref="K51" si="36">N13</f>
        <v>0</v>
      </c>
      <c r="L51" s="141">
        <f>L32</f>
        <v>0</v>
      </c>
      <c r="M51" s="141">
        <f t="shared" si="34"/>
        <v>0</v>
      </c>
      <c r="N51" s="141">
        <f t="shared" si="34"/>
        <v>0</v>
      </c>
      <c r="O51" s="141">
        <f>I51-L51</f>
        <v>0</v>
      </c>
      <c r="P51" s="141">
        <f t="shared" ref="P51" si="37">J51-M51</f>
        <v>0</v>
      </c>
      <c r="Q51" s="133">
        <f t="shared" ref="Q51" si="38">K51-N51</f>
        <v>0</v>
      </c>
    </row>
    <row r="52" spans="7:17" ht="30">
      <c r="G52" s="164">
        <v>7</v>
      </c>
      <c r="H52" s="499" t="s">
        <v>86</v>
      </c>
      <c r="I52" s="141">
        <f t="shared" ref="I52:I58" si="39">L14</f>
        <v>1529.7004761235421</v>
      </c>
      <c r="J52" s="141">
        <f t="shared" ref="J52:J58" si="40">M14</f>
        <v>424.9167989232061</v>
      </c>
      <c r="K52" s="141">
        <f t="shared" ref="K52:K58" si="41">N14</f>
        <v>740.98659315220812</v>
      </c>
      <c r="L52" s="141">
        <f t="shared" ref="L52:N52" si="42">L33</f>
        <v>1250.5699965428876</v>
      </c>
      <c r="M52" s="141">
        <f t="shared" si="42"/>
        <v>347.38055459524656</v>
      </c>
      <c r="N52" s="141">
        <f t="shared" si="42"/>
        <v>605.77584677553841</v>
      </c>
      <c r="O52" s="141">
        <f t="shared" si="27"/>
        <v>279.13047958065454</v>
      </c>
      <c r="P52" s="141">
        <f t="shared" si="28"/>
        <v>77.536244327959537</v>
      </c>
      <c r="Q52" s="133">
        <f t="shared" si="29"/>
        <v>135.2107463766697</v>
      </c>
    </row>
    <row r="53" spans="7:17">
      <c r="G53" s="164">
        <v>8</v>
      </c>
      <c r="H53" s="499" t="s">
        <v>87</v>
      </c>
      <c r="I53" s="141">
        <f t="shared" si="39"/>
        <v>229.608</v>
      </c>
      <c r="J53" s="141">
        <f t="shared" si="40"/>
        <v>63.78</v>
      </c>
      <c r="K53" s="141">
        <f t="shared" si="41"/>
        <v>137.36355616053217</v>
      </c>
      <c r="L53" s="141">
        <f t="shared" ref="L53:N53" si="43">L34</f>
        <v>229.608</v>
      </c>
      <c r="M53" s="141">
        <f t="shared" si="43"/>
        <v>63.78</v>
      </c>
      <c r="N53" s="141">
        <f t="shared" si="43"/>
        <v>137.36355616053217</v>
      </c>
      <c r="O53" s="141">
        <f t="shared" si="27"/>
        <v>0</v>
      </c>
      <c r="P53" s="141">
        <f t="shared" si="28"/>
        <v>0</v>
      </c>
      <c r="Q53" s="133">
        <f t="shared" si="29"/>
        <v>0</v>
      </c>
    </row>
    <row r="54" spans="7:17" ht="30">
      <c r="G54" s="164">
        <v>9</v>
      </c>
      <c r="H54" s="499" t="s">
        <v>88</v>
      </c>
      <c r="I54" s="141">
        <f t="shared" si="39"/>
        <v>335.01600000000002</v>
      </c>
      <c r="J54" s="141">
        <f t="shared" si="40"/>
        <v>93.06</v>
      </c>
      <c r="K54" s="141">
        <f t="shared" si="41"/>
        <v>58.384999999999998</v>
      </c>
      <c r="L54" s="141">
        <f t="shared" ref="L54:N54" si="44">L35</f>
        <v>335.01600000000002</v>
      </c>
      <c r="M54" s="141">
        <f t="shared" si="44"/>
        <v>93.06</v>
      </c>
      <c r="N54" s="141">
        <f t="shared" si="44"/>
        <v>58.384999999999998</v>
      </c>
      <c r="O54" s="141">
        <f t="shared" si="27"/>
        <v>0</v>
      </c>
      <c r="P54" s="141">
        <f t="shared" si="28"/>
        <v>0</v>
      </c>
      <c r="Q54" s="133">
        <f t="shared" si="29"/>
        <v>0</v>
      </c>
    </row>
    <row r="55" spans="7:17">
      <c r="G55" s="164">
        <v>10</v>
      </c>
      <c r="H55" s="499" t="s">
        <v>89</v>
      </c>
      <c r="I55" s="141">
        <f t="shared" si="39"/>
        <v>15.3</v>
      </c>
      <c r="J55" s="141">
        <f t="shared" si="40"/>
        <v>4.25</v>
      </c>
      <c r="K55" s="141">
        <f t="shared" si="41"/>
        <v>9.1532629928231692</v>
      </c>
      <c r="L55" s="141">
        <f t="shared" ref="L55:N55" si="45">L36</f>
        <v>15.3</v>
      </c>
      <c r="M55" s="141">
        <f t="shared" si="45"/>
        <v>4.25</v>
      </c>
      <c r="N55" s="141">
        <f t="shared" si="45"/>
        <v>9.1532629928231692</v>
      </c>
      <c r="O55" s="141">
        <f t="shared" si="27"/>
        <v>0</v>
      </c>
      <c r="P55" s="141">
        <f t="shared" si="28"/>
        <v>0</v>
      </c>
      <c r="Q55" s="133">
        <f t="shared" si="29"/>
        <v>0</v>
      </c>
    </row>
    <row r="56" spans="7:17" ht="30">
      <c r="G56" s="164">
        <v>11</v>
      </c>
      <c r="H56" s="499" t="s">
        <v>90</v>
      </c>
      <c r="I56" s="141">
        <f t="shared" si="39"/>
        <v>0</v>
      </c>
      <c r="J56" s="141">
        <f t="shared" si="40"/>
        <v>0</v>
      </c>
      <c r="K56" s="141">
        <f t="shared" si="41"/>
        <v>0</v>
      </c>
      <c r="L56" s="141">
        <f t="shared" ref="L56:N56" si="46">L37</f>
        <v>0</v>
      </c>
      <c r="M56" s="141">
        <f t="shared" si="46"/>
        <v>0</v>
      </c>
      <c r="N56" s="141">
        <f t="shared" si="46"/>
        <v>0</v>
      </c>
      <c r="O56" s="141">
        <f t="shared" si="27"/>
        <v>0</v>
      </c>
      <c r="P56" s="141">
        <f t="shared" si="28"/>
        <v>0</v>
      </c>
      <c r="Q56" s="133">
        <f t="shared" si="29"/>
        <v>0</v>
      </c>
    </row>
    <row r="57" spans="7:17" ht="30">
      <c r="G57" s="164">
        <v>12</v>
      </c>
      <c r="H57" s="499" t="s">
        <v>91</v>
      </c>
      <c r="I57" s="141">
        <f t="shared" si="39"/>
        <v>232.97400000000002</v>
      </c>
      <c r="J57" s="141">
        <f t="shared" si="40"/>
        <v>64.715000000000003</v>
      </c>
      <c r="K57" s="141">
        <f t="shared" si="41"/>
        <v>139.37727401895327</v>
      </c>
      <c r="L57" s="141">
        <f t="shared" ref="L57:N57" si="47">L38</f>
        <v>232.97400000000002</v>
      </c>
      <c r="M57" s="141">
        <f t="shared" si="47"/>
        <v>64.715000000000003</v>
      </c>
      <c r="N57" s="141">
        <f t="shared" si="47"/>
        <v>139.37727401895327</v>
      </c>
      <c r="O57" s="141">
        <f t="shared" si="27"/>
        <v>0</v>
      </c>
      <c r="P57" s="141">
        <f t="shared" si="28"/>
        <v>0</v>
      </c>
      <c r="Q57" s="133">
        <f t="shared" si="29"/>
        <v>0</v>
      </c>
    </row>
    <row r="58" spans="7:17" ht="30.75" thickBot="1">
      <c r="G58" s="323">
        <v>13</v>
      </c>
      <c r="H58" s="501" t="s">
        <v>92</v>
      </c>
      <c r="I58" s="143">
        <f t="shared" si="39"/>
        <v>231.45000000000007</v>
      </c>
      <c r="J58" s="143">
        <f t="shared" si="40"/>
        <v>64.291666666666686</v>
      </c>
      <c r="K58" s="143">
        <f t="shared" si="41"/>
        <v>138.46553723457012</v>
      </c>
      <c r="L58" s="143">
        <f t="shared" ref="L58:N58" si="48">L39</f>
        <v>231.45000000000007</v>
      </c>
      <c r="M58" s="143">
        <f t="shared" si="48"/>
        <v>64.291666666666686</v>
      </c>
      <c r="N58" s="143">
        <f t="shared" si="48"/>
        <v>138.46553723457012</v>
      </c>
      <c r="O58" s="143">
        <f t="shared" si="27"/>
        <v>0</v>
      </c>
      <c r="P58" s="143">
        <f t="shared" si="28"/>
        <v>0</v>
      </c>
      <c r="Q58" s="144">
        <f t="shared" si="29"/>
        <v>0</v>
      </c>
    </row>
  </sheetData>
  <mergeCells count="27">
    <mergeCell ref="A4:A5"/>
    <mergeCell ref="B4:B5"/>
    <mergeCell ref="C4:D4"/>
    <mergeCell ref="I4:J4"/>
    <mergeCell ref="L4:M4"/>
    <mergeCell ref="G3:G5"/>
    <mergeCell ref="H3:H5"/>
    <mergeCell ref="I3:K3"/>
    <mergeCell ref="O4:P4"/>
    <mergeCell ref="O3:Q3"/>
    <mergeCell ref="G22:G24"/>
    <mergeCell ref="H22:H24"/>
    <mergeCell ref="I22:K22"/>
    <mergeCell ref="O22:Q22"/>
    <mergeCell ref="I23:J23"/>
    <mergeCell ref="L23:M23"/>
    <mergeCell ref="O23:P23"/>
    <mergeCell ref="L3:N3"/>
    <mergeCell ref="L22:N22"/>
    <mergeCell ref="G41:G43"/>
    <mergeCell ref="H41:H43"/>
    <mergeCell ref="I41:K41"/>
    <mergeCell ref="L41:N41"/>
    <mergeCell ref="O41:Q41"/>
    <mergeCell ref="I42:J42"/>
    <mergeCell ref="L42:M42"/>
    <mergeCell ref="O42:P4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163"/>
  <sheetViews>
    <sheetView zoomScale="85" zoomScaleNormal="85" workbookViewId="0">
      <selection activeCell="B26" sqref="B26"/>
    </sheetView>
  </sheetViews>
  <sheetFormatPr defaultRowHeight="15"/>
  <cols>
    <col min="1" max="1" width="48.5703125" bestFit="1" customWidth="1"/>
    <col min="3" max="3" width="9.42578125" bestFit="1" customWidth="1"/>
    <col min="4" max="4" width="10" bestFit="1" customWidth="1"/>
    <col min="6" max="6" width="31.28515625" bestFit="1" customWidth="1"/>
    <col min="7" max="7" width="12" bestFit="1" customWidth="1"/>
    <col min="9" max="9" width="9.7109375" customWidth="1"/>
    <col min="10" max="10" width="14.140625" bestFit="1" customWidth="1"/>
    <col min="11" max="11" width="11.85546875" bestFit="1" customWidth="1"/>
  </cols>
  <sheetData>
    <row r="1" spans="1:21" ht="18.75">
      <c r="A1" s="4" t="s">
        <v>95</v>
      </c>
    </row>
    <row r="2" spans="1:21" ht="18.75">
      <c r="A2" s="4"/>
    </row>
    <row r="3" spans="1:21" ht="15.75" thickBot="1">
      <c r="A3" t="s">
        <v>116</v>
      </c>
      <c r="F3" t="s">
        <v>303</v>
      </c>
      <c r="H3" s="502">
        <f>'Energetická bilance'!O27-H24</f>
        <v>550.43820698861578</v>
      </c>
      <c r="I3" s="502">
        <f>'Energetická bilance'!Q25-I24</f>
        <v>266.63215322446149</v>
      </c>
      <c r="K3">
        <f>SUM(K6:K9)</f>
        <v>1796.1999999999998</v>
      </c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>
      <c r="A4" s="503" t="s">
        <v>96</v>
      </c>
      <c r="B4" s="504" t="s">
        <v>33</v>
      </c>
      <c r="C4" s="504" t="s">
        <v>97</v>
      </c>
      <c r="D4" s="505" t="s">
        <v>98</v>
      </c>
      <c r="F4" s="627" t="s">
        <v>238</v>
      </c>
      <c r="G4" s="506" t="s">
        <v>239</v>
      </c>
      <c r="H4" s="629" t="s">
        <v>240</v>
      </c>
      <c r="I4" s="629"/>
      <c r="J4" s="507" t="s">
        <v>241</v>
      </c>
      <c r="L4" s="128" t="s">
        <v>244</v>
      </c>
      <c r="M4" s="129" t="s">
        <v>245</v>
      </c>
      <c r="N4" s="128" t="s">
        <v>246</v>
      </c>
      <c r="O4" s="129" t="s">
        <v>108</v>
      </c>
      <c r="P4" s="128" t="s">
        <v>247</v>
      </c>
      <c r="Q4" s="130" t="s">
        <v>11</v>
      </c>
      <c r="R4" s="5"/>
      <c r="S4" s="5"/>
      <c r="T4" s="5"/>
      <c r="U4" s="5"/>
    </row>
    <row r="5" spans="1:21" ht="15.75" thickBot="1">
      <c r="A5" s="28" t="s">
        <v>99</v>
      </c>
      <c r="B5" s="57" t="s">
        <v>113</v>
      </c>
      <c r="C5" s="120">
        <f>G20</f>
        <v>3864.2847600000005</v>
      </c>
      <c r="D5" s="124">
        <f>SUM(G6:G9)</f>
        <v>6349.4347600000001</v>
      </c>
      <c r="F5" s="628" t="s">
        <v>238</v>
      </c>
      <c r="G5" s="508" t="s">
        <v>115</v>
      </c>
      <c r="H5" s="508" t="s">
        <v>1</v>
      </c>
      <c r="I5" s="508" t="s">
        <v>242</v>
      </c>
      <c r="J5" s="509" t="s">
        <v>243</v>
      </c>
      <c r="L5" s="87">
        <v>0</v>
      </c>
      <c r="M5" s="88">
        <f>C5</f>
        <v>3864.2847600000005</v>
      </c>
      <c r="N5" s="87">
        <f>-M5</f>
        <v>-3864.2847600000005</v>
      </c>
      <c r="O5" s="89">
        <f>C14-C13</f>
        <v>1</v>
      </c>
      <c r="P5" s="87">
        <f>+N5</f>
        <v>-3864.2847600000005</v>
      </c>
      <c r="Q5" s="90">
        <f>+P5</f>
        <v>-3864.2847600000005</v>
      </c>
      <c r="R5" s="5"/>
      <c r="S5" s="84"/>
      <c r="T5" s="84"/>
      <c r="U5" s="5"/>
    </row>
    <row r="6" spans="1:21">
      <c r="A6" s="9" t="s">
        <v>100</v>
      </c>
      <c r="B6" s="11" t="s">
        <v>113</v>
      </c>
      <c r="C6" s="52">
        <f>-'Energetická bilance'!Q8</f>
        <v>-206.51477644091301</v>
      </c>
      <c r="D6" s="50">
        <f>-'Energetická bilance'!Q29</f>
        <v>-341.72552281758271</v>
      </c>
      <c r="E6">
        <f>790+519.8+66.2+89.4+130.3+83.7+46.6+70.8</f>
        <v>1796.8</v>
      </c>
      <c r="F6" s="75" t="s">
        <v>304</v>
      </c>
      <c r="G6" s="166">
        <f>E6*2.3</f>
        <v>4132.6399999999994</v>
      </c>
      <c r="H6" s="118">
        <f>$H$3/$K$3*K6</f>
        <v>483.78621388093069</v>
      </c>
      <c r="I6" s="118">
        <f>$I$3/$K$3*K6</f>
        <v>234.34594159640204</v>
      </c>
      <c r="J6" s="76">
        <f>G6/I6</f>
        <v>17.634783738296445</v>
      </c>
      <c r="K6">
        <f>827.2+544.2+116.3+78.8+168.5+108.2+51.3+74.1-170.6-112.3-15.4-18.7-29.2-18.7-7.9-17.1</f>
        <v>1578.6999999999998</v>
      </c>
      <c r="L6" s="91">
        <v>1</v>
      </c>
      <c r="M6" s="92">
        <v>0</v>
      </c>
      <c r="N6" s="91">
        <f>C11</f>
        <v>206.51477644091301</v>
      </c>
      <c r="O6" s="93">
        <f>1+O5/100</f>
        <v>1.01</v>
      </c>
      <c r="P6" s="91">
        <f t="shared" ref="P6:P25" si="0">+N6/O6</f>
        <v>204.4700756840723</v>
      </c>
      <c r="Q6" s="94">
        <f t="shared" ref="Q6:Q25" si="1">+Q5+P6</f>
        <v>-3659.8146843159284</v>
      </c>
      <c r="R6" s="5">
        <f t="shared" ref="R6:R25" si="2">IF(Q6&gt;1,0,1)</f>
        <v>1</v>
      </c>
      <c r="S6" s="5">
        <f t="shared" ref="S6:S25" si="3">IF(+R6+R7=1,Q6,0)</f>
        <v>0</v>
      </c>
      <c r="T6" s="5">
        <v>0</v>
      </c>
      <c r="U6" s="5"/>
    </row>
    <row r="7" spans="1:21">
      <c r="A7" s="9" t="s">
        <v>101</v>
      </c>
      <c r="B7" s="11" t="s">
        <v>113</v>
      </c>
      <c r="C7" s="11">
        <v>0</v>
      </c>
      <c r="D7" s="22">
        <v>0</v>
      </c>
      <c r="F7" s="75" t="str">
        <f>F17</f>
        <v>Zateplení vodorovných konstrukcí</v>
      </c>
      <c r="G7" s="166">
        <f>G17</f>
        <v>168.8</v>
      </c>
      <c r="H7" s="118">
        <f t="shared" ref="H7" si="4">$H$3/$K$3*K7</f>
        <v>28.65269588767152</v>
      </c>
      <c r="I7" s="118">
        <f t="shared" ref="I7:I8" si="5">$I$3/$K$3*K7</f>
        <v>13.879359941257739</v>
      </c>
      <c r="J7" s="76">
        <f t="shared" ref="J7:J8" si="6">G7/I7</f>
        <v>12.161944118058765</v>
      </c>
      <c r="K7">
        <f>118-24.5</f>
        <v>93.5</v>
      </c>
      <c r="L7" s="95">
        <v>2</v>
      </c>
      <c r="M7" s="96">
        <v>0</v>
      </c>
      <c r="N7" s="95">
        <f t="shared" ref="N7:N19" si="7">+N6</f>
        <v>206.51477644091301</v>
      </c>
      <c r="O7" s="97">
        <f>+O6*O$6</f>
        <v>1.0201</v>
      </c>
      <c r="P7" s="91">
        <f t="shared" si="0"/>
        <v>202.44561948918047</v>
      </c>
      <c r="Q7" s="94">
        <f t="shared" si="1"/>
        <v>-3457.3690648267479</v>
      </c>
      <c r="R7" s="5">
        <f t="shared" si="2"/>
        <v>1</v>
      </c>
      <c r="S7" s="5">
        <f t="shared" si="3"/>
        <v>0</v>
      </c>
      <c r="T7" s="5">
        <f t="shared" ref="T7:T17" si="8">IF(+R6+R7=1,Q7,0)</f>
        <v>0</v>
      </c>
      <c r="U7" s="5"/>
    </row>
    <row r="8" spans="1:21">
      <c r="A8" s="9" t="s">
        <v>102</v>
      </c>
      <c r="B8" s="11" t="s">
        <v>113</v>
      </c>
      <c r="C8" s="11">
        <v>0</v>
      </c>
      <c r="D8" s="22">
        <v>0</v>
      </c>
      <c r="F8" s="75" t="str">
        <f>F18</f>
        <v>Výměna výplní</v>
      </c>
      <c r="G8" s="118">
        <f t="shared" ref="G8" si="9">G18</f>
        <v>200.40000000000003</v>
      </c>
      <c r="H8" s="118">
        <f>$H$3/$K$3*K8</f>
        <v>37.99929722001356</v>
      </c>
      <c r="I8" s="118">
        <f t="shared" si="5"/>
        <v>18.406851686801705</v>
      </c>
      <c r="J8" s="76">
        <f t="shared" si="6"/>
        <v>10.887250215836376</v>
      </c>
      <c r="K8">
        <f>94.8-25.3+69.2-14.7</f>
        <v>123.99999999999999</v>
      </c>
      <c r="L8" s="95">
        <v>3</v>
      </c>
      <c r="M8" s="96">
        <v>0</v>
      </c>
      <c r="N8" s="95">
        <f t="shared" si="7"/>
        <v>206.51477644091301</v>
      </c>
      <c r="O8" s="97">
        <f t="shared" ref="O8:O25" si="10">+O7*O$6</f>
        <v>1.0303009999999999</v>
      </c>
      <c r="P8" s="91">
        <f>+N8/O8</f>
        <v>200.44120741503019</v>
      </c>
      <c r="Q8" s="94">
        <f t="shared" si="1"/>
        <v>-3256.9278574117179</v>
      </c>
      <c r="R8" s="5">
        <f t="shared" si="2"/>
        <v>1</v>
      </c>
      <c r="S8" s="5">
        <f t="shared" si="3"/>
        <v>0</v>
      </c>
      <c r="T8" s="5">
        <f t="shared" si="8"/>
        <v>0</v>
      </c>
      <c r="U8" s="5"/>
    </row>
    <row r="9" spans="1:21" ht="15.75" thickBot="1">
      <c r="A9" s="9" t="s">
        <v>103</v>
      </c>
      <c r="B9" s="11" t="s">
        <v>113</v>
      </c>
      <c r="C9" s="11">
        <v>0</v>
      </c>
      <c r="D9" s="22">
        <v>0</v>
      </c>
      <c r="F9" s="77" t="s">
        <v>368</v>
      </c>
      <c r="G9" s="167">
        <f>G24</f>
        <v>1847.5947600000004</v>
      </c>
      <c r="H9" s="119">
        <f>H24</f>
        <v>125.52119999999996</v>
      </c>
      <c r="I9" s="119">
        <f>I24</f>
        <v>75.093369593121253</v>
      </c>
      <c r="J9" s="78">
        <f>G9/I9</f>
        <v>24.603966635281271</v>
      </c>
      <c r="L9" s="95">
        <v>4</v>
      </c>
      <c r="M9" s="96">
        <v>0</v>
      </c>
      <c r="N9" s="95">
        <f t="shared" si="7"/>
        <v>206.51477644091301</v>
      </c>
      <c r="O9" s="97">
        <f t="shared" si="10"/>
        <v>1.04060401</v>
      </c>
      <c r="P9" s="91">
        <f t="shared" si="0"/>
        <v>198.45664100498038</v>
      </c>
      <c r="Q9" s="94">
        <f t="shared" si="1"/>
        <v>-3058.4712164067378</v>
      </c>
      <c r="R9" s="5">
        <f t="shared" si="2"/>
        <v>1</v>
      </c>
      <c r="S9" s="5">
        <f t="shared" si="3"/>
        <v>0</v>
      </c>
      <c r="T9" s="5">
        <f t="shared" si="8"/>
        <v>0</v>
      </c>
      <c r="U9" s="5"/>
    </row>
    <row r="10" spans="1:21" ht="15.75" thickBot="1">
      <c r="A10" s="9" t="s">
        <v>104</v>
      </c>
      <c r="B10" s="11" t="s">
        <v>113</v>
      </c>
      <c r="C10" s="11">
        <v>0</v>
      </c>
      <c r="D10" s="22">
        <v>0</v>
      </c>
      <c r="F10" s="29" t="s">
        <v>3</v>
      </c>
      <c r="G10" s="212">
        <f>SUM(G6:G9)</f>
        <v>6349.4347600000001</v>
      </c>
      <c r="H10" s="212">
        <f>SUM(H6:H9)</f>
        <v>675.95940698861568</v>
      </c>
      <c r="I10" s="212">
        <f>SUM(I6:I9)</f>
        <v>341.72552281758271</v>
      </c>
      <c r="J10" s="213">
        <f>G10/I10</f>
        <v>18.580510778498116</v>
      </c>
      <c r="L10" s="95">
        <v>5</v>
      </c>
      <c r="M10" s="96">
        <v>0</v>
      </c>
      <c r="N10" s="95">
        <f t="shared" si="7"/>
        <v>206.51477644091301</v>
      </c>
      <c r="O10" s="97">
        <f t="shared" si="10"/>
        <v>1.0510100500999999</v>
      </c>
      <c r="P10" s="91">
        <f t="shared" si="0"/>
        <v>196.49172376730732</v>
      </c>
      <c r="Q10" s="94">
        <f t="shared" si="1"/>
        <v>-2861.9794926394306</v>
      </c>
      <c r="R10" s="5">
        <f t="shared" si="2"/>
        <v>1</v>
      </c>
      <c r="S10" s="5">
        <f t="shared" si="3"/>
        <v>0</v>
      </c>
      <c r="T10" s="5">
        <f t="shared" si="8"/>
        <v>0</v>
      </c>
      <c r="U10" s="5"/>
    </row>
    <row r="11" spans="1:21">
      <c r="A11" s="28" t="s">
        <v>105</v>
      </c>
      <c r="B11" s="57" t="s">
        <v>113</v>
      </c>
      <c r="C11" s="120">
        <f>-C6</f>
        <v>206.51477644091301</v>
      </c>
      <c r="D11" s="124">
        <f>-D6</f>
        <v>341.72552281758271</v>
      </c>
      <c r="L11" s="95">
        <v>6</v>
      </c>
      <c r="M11" s="96">
        <v>0</v>
      </c>
      <c r="N11" s="95">
        <f t="shared" si="7"/>
        <v>206.51477644091301</v>
      </c>
      <c r="O11" s="97">
        <f t="shared" si="10"/>
        <v>1.0615201506009999</v>
      </c>
      <c r="P11" s="91">
        <f t="shared" si="0"/>
        <v>194.54626115574982</v>
      </c>
      <c r="Q11" s="94">
        <f t="shared" si="1"/>
        <v>-2667.4332314836806</v>
      </c>
      <c r="R11" s="5">
        <f t="shared" si="2"/>
        <v>1</v>
      </c>
      <c r="S11" s="5">
        <f t="shared" si="3"/>
        <v>0</v>
      </c>
      <c r="T11" s="5">
        <f t="shared" si="8"/>
        <v>0</v>
      </c>
      <c r="U11" s="5"/>
    </row>
    <row r="12" spans="1:21">
      <c r="A12" s="9" t="s">
        <v>106</v>
      </c>
      <c r="B12" s="11" t="s">
        <v>114</v>
      </c>
      <c r="C12" s="11">
        <v>20</v>
      </c>
      <c r="D12" s="22">
        <v>20</v>
      </c>
      <c r="F12" s="79"/>
      <c r="G12" s="80"/>
      <c r="H12" s="81"/>
      <c r="I12" s="80"/>
      <c r="J12" s="82"/>
      <c r="L12" s="95">
        <v>7</v>
      </c>
      <c r="M12" s="96">
        <v>0</v>
      </c>
      <c r="N12" s="95">
        <f t="shared" si="7"/>
        <v>206.51477644091301</v>
      </c>
      <c r="O12" s="97">
        <f t="shared" si="10"/>
        <v>1.0721353521070098</v>
      </c>
      <c r="P12" s="91">
        <f t="shared" si="0"/>
        <v>192.62006055024736</v>
      </c>
      <c r="Q12" s="94">
        <f t="shared" si="1"/>
        <v>-2474.8131709334334</v>
      </c>
      <c r="R12" s="5">
        <f t="shared" si="2"/>
        <v>1</v>
      </c>
      <c r="S12" s="5">
        <f t="shared" si="3"/>
        <v>0</v>
      </c>
      <c r="T12" s="5">
        <f t="shared" si="8"/>
        <v>0</v>
      </c>
      <c r="U12" s="5"/>
    </row>
    <row r="13" spans="1:21" ht="15.75" thickBot="1">
      <c r="A13" s="9" t="s">
        <v>107</v>
      </c>
      <c r="B13" s="11" t="s">
        <v>10</v>
      </c>
      <c r="C13" s="11">
        <v>3</v>
      </c>
      <c r="D13" s="22">
        <v>3</v>
      </c>
      <c r="F13" s="79" t="s">
        <v>251</v>
      </c>
      <c r="G13" s="80"/>
      <c r="H13" s="80">
        <f>'Energetická bilance'!O8-H24</f>
        <v>271.30772740796118</v>
      </c>
      <c r="I13" s="83">
        <f>'Energetická bilance'!Q8-I24</f>
        <v>131.42140684779176</v>
      </c>
      <c r="J13" s="82"/>
      <c r="K13">
        <f>SUM(K16:K19)</f>
        <v>844.5</v>
      </c>
      <c r="L13" s="95">
        <v>8</v>
      </c>
      <c r="M13" s="96">
        <v>0</v>
      </c>
      <c r="N13" s="95">
        <f t="shared" si="7"/>
        <v>206.51477644091301</v>
      </c>
      <c r="O13" s="97">
        <f t="shared" si="10"/>
        <v>1.08285670562808</v>
      </c>
      <c r="P13" s="91">
        <f t="shared" si="0"/>
        <v>190.71293123786867</v>
      </c>
      <c r="Q13" s="94">
        <f t="shared" si="1"/>
        <v>-2284.1002396955646</v>
      </c>
      <c r="R13" s="5">
        <f t="shared" si="2"/>
        <v>1</v>
      </c>
      <c r="S13" s="5">
        <f t="shared" si="3"/>
        <v>0</v>
      </c>
      <c r="T13" s="5">
        <f t="shared" si="8"/>
        <v>0</v>
      </c>
      <c r="U13" s="5"/>
    </row>
    <row r="14" spans="1:21">
      <c r="A14" s="9" t="s">
        <v>108</v>
      </c>
      <c r="B14" s="11" t="s">
        <v>10</v>
      </c>
      <c r="C14" s="11">
        <v>4</v>
      </c>
      <c r="D14" s="22">
        <v>4</v>
      </c>
      <c r="F14" s="627" t="s">
        <v>238</v>
      </c>
      <c r="G14" s="506" t="s">
        <v>239</v>
      </c>
      <c r="H14" s="629" t="s">
        <v>240</v>
      </c>
      <c r="I14" s="629"/>
      <c r="J14" s="507" t="s">
        <v>241</v>
      </c>
      <c r="L14" s="95">
        <v>9</v>
      </c>
      <c r="M14" s="96">
        <v>0</v>
      </c>
      <c r="N14" s="95">
        <f t="shared" si="7"/>
        <v>206.51477644091301</v>
      </c>
      <c r="O14" s="97">
        <f t="shared" si="10"/>
        <v>1.0936852726843609</v>
      </c>
      <c r="P14" s="91">
        <f t="shared" si="0"/>
        <v>188.82468439392935</v>
      </c>
      <c r="Q14" s="94">
        <f t="shared" si="1"/>
        <v>-2095.2755553016354</v>
      </c>
      <c r="R14" s="5">
        <f t="shared" si="2"/>
        <v>1</v>
      </c>
      <c r="S14" s="5">
        <f t="shared" si="3"/>
        <v>0</v>
      </c>
      <c r="T14" s="5">
        <f t="shared" si="8"/>
        <v>0</v>
      </c>
      <c r="U14" s="5"/>
    </row>
    <row r="15" spans="1:21">
      <c r="A15" s="28" t="s">
        <v>109</v>
      </c>
      <c r="B15" s="57" t="s">
        <v>114</v>
      </c>
      <c r="C15" s="123">
        <f>CEILING(C5/C11,1)</f>
        <v>19</v>
      </c>
      <c r="D15" s="125">
        <f>CEILING(D5/D11,1)</f>
        <v>19</v>
      </c>
      <c r="F15" s="628" t="s">
        <v>238</v>
      </c>
      <c r="G15" s="508" t="s">
        <v>115</v>
      </c>
      <c r="H15" s="508" t="s">
        <v>1</v>
      </c>
      <c r="I15" s="508" t="s">
        <v>242</v>
      </c>
      <c r="J15" s="509" t="s">
        <v>243</v>
      </c>
      <c r="L15" s="95">
        <f t="shared" ref="L15:L25" si="11">1+L14</f>
        <v>10</v>
      </c>
      <c r="M15" s="96">
        <v>0</v>
      </c>
      <c r="N15" s="95">
        <f t="shared" si="7"/>
        <v>206.51477644091301</v>
      </c>
      <c r="O15" s="97">
        <f t="shared" si="10"/>
        <v>1.1046221254112045</v>
      </c>
      <c r="P15" s="91">
        <f t="shared" si="0"/>
        <v>186.95513306329639</v>
      </c>
      <c r="Q15" s="94">
        <f t="shared" si="1"/>
        <v>-1908.320422238339</v>
      </c>
      <c r="R15" s="5">
        <f t="shared" si="2"/>
        <v>1</v>
      </c>
      <c r="S15" s="5">
        <f t="shared" si="3"/>
        <v>0</v>
      </c>
      <c r="T15" s="5">
        <f t="shared" si="8"/>
        <v>0</v>
      </c>
      <c r="U15" s="5"/>
    </row>
    <row r="16" spans="1:21">
      <c r="A16" s="28" t="s">
        <v>110</v>
      </c>
      <c r="B16" s="57" t="s">
        <v>114</v>
      </c>
      <c r="C16" s="57" t="str">
        <f>IF(R36=20,"&gt;20",R36)</f>
        <v>&gt;20</v>
      </c>
      <c r="D16" s="58" t="str">
        <f>IF(R73=20,"&gt;20",R73)</f>
        <v>&gt;20</v>
      </c>
      <c r="E16">
        <f>46.6+519.8+66.2+83.7</f>
        <v>716.30000000000007</v>
      </c>
      <c r="F16" s="75" t="s">
        <v>312</v>
      </c>
      <c r="G16" s="118">
        <f>2.3*E16</f>
        <v>1647.49</v>
      </c>
      <c r="H16" s="118">
        <f>$H$13/$K$13*K16</f>
        <v>201.43273544676336</v>
      </c>
      <c r="I16" s="118">
        <f>$I$13/$K$13*K16</f>
        <v>97.573975244008807</v>
      </c>
      <c r="J16" s="76">
        <f>G16/I16</f>
        <v>16.884522700648692</v>
      </c>
      <c r="K16">
        <f>544.2+116.3+108.2+51.3-112.3-15.4-18.7-46.6</f>
        <v>627</v>
      </c>
      <c r="L16" s="95">
        <f t="shared" si="11"/>
        <v>11</v>
      </c>
      <c r="M16" s="96">
        <v>0</v>
      </c>
      <c r="N16" s="95">
        <f t="shared" si="7"/>
        <v>206.51477644091301</v>
      </c>
      <c r="O16" s="97">
        <f t="shared" si="10"/>
        <v>1.1156683466653166</v>
      </c>
      <c r="P16" s="91">
        <f t="shared" si="0"/>
        <v>185.1040921418776</v>
      </c>
      <c r="Q16" s="94">
        <f t="shared" si="1"/>
        <v>-1723.2163300964614</v>
      </c>
      <c r="R16" s="5">
        <f t="shared" si="2"/>
        <v>1</v>
      </c>
      <c r="S16" s="5">
        <f t="shared" si="3"/>
        <v>0</v>
      </c>
      <c r="T16" s="5">
        <f t="shared" si="8"/>
        <v>0</v>
      </c>
      <c r="U16" s="5"/>
    </row>
    <row r="17" spans="1:21">
      <c r="A17" s="28" t="s">
        <v>111</v>
      </c>
      <c r="B17" s="57" t="s">
        <v>115</v>
      </c>
      <c r="C17" s="122">
        <f>Q25</f>
        <v>-137.61142341800624</v>
      </c>
      <c r="D17" s="126">
        <f>Q62</f>
        <v>-182.80873806885313</v>
      </c>
      <c r="E17">
        <v>168.8</v>
      </c>
      <c r="F17" s="75" t="s">
        <v>313</v>
      </c>
      <c r="G17" s="118">
        <f>E17*1</f>
        <v>168.8</v>
      </c>
      <c r="H17" s="118">
        <f>$H$13/$K$13*K17</f>
        <v>30.038214935043658</v>
      </c>
      <c r="I17" s="118">
        <f>$I$13/$K$13*K17</f>
        <v>14.550505080246927</v>
      </c>
      <c r="J17" s="76">
        <f t="shared" ref="J17" si="12">G17/I17</f>
        <v>11.600971861049336</v>
      </c>
      <c r="K17">
        <f>118-24.5</f>
        <v>93.5</v>
      </c>
      <c r="L17" s="95">
        <f t="shared" si="11"/>
        <v>12</v>
      </c>
      <c r="M17" s="96">
        <v>0</v>
      </c>
      <c r="N17" s="95">
        <f t="shared" si="7"/>
        <v>206.51477644091301</v>
      </c>
      <c r="O17" s="97">
        <f t="shared" si="10"/>
        <v>1.1268250301319698</v>
      </c>
      <c r="P17" s="91">
        <f t="shared" si="0"/>
        <v>183.27137835829467</v>
      </c>
      <c r="Q17" s="94">
        <f t="shared" si="1"/>
        <v>-1539.9449517381668</v>
      </c>
      <c r="R17" s="5">
        <f t="shared" si="2"/>
        <v>1</v>
      </c>
      <c r="S17" s="5">
        <f t="shared" si="3"/>
        <v>0</v>
      </c>
      <c r="T17" s="5">
        <f t="shared" si="8"/>
        <v>0</v>
      </c>
      <c r="U17" s="5"/>
    </row>
    <row r="18" spans="1:21" ht="15.75" thickBot="1">
      <c r="A18" s="29" t="s">
        <v>112</v>
      </c>
      <c r="B18" s="30" t="s">
        <v>10</v>
      </c>
      <c r="C18" s="121">
        <f>N37</f>
        <v>6.4257302826173134E-3</v>
      </c>
      <c r="D18" s="127">
        <f>N74</f>
        <v>7.116137118334513E-3</v>
      </c>
      <c r="E18">
        <f>21.1+12.3</f>
        <v>33.400000000000006</v>
      </c>
      <c r="F18" s="381" t="s">
        <v>369</v>
      </c>
      <c r="G18" s="118">
        <f>6*E18</f>
        <v>200.40000000000003</v>
      </c>
      <c r="H18" s="118">
        <f>$H$13/$K$13*K18</f>
        <v>39.836777026154152</v>
      </c>
      <c r="I18" s="118">
        <f>$I$13/$K$13*K18</f>
        <v>19.29692652353603</v>
      </c>
      <c r="J18" s="76">
        <f t="shared" ref="J18:J19" si="13">G18/I18</f>
        <v>10.385073485955219</v>
      </c>
      <c r="K18">
        <f>94.8-25.3+69.2-14.7</f>
        <v>123.99999999999999</v>
      </c>
      <c r="L18" s="95">
        <f t="shared" si="11"/>
        <v>13</v>
      </c>
      <c r="M18" s="96">
        <v>0</v>
      </c>
      <c r="N18" s="95">
        <f t="shared" si="7"/>
        <v>206.51477644091301</v>
      </c>
      <c r="O18" s="97">
        <f t="shared" si="10"/>
        <v>1.1380932804332895</v>
      </c>
      <c r="P18" s="91">
        <f t="shared" si="0"/>
        <v>181.45681025573728</v>
      </c>
      <c r="Q18" s="94">
        <f t="shared" si="1"/>
        <v>-1358.4881414824295</v>
      </c>
      <c r="R18" s="5">
        <f t="shared" si="2"/>
        <v>1</v>
      </c>
      <c r="S18" s="5">
        <f t="shared" si="3"/>
        <v>0</v>
      </c>
      <c r="T18" s="5">
        <f>IF(+R16+R18=1,Q18,0)</f>
        <v>0</v>
      </c>
      <c r="U18" s="5"/>
    </row>
    <row r="19" spans="1:21" ht="15.75" thickBot="1">
      <c r="F19" s="278" t="str">
        <f>F24</f>
        <v>Instalace LED osvětlení</v>
      </c>
      <c r="G19" s="277">
        <f>G24</f>
        <v>1847.5947600000004</v>
      </c>
      <c r="H19" s="277">
        <f>H24</f>
        <v>125.52119999999996</v>
      </c>
      <c r="I19" s="277">
        <f>I24</f>
        <v>75.093369593121253</v>
      </c>
      <c r="J19" s="76">
        <f t="shared" si="13"/>
        <v>24.603966635281271</v>
      </c>
      <c r="L19" s="95">
        <f t="shared" si="11"/>
        <v>14</v>
      </c>
      <c r="M19" s="96">
        <v>0</v>
      </c>
      <c r="N19" s="95">
        <f t="shared" si="7"/>
        <v>206.51477644091301</v>
      </c>
      <c r="O19" s="97">
        <f t="shared" si="10"/>
        <v>1.1494742132376223</v>
      </c>
      <c r="P19" s="91">
        <f t="shared" si="0"/>
        <v>179.66020817399732</v>
      </c>
      <c r="Q19" s="94">
        <f t="shared" si="1"/>
        <v>-1178.8279333084322</v>
      </c>
      <c r="R19" s="5">
        <f t="shared" si="2"/>
        <v>1</v>
      </c>
      <c r="S19" s="5">
        <f t="shared" si="3"/>
        <v>0</v>
      </c>
      <c r="T19" s="5">
        <f t="shared" ref="T19:T25" si="14">IF(+R18+R19=1,Q19,0)</f>
        <v>0</v>
      </c>
      <c r="U19" s="5"/>
    </row>
    <row r="20" spans="1:21" ht="15.75" thickBot="1">
      <c r="F20" s="214" t="s">
        <v>3</v>
      </c>
      <c r="G20" s="215">
        <f>SUM(G16:G19)</f>
        <v>3864.2847600000005</v>
      </c>
      <c r="H20" s="215">
        <f>SUM(H16:H19)</f>
        <v>396.82892740796115</v>
      </c>
      <c r="I20" s="215">
        <f>SUM(I16:I19)</f>
        <v>206.51477644091301</v>
      </c>
      <c r="J20" s="216">
        <f>G20/I20</f>
        <v>18.711904429297004</v>
      </c>
      <c r="L20" s="95">
        <f t="shared" si="11"/>
        <v>15</v>
      </c>
      <c r="M20" s="96">
        <v>0</v>
      </c>
      <c r="N20" s="95">
        <f>N19</f>
        <v>206.51477644091301</v>
      </c>
      <c r="O20" s="97">
        <f t="shared" si="10"/>
        <v>1.1609689553699987</v>
      </c>
      <c r="P20" s="91">
        <f t="shared" si="0"/>
        <v>177.8813942316805</v>
      </c>
      <c r="Q20" s="94">
        <f t="shared" si="1"/>
        <v>-1000.9465390767517</v>
      </c>
      <c r="R20" s="5">
        <f t="shared" si="2"/>
        <v>1</v>
      </c>
      <c r="S20" s="5">
        <f t="shared" si="3"/>
        <v>0</v>
      </c>
      <c r="T20" s="5">
        <f t="shared" si="14"/>
        <v>0</v>
      </c>
      <c r="U20" s="5"/>
    </row>
    <row r="21" spans="1:21" ht="15.75" thickBot="1">
      <c r="F21" s="79" t="s">
        <v>306</v>
      </c>
      <c r="L21" s="95">
        <f t="shared" si="11"/>
        <v>16</v>
      </c>
      <c r="M21" s="96">
        <v>0</v>
      </c>
      <c r="N21" s="95">
        <f>N19</f>
        <v>206.51477644091301</v>
      </c>
      <c r="O21" s="97">
        <f t="shared" si="10"/>
        <v>1.1725786449236986</v>
      </c>
      <c r="P21" s="91">
        <f t="shared" si="0"/>
        <v>176.12019230859457</v>
      </c>
      <c r="Q21" s="94">
        <f t="shared" si="1"/>
        <v>-824.82634676815712</v>
      </c>
      <c r="R21" s="5">
        <f t="shared" si="2"/>
        <v>1</v>
      </c>
      <c r="S21" s="5">
        <f t="shared" si="3"/>
        <v>0</v>
      </c>
      <c r="T21" s="5">
        <f t="shared" si="14"/>
        <v>0</v>
      </c>
      <c r="U21" s="5"/>
    </row>
    <row r="22" spans="1:21">
      <c r="F22" s="510" t="s">
        <v>238</v>
      </c>
      <c r="G22" s="506" t="s">
        <v>239</v>
      </c>
      <c r="H22" s="511" t="s">
        <v>240</v>
      </c>
      <c r="I22" s="512"/>
      <c r="J22" s="507" t="s">
        <v>241</v>
      </c>
      <c r="L22" s="95">
        <f t="shared" si="11"/>
        <v>17</v>
      </c>
      <c r="M22" s="96">
        <v>0</v>
      </c>
      <c r="N22" s="95">
        <f t="shared" ref="N22:N25" si="15">+N21</f>
        <v>206.51477644091301</v>
      </c>
      <c r="O22" s="97">
        <f t="shared" si="10"/>
        <v>1.1843044313729356</v>
      </c>
      <c r="P22" s="91">
        <f t="shared" si="0"/>
        <v>174.37642802831144</v>
      </c>
      <c r="Q22" s="94">
        <f t="shared" si="1"/>
        <v>-650.44991873984566</v>
      </c>
      <c r="R22" s="5">
        <f t="shared" si="2"/>
        <v>1</v>
      </c>
      <c r="S22" s="5">
        <f t="shared" si="3"/>
        <v>0</v>
      </c>
      <c r="T22" s="5">
        <f t="shared" si="14"/>
        <v>0</v>
      </c>
      <c r="U22" s="5"/>
    </row>
    <row r="23" spans="1:21">
      <c r="F23" s="513"/>
      <c r="G23" s="508" t="s">
        <v>115</v>
      </c>
      <c r="H23" s="508" t="s">
        <v>1</v>
      </c>
      <c r="I23" s="508" t="s">
        <v>242</v>
      </c>
      <c r="J23" s="509" t="s">
        <v>243</v>
      </c>
      <c r="L23" s="95">
        <f t="shared" si="11"/>
        <v>18</v>
      </c>
      <c r="M23" s="96">
        <v>0</v>
      </c>
      <c r="N23" s="95">
        <f t="shared" si="15"/>
        <v>206.51477644091301</v>
      </c>
      <c r="O23" s="97">
        <f t="shared" si="10"/>
        <v>1.196147475686665</v>
      </c>
      <c r="P23" s="91">
        <f t="shared" si="0"/>
        <v>172.6499287409024</v>
      </c>
      <c r="Q23" s="94">
        <f t="shared" si="1"/>
        <v>-477.79998999894326</v>
      </c>
      <c r="R23" s="5">
        <f t="shared" si="2"/>
        <v>1</v>
      </c>
      <c r="S23" s="5">
        <f t="shared" si="3"/>
        <v>0</v>
      </c>
      <c r="T23" s="5">
        <f t="shared" si="14"/>
        <v>0</v>
      </c>
      <c r="U23" s="5"/>
    </row>
    <row r="24" spans="1:21" ht="15.75" thickBot="1">
      <c r="F24" s="77" t="s">
        <v>368</v>
      </c>
      <c r="G24" s="119">
        <f>'LED světla'!B4*33.308/1000*1.5</f>
        <v>1847.5947600000004</v>
      </c>
      <c r="H24" s="119">
        <f>'LED světla'!D5*3.6</f>
        <v>125.52119999999996</v>
      </c>
      <c r="I24" s="119">
        <f>'LED světla'!D5*'Energetické vstupy'!H6</f>
        <v>75.093369593121253</v>
      </c>
      <c r="J24" s="78">
        <f>G24/I24</f>
        <v>24.603966635281271</v>
      </c>
      <c r="L24" s="95">
        <f t="shared" si="11"/>
        <v>19</v>
      </c>
      <c r="M24" s="96">
        <v>0</v>
      </c>
      <c r="N24" s="95">
        <f t="shared" si="15"/>
        <v>206.51477644091301</v>
      </c>
      <c r="O24" s="97">
        <f t="shared" si="10"/>
        <v>1.2081089504435316</v>
      </c>
      <c r="P24" s="91">
        <f t="shared" si="0"/>
        <v>170.94052350584397</v>
      </c>
      <c r="Q24" s="94">
        <f t="shared" si="1"/>
        <v>-306.85946649309926</v>
      </c>
      <c r="R24" s="5">
        <f t="shared" si="2"/>
        <v>1</v>
      </c>
      <c r="S24" s="5">
        <f t="shared" si="3"/>
        <v>0</v>
      </c>
      <c r="T24" s="5">
        <f t="shared" si="14"/>
        <v>0</v>
      </c>
      <c r="U24" s="5"/>
    </row>
    <row r="25" spans="1:21">
      <c r="F25" s="131"/>
      <c r="G25" s="131"/>
      <c r="H25" s="131"/>
      <c r="I25" s="131"/>
      <c r="J25" s="131"/>
      <c r="L25" s="95">
        <f t="shared" si="11"/>
        <v>20</v>
      </c>
      <c r="M25" s="96">
        <v>0</v>
      </c>
      <c r="N25" s="95">
        <f t="shared" si="15"/>
        <v>206.51477644091301</v>
      </c>
      <c r="O25" s="97">
        <f t="shared" si="10"/>
        <v>1.220190039947967</v>
      </c>
      <c r="P25" s="91">
        <f t="shared" si="0"/>
        <v>169.24804307509302</v>
      </c>
      <c r="Q25" s="94">
        <f t="shared" si="1"/>
        <v>-137.61142341800624</v>
      </c>
      <c r="R25" s="5">
        <f t="shared" si="2"/>
        <v>1</v>
      </c>
      <c r="S25" s="5">
        <f t="shared" si="3"/>
        <v>-137.61142341800624</v>
      </c>
      <c r="T25" s="5">
        <f t="shared" si="14"/>
        <v>0</v>
      </c>
      <c r="U25" s="5"/>
    </row>
    <row r="26" spans="1:21">
      <c r="F26" s="131"/>
      <c r="G26" s="131"/>
      <c r="H26" s="131"/>
      <c r="I26" s="131"/>
      <c r="J26" s="131"/>
      <c r="L26" s="95"/>
      <c r="M26" s="96"/>
      <c r="N26" s="95"/>
      <c r="O26" s="97"/>
      <c r="P26" s="91"/>
      <c r="Q26" s="94"/>
      <c r="R26" s="5"/>
      <c r="S26" s="5"/>
      <c r="T26" s="5"/>
      <c r="U26" s="5"/>
    </row>
    <row r="27" spans="1:21">
      <c r="F27" s="131"/>
      <c r="G27" s="131"/>
      <c r="H27" s="131"/>
      <c r="I27" s="131"/>
      <c r="J27" s="131"/>
      <c r="L27" s="95"/>
      <c r="M27" s="96"/>
      <c r="N27" s="95"/>
      <c r="O27" s="97"/>
      <c r="P27" s="91"/>
      <c r="Q27" s="94"/>
      <c r="R27" s="5"/>
      <c r="S27" s="5"/>
      <c r="T27" s="5"/>
      <c r="U27" s="5"/>
    </row>
    <row r="28" spans="1:21">
      <c r="F28" s="3"/>
      <c r="G28" s="3"/>
      <c r="H28" s="3"/>
      <c r="I28" s="3"/>
      <c r="J28" s="3"/>
      <c r="L28" s="95"/>
      <c r="M28" s="96"/>
      <c r="N28" s="95"/>
      <c r="O28" s="97"/>
      <c r="P28" s="91"/>
      <c r="Q28" s="94"/>
      <c r="R28" s="5"/>
      <c r="S28" s="5"/>
      <c r="T28" s="5"/>
      <c r="U28" s="5"/>
    </row>
    <row r="29" spans="1:21">
      <c r="L29" s="95"/>
      <c r="M29" s="96"/>
      <c r="N29" s="95"/>
      <c r="O29" s="97"/>
      <c r="P29" s="91"/>
      <c r="Q29" s="94"/>
      <c r="R29" s="5"/>
      <c r="S29" s="5"/>
      <c r="T29" s="5"/>
      <c r="U29" s="5"/>
    </row>
    <row r="30" spans="1:21">
      <c r="L30" s="95"/>
      <c r="M30" s="96"/>
      <c r="N30" s="95"/>
      <c r="O30" s="97"/>
      <c r="P30" s="91"/>
      <c r="Q30" s="94"/>
      <c r="R30" s="5"/>
      <c r="S30" s="5"/>
      <c r="T30" s="5"/>
      <c r="U30" s="5"/>
    </row>
    <row r="31" spans="1:21">
      <c r="L31" s="95"/>
      <c r="M31" s="96"/>
      <c r="N31" s="95"/>
      <c r="O31" s="97"/>
      <c r="P31" s="91"/>
      <c r="Q31" s="94"/>
      <c r="R31" s="5"/>
      <c r="S31" s="5"/>
      <c r="T31" s="5"/>
      <c r="U31" s="5"/>
    </row>
    <row r="32" spans="1:21">
      <c r="L32" s="95"/>
      <c r="M32" s="96"/>
      <c r="N32" s="95"/>
      <c r="O32" s="97"/>
      <c r="P32" s="91"/>
      <c r="Q32" s="94"/>
      <c r="R32" s="5"/>
      <c r="S32" s="5"/>
      <c r="T32" s="5"/>
      <c r="U32" s="5"/>
    </row>
    <row r="33" spans="12:21">
      <c r="L33" s="95"/>
      <c r="M33" s="96"/>
      <c r="N33" s="95"/>
      <c r="O33" s="97"/>
      <c r="P33" s="91"/>
      <c r="Q33" s="94"/>
      <c r="R33" s="5"/>
      <c r="S33" s="5"/>
      <c r="T33" s="5"/>
      <c r="U33" s="5"/>
    </row>
    <row r="34" spans="12:21">
      <c r="L34" s="95"/>
      <c r="M34" s="96"/>
      <c r="N34" s="95"/>
      <c r="O34" s="97"/>
      <c r="P34" s="91"/>
      <c r="Q34" s="94"/>
      <c r="R34" s="5"/>
      <c r="S34" s="5"/>
      <c r="T34" s="5"/>
      <c r="U34" s="5"/>
    </row>
    <row r="35" spans="12:21" ht="15.75" thickBot="1">
      <c r="L35" s="95"/>
      <c r="M35" s="96"/>
      <c r="N35" s="95"/>
      <c r="O35" s="97"/>
      <c r="P35" s="91"/>
      <c r="Q35" s="94"/>
      <c r="R35" s="5"/>
      <c r="S35" s="5"/>
      <c r="T35" s="5"/>
      <c r="U35" s="5"/>
    </row>
    <row r="36" spans="12:21">
      <c r="L36" s="98"/>
      <c r="M36" s="99" t="s">
        <v>248</v>
      </c>
      <c r="N36" s="100">
        <f>SUM(N5:N25)</f>
        <v>266.01076881825975</v>
      </c>
      <c r="O36" s="101"/>
      <c r="P36" s="101"/>
      <c r="Q36" s="102"/>
      <c r="R36" s="5">
        <f>SUM(R6:R35)</f>
        <v>20</v>
      </c>
      <c r="S36" s="103">
        <f>SUM(S6:S35)</f>
        <v>-137.61142341800624</v>
      </c>
      <c r="T36" s="103">
        <f>SUM(T6:T35)</f>
        <v>0</v>
      </c>
      <c r="U36" s="5"/>
    </row>
    <row r="37" spans="12:21">
      <c r="L37" s="104"/>
      <c r="M37" s="105" t="s">
        <v>9</v>
      </c>
      <c r="N37" s="106">
        <f>IRR(N5:N25)</f>
        <v>6.4257302826173134E-3</v>
      </c>
      <c r="O37" s="107"/>
      <c r="P37" s="107"/>
      <c r="Q37" s="108"/>
      <c r="R37" s="5"/>
      <c r="S37" s="103"/>
      <c r="T37" s="103"/>
      <c r="U37" s="5"/>
    </row>
    <row r="38" spans="12:21" ht="15.75" thickBot="1">
      <c r="L38" s="109"/>
      <c r="M38" s="110" t="s">
        <v>249</v>
      </c>
      <c r="N38" s="111">
        <f>+M5/N6</f>
        <v>18.711904429297004</v>
      </c>
      <c r="O38" s="112"/>
      <c r="P38" s="112"/>
      <c r="Q38" s="113"/>
      <c r="R38" s="5"/>
      <c r="S38" s="85">
        <f>+(-S36)/(T36-S36)</f>
        <v>1</v>
      </c>
      <c r="T38" s="5"/>
      <c r="U38" s="5"/>
    </row>
    <row r="39" spans="12:21"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2:21" ht="15.75" thickBot="1"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2:21">
      <c r="L41" s="128" t="s">
        <v>244</v>
      </c>
      <c r="M41" s="129" t="s">
        <v>245</v>
      </c>
      <c r="N41" s="128" t="s">
        <v>246</v>
      </c>
      <c r="O41" s="129" t="s">
        <v>108</v>
      </c>
      <c r="P41" s="128" t="s">
        <v>247</v>
      </c>
      <c r="Q41" s="130" t="s">
        <v>11</v>
      </c>
      <c r="R41" s="5"/>
      <c r="S41" s="5"/>
      <c r="T41" s="5"/>
      <c r="U41" s="5"/>
    </row>
    <row r="42" spans="12:21" ht="15.75" thickBot="1">
      <c r="L42" s="87">
        <v>0</v>
      </c>
      <c r="M42" s="88">
        <f>D5</f>
        <v>6349.4347600000001</v>
      </c>
      <c r="N42" s="87">
        <f>-M42</f>
        <v>-6349.4347600000001</v>
      </c>
      <c r="O42" s="89">
        <f>D14-D13</f>
        <v>1</v>
      </c>
      <c r="P42" s="87">
        <f>+N42</f>
        <v>-6349.4347600000001</v>
      </c>
      <c r="Q42" s="90">
        <f>+P42</f>
        <v>-6349.4347600000001</v>
      </c>
      <c r="R42" s="5"/>
      <c r="S42" s="84"/>
      <c r="T42" s="84"/>
      <c r="U42" s="5"/>
    </row>
    <row r="43" spans="12:21">
      <c r="L43" s="91">
        <v>1</v>
      </c>
      <c r="M43" s="92">
        <v>0</v>
      </c>
      <c r="N43" s="91">
        <f>D11</f>
        <v>341.72552281758271</v>
      </c>
      <c r="O43" s="93">
        <f>1+O42/100</f>
        <v>1.01</v>
      </c>
      <c r="P43" s="91">
        <f t="shared" ref="P43:P62" si="16">+N43/O43</f>
        <v>338.34210179958683</v>
      </c>
      <c r="Q43" s="94">
        <f t="shared" ref="Q43:Q62" si="17">+Q42+P43</f>
        <v>-6011.0926582004131</v>
      </c>
      <c r="R43" s="5">
        <f t="shared" ref="R43:R62" si="18">IF(Q43&gt;1,0,1)</f>
        <v>1</v>
      </c>
      <c r="S43" s="5">
        <f t="shared" ref="S43:S62" si="19">IF(+R43+R44=1,Q43,0)</f>
        <v>0</v>
      </c>
      <c r="T43" s="5">
        <v>0</v>
      </c>
      <c r="U43" s="5"/>
    </row>
    <row r="44" spans="12:21">
      <c r="L44" s="95">
        <v>2</v>
      </c>
      <c r="M44" s="96">
        <v>0</v>
      </c>
      <c r="N44" s="95">
        <f t="shared" ref="N44:N62" si="20">+N43</f>
        <v>341.72552281758271</v>
      </c>
      <c r="O44" s="97">
        <f>+O43*O$43</f>
        <v>1.0201</v>
      </c>
      <c r="P44" s="91">
        <f t="shared" si="16"/>
        <v>334.99217999959092</v>
      </c>
      <c r="Q44" s="94">
        <f t="shared" si="17"/>
        <v>-5676.1004782008222</v>
      </c>
      <c r="R44" s="5">
        <f t="shared" si="18"/>
        <v>1</v>
      </c>
      <c r="S44" s="5">
        <f t="shared" si="19"/>
        <v>0</v>
      </c>
      <c r="T44" s="5">
        <f t="shared" ref="T44:T54" si="21">IF(+R43+R44=1,Q44,0)</f>
        <v>0</v>
      </c>
      <c r="U44" s="5"/>
    </row>
    <row r="45" spans="12:21">
      <c r="L45" s="95">
        <v>3</v>
      </c>
      <c r="M45" s="96">
        <v>0</v>
      </c>
      <c r="N45" s="95">
        <f t="shared" si="20"/>
        <v>341.72552281758271</v>
      </c>
      <c r="O45" s="97">
        <f t="shared" ref="O45:O62" si="22">+O44*O$43</f>
        <v>1.0303009999999999</v>
      </c>
      <c r="P45" s="91">
        <f t="shared" si="16"/>
        <v>331.6754257421693</v>
      </c>
      <c r="Q45" s="94">
        <f t="shared" si="17"/>
        <v>-5344.4250524586532</v>
      </c>
      <c r="R45" s="5">
        <f t="shared" si="18"/>
        <v>1</v>
      </c>
      <c r="S45" s="5">
        <f t="shared" si="19"/>
        <v>0</v>
      </c>
      <c r="T45" s="5">
        <f t="shared" si="21"/>
        <v>0</v>
      </c>
      <c r="U45" s="5"/>
    </row>
    <row r="46" spans="12:21">
      <c r="L46" s="95">
        <v>4</v>
      </c>
      <c r="M46" s="96">
        <v>0</v>
      </c>
      <c r="N46" s="95">
        <f t="shared" si="20"/>
        <v>341.72552281758271</v>
      </c>
      <c r="O46" s="97">
        <f t="shared" si="22"/>
        <v>1.04060401</v>
      </c>
      <c r="P46" s="91">
        <f t="shared" si="16"/>
        <v>328.39151063581113</v>
      </c>
      <c r="Q46" s="94">
        <f t="shared" si="17"/>
        <v>-5016.0335418228424</v>
      </c>
      <c r="R46" s="5">
        <f t="shared" si="18"/>
        <v>1</v>
      </c>
      <c r="S46" s="5">
        <f t="shared" si="19"/>
        <v>0</v>
      </c>
      <c r="T46" s="5">
        <f t="shared" si="21"/>
        <v>0</v>
      </c>
      <c r="U46" s="5"/>
    </row>
    <row r="47" spans="12:21">
      <c r="L47" s="95">
        <v>5</v>
      </c>
      <c r="M47" s="96">
        <v>0</v>
      </c>
      <c r="N47" s="95">
        <f t="shared" si="20"/>
        <v>341.72552281758271</v>
      </c>
      <c r="O47" s="97">
        <f t="shared" si="22"/>
        <v>1.0510100500999999</v>
      </c>
      <c r="P47" s="91">
        <f t="shared" si="16"/>
        <v>325.14010954040708</v>
      </c>
      <c r="Q47" s="94">
        <f t="shared" si="17"/>
        <v>-4690.8934322824352</v>
      </c>
      <c r="R47" s="5">
        <f t="shared" si="18"/>
        <v>1</v>
      </c>
      <c r="S47" s="5">
        <f t="shared" si="19"/>
        <v>0</v>
      </c>
      <c r="T47" s="5">
        <f t="shared" si="21"/>
        <v>0</v>
      </c>
      <c r="U47" s="5"/>
    </row>
    <row r="48" spans="12:21">
      <c r="L48" s="95">
        <v>6</v>
      </c>
      <c r="M48" s="96">
        <v>0</v>
      </c>
      <c r="N48" s="95">
        <f t="shared" si="20"/>
        <v>341.72552281758271</v>
      </c>
      <c r="O48" s="97">
        <f t="shared" si="22"/>
        <v>1.0615201506009999</v>
      </c>
      <c r="P48" s="91">
        <f t="shared" si="16"/>
        <v>321.92090053505655</v>
      </c>
      <c r="Q48" s="94">
        <f t="shared" si="17"/>
        <v>-4368.9725317473785</v>
      </c>
      <c r="R48" s="5">
        <f t="shared" si="18"/>
        <v>1</v>
      </c>
      <c r="S48" s="5">
        <f t="shared" si="19"/>
        <v>0</v>
      </c>
      <c r="T48" s="5">
        <f t="shared" si="21"/>
        <v>0</v>
      </c>
      <c r="U48" s="5"/>
    </row>
    <row r="49" spans="12:21">
      <c r="L49" s="95">
        <v>7</v>
      </c>
      <c r="M49" s="96">
        <v>0</v>
      </c>
      <c r="N49" s="95">
        <f t="shared" si="20"/>
        <v>341.72552281758271</v>
      </c>
      <c r="O49" s="97">
        <f t="shared" si="22"/>
        <v>1.0721353521070098</v>
      </c>
      <c r="P49" s="91">
        <f t="shared" si="16"/>
        <v>318.73356488619459</v>
      </c>
      <c r="Q49" s="94">
        <f t="shared" si="17"/>
        <v>-4050.2389668611841</v>
      </c>
      <c r="R49" s="5">
        <f t="shared" si="18"/>
        <v>1</v>
      </c>
      <c r="S49" s="5">
        <f t="shared" si="19"/>
        <v>0</v>
      </c>
      <c r="T49" s="5">
        <f t="shared" si="21"/>
        <v>0</v>
      </c>
      <c r="U49" s="5"/>
    </row>
    <row r="50" spans="12:21">
      <c r="L50" s="95">
        <v>8</v>
      </c>
      <c r="M50" s="96">
        <v>0</v>
      </c>
      <c r="N50" s="95">
        <f t="shared" si="20"/>
        <v>341.72552281758271</v>
      </c>
      <c r="O50" s="97">
        <f t="shared" si="22"/>
        <v>1.08285670562808</v>
      </c>
      <c r="P50" s="91">
        <f t="shared" si="16"/>
        <v>315.57778701603422</v>
      </c>
      <c r="Q50" s="94">
        <f t="shared" si="17"/>
        <v>-3734.6611798451499</v>
      </c>
      <c r="R50" s="5">
        <f t="shared" si="18"/>
        <v>1</v>
      </c>
      <c r="S50" s="5">
        <f t="shared" si="19"/>
        <v>0</v>
      </c>
      <c r="T50" s="5">
        <f t="shared" si="21"/>
        <v>0</v>
      </c>
      <c r="U50" s="5"/>
    </row>
    <row r="51" spans="12:21">
      <c r="L51" s="95">
        <v>9</v>
      </c>
      <c r="M51" s="96">
        <v>0</v>
      </c>
      <c r="N51" s="95">
        <f t="shared" si="20"/>
        <v>341.72552281758271</v>
      </c>
      <c r="O51" s="97">
        <f t="shared" si="22"/>
        <v>1.0936852726843609</v>
      </c>
      <c r="P51" s="91">
        <f t="shared" si="16"/>
        <v>312.45325447132103</v>
      </c>
      <c r="Q51" s="94">
        <f t="shared" si="17"/>
        <v>-3422.2079253738289</v>
      </c>
      <c r="R51" s="5">
        <f t="shared" si="18"/>
        <v>1</v>
      </c>
      <c r="S51" s="5">
        <f t="shared" si="19"/>
        <v>0</v>
      </c>
      <c r="T51" s="5">
        <f t="shared" si="21"/>
        <v>0</v>
      </c>
      <c r="U51" s="5"/>
    </row>
    <row r="52" spans="12:21">
      <c r="L52" s="95">
        <f t="shared" ref="L52:L62" si="23">1+L51</f>
        <v>10</v>
      </c>
      <c r="M52" s="96">
        <v>0</v>
      </c>
      <c r="N52" s="95">
        <f t="shared" si="20"/>
        <v>341.72552281758271</v>
      </c>
      <c r="O52" s="97">
        <f t="shared" si="22"/>
        <v>1.1046221254112045</v>
      </c>
      <c r="P52" s="91">
        <f t="shared" si="16"/>
        <v>309.35965789239702</v>
      </c>
      <c r="Q52" s="94">
        <f t="shared" si="17"/>
        <v>-3112.8482674814318</v>
      </c>
      <c r="R52" s="5">
        <f t="shared" si="18"/>
        <v>1</v>
      </c>
      <c r="S52" s="5">
        <f t="shared" si="19"/>
        <v>0</v>
      </c>
      <c r="T52" s="5">
        <f t="shared" si="21"/>
        <v>0</v>
      </c>
      <c r="U52" s="5"/>
    </row>
    <row r="53" spans="12:21">
      <c r="L53" s="95">
        <f t="shared" si="23"/>
        <v>11</v>
      </c>
      <c r="M53" s="96">
        <v>0</v>
      </c>
      <c r="N53" s="95">
        <f t="shared" si="20"/>
        <v>341.72552281758271</v>
      </c>
      <c r="O53" s="97">
        <f t="shared" si="22"/>
        <v>1.1156683466653166</v>
      </c>
      <c r="P53" s="91">
        <f t="shared" si="16"/>
        <v>306.29669098257131</v>
      </c>
      <c r="Q53" s="94">
        <f t="shared" si="17"/>
        <v>-2806.5515764988604</v>
      </c>
      <c r="R53" s="5">
        <f t="shared" si="18"/>
        <v>1</v>
      </c>
      <c r="S53" s="5">
        <f t="shared" si="19"/>
        <v>0</v>
      </c>
      <c r="T53" s="5">
        <f t="shared" si="21"/>
        <v>0</v>
      </c>
      <c r="U53" s="5"/>
    </row>
    <row r="54" spans="12:21">
      <c r="L54" s="95">
        <f t="shared" si="23"/>
        <v>12</v>
      </c>
      <c r="M54" s="96">
        <v>0</v>
      </c>
      <c r="N54" s="95">
        <f t="shared" si="20"/>
        <v>341.72552281758271</v>
      </c>
      <c r="O54" s="97">
        <f t="shared" si="22"/>
        <v>1.1268250301319698</v>
      </c>
      <c r="P54" s="91">
        <f t="shared" si="16"/>
        <v>303.26405047779338</v>
      </c>
      <c r="Q54" s="94">
        <f t="shared" si="17"/>
        <v>-2503.2875260210672</v>
      </c>
      <c r="R54" s="5">
        <f t="shared" si="18"/>
        <v>1</v>
      </c>
      <c r="S54" s="5">
        <f t="shared" si="19"/>
        <v>0</v>
      </c>
      <c r="T54" s="5">
        <f t="shared" si="21"/>
        <v>0</v>
      </c>
      <c r="U54" s="5"/>
    </row>
    <row r="55" spans="12:21">
      <c r="L55" s="95">
        <f t="shared" si="23"/>
        <v>13</v>
      </c>
      <c r="M55" s="96">
        <v>0</v>
      </c>
      <c r="N55" s="95">
        <f t="shared" si="20"/>
        <v>341.72552281758271</v>
      </c>
      <c r="O55" s="97">
        <f t="shared" si="22"/>
        <v>1.1380932804332895</v>
      </c>
      <c r="P55" s="91">
        <f t="shared" si="16"/>
        <v>300.26143611662707</v>
      </c>
      <c r="Q55" s="94">
        <f t="shared" si="17"/>
        <v>-2203.0260899044401</v>
      </c>
      <c r="R55" s="5">
        <f t="shared" si="18"/>
        <v>1</v>
      </c>
      <c r="S55" s="5">
        <f t="shared" si="19"/>
        <v>0</v>
      </c>
      <c r="T55" s="5">
        <f>IF(+R53+R55=1,Q55,0)</f>
        <v>0</v>
      </c>
      <c r="U55" s="5"/>
    </row>
    <row r="56" spans="12:21">
      <c r="L56" s="95">
        <f t="shared" si="23"/>
        <v>14</v>
      </c>
      <c r="M56" s="96">
        <v>0</v>
      </c>
      <c r="N56" s="95">
        <f t="shared" si="20"/>
        <v>341.72552281758271</v>
      </c>
      <c r="O56" s="97">
        <f t="shared" si="22"/>
        <v>1.1494742132376223</v>
      </c>
      <c r="P56" s="91">
        <f t="shared" si="16"/>
        <v>297.2885506105219</v>
      </c>
      <c r="Q56" s="94">
        <f t="shared" si="17"/>
        <v>-1905.7375392939182</v>
      </c>
      <c r="R56" s="5">
        <f t="shared" si="18"/>
        <v>1</v>
      </c>
      <c r="S56" s="5">
        <f t="shared" si="19"/>
        <v>0</v>
      </c>
      <c r="T56" s="5">
        <f t="shared" ref="T56:T62" si="24">IF(+R55+R56=1,Q56,0)</f>
        <v>0</v>
      </c>
      <c r="U56" s="5"/>
    </row>
    <row r="57" spans="12:21">
      <c r="L57" s="95">
        <f t="shared" si="23"/>
        <v>15</v>
      </c>
      <c r="M57" s="114">
        <v>0</v>
      </c>
      <c r="N57" s="95">
        <f t="shared" si="20"/>
        <v>341.72552281758271</v>
      </c>
      <c r="O57" s="97">
        <f t="shared" si="22"/>
        <v>1.1609689553699987</v>
      </c>
      <c r="P57" s="91">
        <f t="shared" si="16"/>
        <v>294.34509961437806</v>
      </c>
      <c r="Q57" s="94">
        <f t="shared" si="17"/>
        <v>-1611.3924396795401</v>
      </c>
      <c r="R57" s="5">
        <f t="shared" si="18"/>
        <v>1</v>
      </c>
      <c r="S57" s="5">
        <f t="shared" si="19"/>
        <v>0</v>
      </c>
      <c r="T57" s="5">
        <f t="shared" si="24"/>
        <v>0</v>
      </c>
      <c r="U57" s="5"/>
    </row>
    <row r="58" spans="12:21">
      <c r="L58" s="95">
        <f t="shared" si="23"/>
        <v>16</v>
      </c>
      <c r="M58" s="96">
        <v>0</v>
      </c>
      <c r="N58" s="95">
        <f t="shared" si="20"/>
        <v>341.72552281758271</v>
      </c>
      <c r="O58" s="97">
        <f t="shared" si="22"/>
        <v>1.1725786449236986</v>
      </c>
      <c r="P58" s="91">
        <f t="shared" si="16"/>
        <v>291.43079169740406</v>
      </c>
      <c r="Q58" s="94">
        <f t="shared" si="17"/>
        <v>-1319.9616479821361</v>
      </c>
      <c r="R58" s="5">
        <f t="shared" si="18"/>
        <v>1</v>
      </c>
      <c r="S58" s="5">
        <f t="shared" si="19"/>
        <v>0</v>
      </c>
      <c r="T58" s="5">
        <f t="shared" si="24"/>
        <v>0</v>
      </c>
      <c r="U58" s="5"/>
    </row>
    <row r="59" spans="12:21">
      <c r="L59" s="95">
        <f t="shared" si="23"/>
        <v>17</v>
      </c>
      <c r="M59" s="96">
        <v>0</v>
      </c>
      <c r="N59" s="95">
        <f t="shared" si="20"/>
        <v>341.72552281758271</v>
      </c>
      <c r="O59" s="97">
        <f t="shared" si="22"/>
        <v>1.1843044313729356</v>
      </c>
      <c r="P59" s="91">
        <f t="shared" si="16"/>
        <v>288.54533831426141</v>
      </c>
      <c r="Q59" s="94">
        <f t="shared" si="17"/>
        <v>-1031.4163096678747</v>
      </c>
      <c r="R59" s="5">
        <f t="shared" si="18"/>
        <v>1</v>
      </c>
      <c r="S59" s="5">
        <f t="shared" si="19"/>
        <v>0</v>
      </c>
      <c r="T59" s="5">
        <f t="shared" si="24"/>
        <v>0</v>
      </c>
      <c r="U59" s="5"/>
    </row>
    <row r="60" spans="12:21">
      <c r="L60" s="95">
        <f t="shared" si="23"/>
        <v>18</v>
      </c>
      <c r="M60" s="96">
        <v>0</v>
      </c>
      <c r="N60" s="95">
        <f t="shared" si="20"/>
        <v>341.72552281758271</v>
      </c>
      <c r="O60" s="97">
        <f t="shared" si="22"/>
        <v>1.196147475686665</v>
      </c>
      <c r="P60" s="91">
        <f t="shared" si="16"/>
        <v>285.68845377649643</v>
      </c>
      <c r="Q60" s="94">
        <f t="shared" si="17"/>
        <v>-745.72785589137823</v>
      </c>
      <c r="R60" s="5">
        <f t="shared" si="18"/>
        <v>1</v>
      </c>
      <c r="S60" s="5">
        <f t="shared" si="19"/>
        <v>0</v>
      </c>
      <c r="T60" s="5">
        <f t="shared" si="24"/>
        <v>0</v>
      </c>
      <c r="U60" s="5"/>
    </row>
    <row r="61" spans="12:21">
      <c r="L61" s="95">
        <f t="shared" si="23"/>
        <v>19</v>
      </c>
      <c r="M61" s="96">
        <v>0</v>
      </c>
      <c r="N61" s="95">
        <f t="shared" si="20"/>
        <v>341.72552281758271</v>
      </c>
      <c r="O61" s="97">
        <f t="shared" si="22"/>
        <v>1.2081089504435316</v>
      </c>
      <c r="P61" s="91">
        <f t="shared" si="16"/>
        <v>282.85985522425392</v>
      </c>
      <c r="Q61" s="94">
        <f t="shared" si="17"/>
        <v>-462.86800066712431</v>
      </c>
      <c r="R61" s="5">
        <f t="shared" si="18"/>
        <v>1</v>
      </c>
      <c r="S61" s="5">
        <f t="shared" si="19"/>
        <v>0</v>
      </c>
      <c r="T61" s="5">
        <f t="shared" si="24"/>
        <v>0</v>
      </c>
      <c r="U61" s="5"/>
    </row>
    <row r="62" spans="12:21">
      <c r="L62" s="95">
        <f t="shared" si="23"/>
        <v>20</v>
      </c>
      <c r="M62" s="96">
        <v>0</v>
      </c>
      <c r="N62" s="95">
        <f t="shared" si="20"/>
        <v>341.72552281758271</v>
      </c>
      <c r="O62" s="97">
        <f t="shared" si="22"/>
        <v>1.220190039947967</v>
      </c>
      <c r="P62" s="91">
        <f t="shared" si="16"/>
        <v>280.05926259827118</v>
      </c>
      <c r="Q62" s="94">
        <f t="shared" si="17"/>
        <v>-182.80873806885313</v>
      </c>
      <c r="R62" s="5">
        <f t="shared" si="18"/>
        <v>1</v>
      </c>
      <c r="S62" s="5">
        <f t="shared" si="19"/>
        <v>-182.80873806885313</v>
      </c>
      <c r="T62" s="5">
        <f t="shared" si="24"/>
        <v>0</v>
      </c>
      <c r="U62" s="5"/>
    </row>
    <row r="63" spans="12:21">
      <c r="L63" s="95"/>
      <c r="M63" s="96"/>
      <c r="N63" s="95"/>
      <c r="O63" s="97"/>
      <c r="P63" s="91"/>
      <c r="Q63" s="94"/>
      <c r="R63" s="5"/>
      <c r="S63" s="5"/>
      <c r="T63" s="5"/>
      <c r="U63" s="5"/>
    </row>
    <row r="64" spans="12:21">
      <c r="L64" s="95"/>
      <c r="M64" s="96"/>
      <c r="N64" s="95"/>
      <c r="O64" s="97"/>
      <c r="P64" s="91"/>
      <c r="Q64" s="94"/>
      <c r="R64" s="5"/>
      <c r="S64" s="5"/>
      <c r="T64" s="5"/>
      <c r="U64" s="5"/>
    </row>
    <row r="65" spans="12:21">
      <c r="L65" s="95"/>
      <c r="M65" s="96"/>
      <c r="N65" s="95"/>
      <c r="O65" s="97"/>
      <c r="P65" s="91"/>
      <c r="Q65" s="94"/>
      <c r="R65" s="5"/>
      <c r="S65" s="5"/>
      <c r="T65" s="5"/>
      <c r="U65" s="5"/>
    </row>
    <row r="66" spans="12:21">
      <c r="L66" s="95"/>
      <c r="M66" s="96"/>
      <c r="N66" s="95"/>
      <c r="O66" s="97"/>
      <c r="P66" s="91"/>
      <c r="Q66" s="94"/>
      <c r="R66" s="5"/>
      <c r="S66" s="5"/>
      <c r="T66" s="5"/>
      <c r="U66" s="5"/>
    </row>
    <row r="67" spans="12:21">
      <c r="L67" s="95"/>
      <c r="M67" s="96"/>
      <c r="N67" s="95"/>
      <c r="O67" s="97"/>
      <c r="P67" s="91"/>
      <c r="Q67" s="94"/>
      <c r="R67" s="5"/>
      <c r="S67" s="5"/>
      <c r="T67" s="5"/>
      <c r="U67" s="5"/>
    </row>
    <row r="68" spans="12:21">
      <c r="L68" s="95"/>
      <c r="M68" s="96"/>
      <c r="N68" s="95"/>
      <c r="O68" s="97"/>
      <c r="P68" s="91"/>
      <c r="Q68" s="94"/>
      <c r="R68" s="5"/>
      <c r="S68" s="5"/>
      <c r="T68" s="5"/>
      <c r="U68" s="5"/>
    </row>
    <row r="69" spans="12:21">
      <c r="L69" s="95"/>
      <c r="M69" s="96"/>
      <c r="N69" s="95"/>
      <c r="O69" s="97"/>
      <c r="P69" s="91"/>
      <c r="Q69" s="94"/>
      <c r="R69" s="5"/>
      <c r="S69" s="5"/>
      <c r="T69" s="5"/>
      <c r="U69" s="5"/>
    </row>
    <row r="70" spans="12:21">
      <c r="L70" s="95"/>
      <c r="M70" s="96"/>
      <c r="N70" s="95"/>
      <c r="O70" s="97"/>
      <c r="P70" s="91"/>
      <c r="Q70" s="94"/>
      <c r="R70" s="5"/>
      <c r="S70" s="5"/>
      <c r="T70" s="5"/>
      <c r="U70" s="5"/>
    </row>
    <row r="71" spans="12:21">
      <c r="L71" s="95"/>
      <c r="M71" s="96"/>
      <c r="N71" s="95"/>
      <c r="O71" s="97"/>
      <c r="P71" s="91"/>
      <c r="Q71" s="94"/>
      <c r="R71" s="5"/>
      <c r="S71" s="5"/>
      <c r="T71" s="5"/>
      <c r="U71" s="5"/>
    </row>
    <row r="72" spans="12:21" ht="15.75" thickBot="1">
      <c r="L72" s="95"/>
      <c r="M72" s="96"/>
      <c r="N72" s="95"/>
      <c r="O72" s="97"/>
      <c r="P72" s="91"/>
      <c r="Q72" s="94"/>
      <c r="R72" s="5"/>
      <c r="S72" s="5"/>
      <c r="T72" s="5"/>
      <c r="U72" s="5"/>
    </row>
    <row r="73" spans="12:21">
      <c r="L73" s="98"/>
      <c r="M73" s="115" t="s">
        <v>248</v>
      </c>
      <c r="N73" s="100">
        <f>SUM(N42:N62)</f>
        <v>485.07569635165419</v>
      </c>
      <c r="O73" s="101"/>
      <c r="P73" s="101"/>
      <c r="Q73" s="102"/>
      <c r="R73" s="5">
        <f>SUM(R43:R72)</f>
        <v>20</v>
      </c>
      <c r="S73" s="103">
        <f>SUM(S43:S72)</f>
        <v>-182.80873806885313</v>
      </c>
      <c r="T73" s="103">
        <f>SUM(T43:T72)</f>
        <v>0</v>
      </c>
      <c r="U73" s="5"/>
    </row>
    <row r="74" spans="12:21">
      <c r="L74" s="104"/>
      <c r="M74" s="116" t="s">
        <v>9</v>
      </c>
      <c r="N74" s="106">
        <f>IRR(N42:N62)</f>
        <v>7.116137118334513E-3</v>
      </c>
      <c r="O74" s="107"/>
      <c r="P74" s="107"/>
      <c r="Q74" s="108"/>
      <c r="R74" s="5"/>
      <c r="S74" s="103"/>
      <c r="T74" s="103"/>
      <c r="U74" s="5"/>
    </row>
    <row r="75" spans="12:21" ht="15.75" thickBot="1">
      <c r="L75" s="109"/>
      <c r="M75" s="117" t="s">
        <v>249</v>
      </c>
      <c r="N75" s="111">
        <f>+M42/N43</f>
        <v>18.580510778498116</v>
      </c>
      <c r="O75" s="112"/>
      <c r="P75" s="112"/>
      <c r="Q75" s="113"/>
      <c r="R75" s="5"/>
      <c r="S75" s="86">
        <f>+(-S73)/(T73-S73)</f>
        <v>1</v>
      </c>
      <c r="T75" s="5"/>
      <c r="U75" s="5"/>
    </row>
    <row r="76" spans="12:21"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2:21"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2:21"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2:21"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2:21"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2:21"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2:21"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2:21"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2:21"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2:21"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2:21"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2:21"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2:21"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2:21"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2:21"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2:21"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2:21"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2:21"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2:21"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2:21"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2:21"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2:21"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2:21"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2:21"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2:21"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2:21"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2:21"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2:21"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2:21"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2:21"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2:21"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2:21"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2:21"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2:21"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2:21"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2:21"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2:21"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2:21"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2:21"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2:21"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2:21"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2:21"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2:21"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2:21"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2:21"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2:21"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2:21"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2:21"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2:21"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2:21"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2:21"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2:21"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2:21"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2:21"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2:21"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2:21"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2:21"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2:21"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2:21"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2:21"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2:21"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2:21"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2:21"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2:21"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2:21"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2:21"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2:21"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2:21"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2:21"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2:21"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2:21"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2:21"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2:21"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2:21"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2:21"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2:21"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2:21"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2:21"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2:21"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2:21"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2:21"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2:21"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2:21"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2:21"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2:21"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2:21"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2:21"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2:21">
      <c r="L163" s="5"/>
      <c r="M163" s="5"/>
      <c r="N163" s="5"/>
      <c r="O163" s="5"/>
      <c r="P163" s="5"/>
      <c r="Q163" s="5"/>
      <c r="R163" s="5"/>
      <c r="S163" s="5"/>
      <c r="T163" s="5"/>
      <c r="U163" s="5"/>
    </row>
  </sheetData>
  <mergeCells count="4">
    <mergeCell ref="F4:F5"/>
    <mergeCell ref="H4:I4"/>
    <mergeCell ref="F14:F15"/>
    <mergeCell ref="H14:I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7"/>
  <sheetViews>
    <sheetView zoomScale="115" zoomScaleNormal="115" workbookViewId="0">
      <selection activeCell="D9" sqref="A3:E9"/>
    </sheetView>
  </sheetViews>
  <sheetFormatPr defaultRowHeight="15"/>
  <cols>
    <col min="1" max="1" width="9.140625" style="5"/>
    <col min="2" max="2" width="17.140625" style="5" customWidth="1"/>
    <col min="3" max="3" width="9.85546875" style="5" bestFit="1" customWidth="1"/>
    <col min="4" max="4" width="10.28515625" style="5" bestFit="1" customWidth="1"/>
    <col min="5" max="5" width="12.42578125" style="5" customWidth="1"/>
    <col min="6" max="16384" width="9.140625" style="5"/>
  </cols>
  <sheetData>
    <row r="1" spans="1:5" ht="18.75">
      <c r="A1" s="4" t="s">
        <v>146</v>
      </c>
      <c r="B1" s="38"/>
      <c r="C1" s="38"/>
      <c r="D1" s="38"/>
      <c r="E1" s="39"/>
    </row>
    <row r="2" spans="1:5" ht="15.75" thickBot="1">
      <c r="A2" s="40" t="s">
        <v>7</v>
      </c>
      <c r="B2" s="40"/>
      <c r="C2" s="40"/>
      <c r="D2" s="40"/>
      <c r="E2" s="40"/>
    </row>
    <row r="3" spans="1:5" ht="15.75">
      <c r="A3" s="632"/>
      <c r="B3" s="633"/>
      <c r="C3" s="430" t="s">
        <v>131</v>
      </c>
      <c r="D3" s="430" t="s">
        <v>33</v>
      </c>
      <c r="E3" s="431" t="s">
        <v>132</v>
      </c>
    </row>
    <row r="4" spans="1:5" ht="18" customHeight="1">
      <c r="A4" s="630" t="s">
        <v>133</v>
      </c>
      <c r="B4" s="631"/>
      <c r="C4" s="41" t="s">
        <v>134</v>
      </c>
      <c r="D4" s="41" t="s">
        <v>144</v>
      </c>
      <c r="E4" s="46">
        <v>0.25</v>
      </c>
    </row>
    <row r="5" spans="1:5" ht="32.25" customHeight="1">
      <c r="A5" s="630" t="s">
        <v>135</v>
      </c>
      <c r="B5" s="631"/>
      <c r="C5" s="41" t="s">
        <v>147</v>
      </c>
      <c r="D5" s="41" t="s">
        <v>145</v>
      </c>
      <c r="E5" s="47">
        <v>0.48</v>
      </c>
    </row>
    <row r="6" spans="1:5" ht="36.75" customHeight="1">
      <c r="A6" s="630" t="s">
        <v>136</v>
      </c>
      <c r="B6" s="631"/>
      <c r="C6" s="41" t="s">
        <v>147</v>
      </c>
      <c r="D6" s="41" t="s">
        <v>145</v>
      </c>
      <c r="E6" s="47">
        <v>0.36</v>
      </c>
    </row>
    <row r="7" spans="1:5" ht="35.25" customHeight="1">
      <c r="A7" s="630" t="s">
        <v>137</v>
      </c>
      <c r="B7" s="631"/>
      <c r="C7" s="41" t="s">
        <v>148</v>
      </c>
      <c r="D7" s="41" t="s">
        <v>145</v>
      </c>
      <c r="E7" s="46">
        <v>0.9</v>
      </c>
    </row>
    <row r="8" spans="1:5" ht="15.75">
      <c r="A8" s="630" t="s">
        <v>138</v>
      </c>
      <c r="B8" s="631"/>
      <c r="C8" s="41" t="s">
        <v>139</v>
      </c>
      <c r="D8" s="45" t="s">
        <v>140</v>
      </c>
      <c r="E8" s="47">
        <v>1.88</v>
      </c>
    </row>
    <row r="9" spans="1:5" ht="15.75" customHeight="1" thickBot="1">
      <c r="A9" s="634" t="s">
        <v>141</v>
      </c>
      <c r="B9" s="635"/>
      <c r="C9" s="48" t="s">
        <v>343</v>
      </c>
      <c r="D9" s="636" t="s">
        <v>344</v>
      </c>
      <c r="E9" s="637"/>
    </row>
    <row r="10" spans="1:5">
      <c r="A10" s="37"/>
      <c r="B10" s="42"/>
      <c r="C10" s="42"/>
      <c r="D10" s="42"/>
      <c r="E10" s="42"/>
    </row>
    <row r="11" spans="1:5">
      <c r="A11" s="40"/>
      <c r="B11" s="42"/>
      <c r="C11" s="42"/>
      <c r="D11" s="42"/>
      <c r="E11" s="42"/>
    </row>
    <row r="12" spans="1:5" ht="15.75" thickBot="1">
      <c r="A12" s="40" t="s">
        <v>97</v>
      </c>
      <c r="B12" s="42"/>
      <c r="C12" s="42"/>
      <c r="D12" s="42"/>
      <c r="E12" s="42"/>
    </row>
    <row r="13" spans="1:5" ht="15.75">
      <c r="A13" s="638"/>
      <c r="B13" s="639"/>
      <c r="C13" s="430" t="s">
        <v>131</v>
      </c>
      <c r="D13" s="430" t="s">
        <v>33</v>
      </c>
      <c r="E13" s="431" t="s">
        <v>132</v>
      </c>
    </row>
    <row r="14" spans="1:5" ht="18" customHeight="1">
      <c r="A14" s="630" t="s">
        <v>133</v>
      </c>
      <c r="B14" s="631"/>
      <c r="C14" s="43" t="s">
        <v>134</v>
      </c>
      <c r="D14" s="43" t="s">
        <v>144</v>
      </c>
      <c r="E14" s="46">
        <v>0.25</v>
      </c>
    </row>
    <row r="15" spans="1:5" ht="33.75" customHeight="1">
      <c r="A15" s="630" t="s">
        <v>135</v>
      </c>
      <c r="B15" s="631"/>
      <c r="C15" s="43" t="s">
        <v>147</v>
      </c>
      <c r="D15" s="43" t="s">
        <v>145</v>
      </c>
      <c r="E15" s="47">
        <v>0.48</v>
      </c>
    </row>
    <row r="16" spans="1:5" ht="33.75" customHeight="1">
      <c r="A16" s="630" t="s">
        <v>136</v>
      </c>
      <c r="B16" s="631"/>
      <c r="C16" s="43" t="s">
        <v>147</v>
      </c>
      <c r="D16" s="43" t="s">
        <v>145</v>
      </c>
      <c r="E16" s="47">
        <v>0.36</v>
      </c>
    </row>
    <row r="17" spans="1:5" ht="33.75" customHeight="1">
      <c r="A17" s="630" t="s">
        <v>137</v>
      </c>
      <c r="B17" s="631"/>
      <c r="C17" s="43" t="s">
        <v>148</v>
      </c>
      <c r="D17" s="43" t="s">
        <v>145</v>
      </c>
      <c r="E17" s="47">
        <v>0.69</v>
      </c>
    </row>
    <row r="18" spans="1:5" ht="15.75" customHeight="1">
      <c r="A18" s="630" t="s">
        <v>138</v>
      </c>
      <c r="B18" s="631"/>
      <c r="C18" s="43" t="s">
        <v>139</v>
      </c>
      <c r="D18" s="44" t="s">
        <v>140</v>
      </c>
      <c r="E18" s="47">
        <v>1.44</v>
      </c>
    </row>
    <row r="19" spans="1:5" ht="16.5" thickBot="1">
      <c r="A19" s="634" t="s">
        <v>141</v>
      </c>
      <c r="B19" s="635"/>
      <c r="C19" s="48" t="s">
        <v>151</v>
      </c>
      <c r="D19" s="644" t="s">
        <v>324</v>
      </c>
      <c r="E19" s="645"/>
    </row>
    <row r="20" spans="1:5" ht="15.75" thickBot="1">
      <c r="A20" s="42" t="s">
        <v>98</v>
      </c>
      <c r="B20" s="42"/>
      <c r="C20" s="42"/>
      <c r="D20" s="42"/>
      <c r="E20" s="42"/>
    </row>
    <row r="21" spans="1:5" ht="15.75">
      <c r="A21" s="646"/>
      <c r="B21" s="647"/>
      <c r="C21" s="430" t="s">
        <v>131</v>
      </c>
      <c r="D21" s="430" t="s">
        <v>33</v>
      </c>
      <c r="E21" s="431" t="s">
        <v>132</v>
      </c>
    </row>
    <row r="22" spans="1:5" ht="18">
      <c r="A22" s="640" t="s">
        <v>133</v>
      </c>
      <c r="B22" s="641"/>
      <c r="C22" s="43" t="s">
        <v>134</v>
      </c>
      <c r="D22" s="43" t="s">
        <v>144</v>
      </c>
      <c r="E22" s="46">
        <v>0.25</v>
      </c>
    </row>
    <row r="23" spans="1:5" ht="31.5" customHeight="1">
      <c r="A23" s="640" t="s">
        <v>135</v>
      </c>
      <c r="B23" s="641"/>
      <c r="C23" s="43" t="s">
        <v>147</v>
      </c>
      <c r="D23" s="43" t="s">
        <v>145</v>
      </c>
      <c r="E23" s="47">
        <v>0.48</v>
      </c>
    </row>
    <row r="24" spans="1:5" ht="31.5" customHeight="1">
      <c r="A24" s="640" t="s">
        <v>136</v>
      </c>
      <c r="B24" s="641"/>
      <c r="C24" s="43" t="s">
        <v>147</v>
      </c>
      <c r="D24" s="43" t="s">
        <v>145</v>
      </c>
      <c r="E24" s="47">
        <v>0.36</v>
      </c>
    </row>
    <row r="25" spans="1:5" ht="36.75" customHeight="1">
      <c r="A25" s="640" t="s">
        <v>137</v>
      </c>
      <c r="B25" s="641"/>
      <c r="C25" s="43" t="s">
        <v>148</v>
      </c>
      <c r="D25" s="43" t="s">
        <v>145</v>
      </c>
      <c r="E25" s="47">
        <v>0.46</v>
      </c>
    </row>
    <row r="26" spans="1:5" ht="15.75">
      <c r="A26" s="640" t="s">
        <v>138</v>
      </c>
      <c r="B26" s="641"/>
      <c r="C26" s="43" t="s">
        <v>139</v>
      </c>
      <c r="D26" s="44" t="s">
        <v>140</v>
      </c>
      <c r="E26" s="47">
        <v>0.96</v>
      </c>
    </row>
    <row r="27" spans="1:5" ht="16.5" thickBot="1">
      <c r="A27" s="634" t="s">
        <v>141</v>
      </c>
      <c r="B27" s="635"/>
      <c r="C27" s="48" t="s">
        <v>142</v>
      </c>
      <c r="D27" s="642" t="s">
        <v>143</v>
      </c>
      <c r="E27" s="643"/>
    </row>
  </sheetData>
  <mergeCells count="24">
    <mergeCell ref="A17:B17"/>
    <mergeCell ref="A18:B18"/>
    <mergeCell ref="A19:B19"/>
    <mergeCell ref="A24:B24"/>
    <mergeCell ref="A25:B25"/>
    <mergeCell ref="A26:B26"/>
    <mergeCell ref="A27:B27"/>
    <mergeCell ref="D27:E27"/>
    <mergeCell ref="D19:E19"/>
    <mergeCell ref="A21:B21"/>
    <mergeCell ref="A22:B22"/>
    <mergeCell ref="A23:B23"/>
    <mergeCell ref="A9:B9"/>
    <mergeCell ref="D9:E9"/>
    <mergeCell ref="A16:B16"/>
    <mergeCell ref="A15:B15"/>
    <mergeCell ref="A14:B14"/>
    <mergeCell ref="A13:B13"/>
    <mergeCell ref="A8:B8"/>
    <mergeCell ref="A3:B3"/>
    <mergeCell ref="A4:B4"/>
    <mergeCell ref="A5:B5"/>
    <mergeCell ref="A6:B6"/>
    <mergeCell ref="A7:B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47"/>
  <sheetViews>
    <sheetView zoomScaleNormal="100" workbookViewId="0">
      <selection activeCell="B19" sqref="B19"/>
    </sheetView>
  </sheetViews>
  <sheetFormatPr defaultRowHeight="15"/>
  <cols>
    <col min="1" max="1" width="11" customWidth="1"/>
    <col min="2" max="2" width="11.7109375" bestFit="1" customWidth="1"/>
    <col min="3" max="3" width="9.42578125" bestFit="1" customWidth="1"/>
    <col min="4" max="4" width="9.28515625" customWidth="1"/>
    <col min="5" max="5" width="10" bestFit="1" customWidth="1"/>
    <col min="6" max="6" width="9.7109375" customWidth="1"/>
    <col min="8" max="8" width="40.140625" bestFit="1" customWidth="1"/>
    <col min="10" max="10" width="22.7109375" customWidth="1"/>
    <col min="11" max="11" width="10.85546875" customWidth="1"/>
    <col min="12" max="12" width="13" customWidth="1"/>
    <col min="17" max="17" width="10.5703125" bestFit="1" customWidth="1"/>
    <col min="18" max="18" width="11.5703125" bestFit="1" customWidth="1"/>
    <col min="20" max="20" width="10.140625" bestFit="1" customWidth="1"/>
  </cols>
  <sheetData>
    <row r="1" spans="1:24" ht="18.75">
      <c r="A1" s="4" t="s">
        <v>117</v>
      </c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4">
      <c r="J2" s="36" t="s">
        <v>215</v>
      </c>
      <c r="K2" s="36" t="s">
        <v>216</v>
      </c>
      <c r="L2" s="36" t="s">
        <v>217</v>
      </c>
      <c r="M2" s="36" t="s">
        <v>218</v>
      </c>
      <c r="N2" s="36" t="s">
        <v>219</v>
      </c>
      <c r="O2" s="36" t="s">
        <v>220</v>
      </c>
      <c r="P2" s="36" t="s">
        <v>221</v>
      </c>
      <c r="Q2" s="35" t="s">
        <v>222</v>
      </c>
      <c r="R2" s="66" t="s">
        <v>223</v>
      </c>
      <c r="S2" s="35" t="s">
        <v>224</v>
      </c>
      <c r="T2" s="36" t="s">
        <v>225</v>
      </c>
      <c r="U2" s="36"/>
      <c r="V2" s="36" t="s">
        <v>12</v>
      </c>
      <c r="W2" s="36" t="s">
        <v>226</v>
      </c>
      <c r="X2" s="36" t="s">
        <v>226</v>
      </c>
    </row>
    <row r="3" spans="1:24" ht="15.75" thickBot="1">
      <c r="A3" s="33" t="s">
        <v>118</v>
      </c>
      <c r="J3" s="36" t="s">
        <v>227</v>
      </c>
      <c r="K3" s="67">
        <v>521</v>
      </c>
      <c r="L3" s="67">
        <v>812</v>
      </c>
      <c r="M3" s="67">
        <v>339</v>
      </c>
      <c r="N3" s="67">
        <v>874.12587412587402</v>
      </c>
      <c r="O3" s="67">
        <v>711.11111111111109</v>
      </c>
      <c r="P3" s="67">
        <v>238.79003558718858</v>
      </c>
      <c r="Q3" s="68">
        <f t="shared" ref="Q3:R8" si="0">W3*1000</f>
        <v>0.58799999999999997</v>
      </c>
      <c r="R3" s="68">
        <f t="shared" si="0"/>
        <v>25.91</v>
      </c>
      <c r="S3" s="69">
        <v>127.82063309999999</v>
      </c>
      <c r="T3" s="69">
        <f t="shared" ref="T3:T8" si="1">+S3</f>
        <v>127.82063309999999</v>
      </c>
      <c r="U3" s="36"/>
      <c r="V3" s="36" t="s">
        <v>13</v>
      </c>
      <c r="W3" s="36">
        <v>5.8799999999999998E-4</v>
      </c>
      <c r="X3" s="36">
        <v>2.5909999999999999E-2</v>
      </c>
    </row>
    <row r="4" spans="1:24">
      <c r="A4" s="490" t="s">
        <v>119</v>
      </c>
      <c r="B4" s="491" t="s">
        <v>121</v>
      </c>
      <c r="C4" s="491" t="s">
        <v>97</v>
      </c>
      <c r="D4" s="491" t="s">
        <v>123</v>
      </c>
      <c r="E4" s="491" t="s">
        <v>98</v>
      </c>
      <c r="F4" s="492" t="s">
        <v>123</v>
      </c>
      <c r="H4" s="34" t="s">
        <v>130</v>
      </c>
      <c r="J4" s="36" t="s">
        <v>14</v>
      </c>
      <c r="K4" s="67">
        <v>383</v>
      </c>
      <c r="L4" s="67">
        <v>453</v>
      </c>
      <c r="M4" s="67">
        <v>392</v>
      </c>
      <c r="N4" s="67">
        <v>69.930069930069919</v>
      </c>
      <c r="O4" s="67">
        <v>1342.4501424501423</v>
      </c>
      <c r="P4" s="67">
        <v>331.3167259786477</v>
      </c>
      <c r="Q4" s="68">
        <f t="shared" si="0"/>
        <v>0.28200000000000003</v>
      </c>
      <c r="R4" s="68">
        <f t="shared" si="0"/>
        <v>489.37599999999998</v>
      </c>
      <c r="S4" s="69">
        <v>856.74565189999998</v>
      </c>
      <c r="T4" s="69">
        <f t="shared" si="1"/>
        <v>856.74565189999998</v>
      </c>
      <c r="U4" s="36"/>
      <c r="V4" s="36" t="s">
        <v>14</v>
      </c>
      <c r="W4" s="36">
        <v>2.8200000000000002E-4</v>
      </c>
      <c r="X4" s="36">
        <v>0.48937599999999998</v>
      </c>
    </row>
    <row r="5" spans="1:24">
      <c r="A5" s="493" t="s">
        <v>120</v>
      </c>
      <c r="B5" s="494" t="s">
        <v>122</v>
      </c>
      <c r="C5" s="494" t="s">
        <v>122</v>
      </c>
      <c r="D5" s="494" t="s">
        <v>122</v>
      </c>
      <c r="E5" s="494" t="s">
        <v>122</v>
      </c>
      <c r="F5" s="495" t="s">
        <v>122</v>
      </c>
      <c r="J5" s="36" t="s">
        <v>228</v>
      </c>
      <c r="K5" s="67">
        <v>129</v>
      </c>
      <c r="L5" s="67">
        <v>69</v>
      </c>
      <c r="M5" s="67">
        <v>56</v>
      </c>
      <c r="N5" s="67">
        <v>209.79020979020979</v>
      </c>
      <c r="O5" s="67">
        <v>170.94017094017093</v>
      </c>
      <c r="P5" s="67">
        <v>53.380782918149464</v>
      </c>
      <c r="Q5" s="68">
        <f t="shared" si="0"/>
        <v>47.058999999999997</v>
      </c>
      <c r="R5" s="68">
        <f t="shared" si="0"/>
        <v>415.69800000000004</v>
      </c>
      <c r="S5" s="69">
        <v>232.4613425</v>
      </c>
      <c r="T5" s="69">
        <f t="shared" si="1"/>
        <v>232.4613425</v>
      </c>
      <c r="U5" s="36"/>
      <c r="V5" s="36" t="s">
        <v>228</v>
      </c>
      <c r="W5" s="36">
        <v>4.7058999999999997E-2</v>
      </c>
      <c r="X5" s="36">
        <v>0.41569800000000001</v>
      </c>
    </row>
    <row r="6" spans="1:24" ht="45">
      <c r="A6" s="32" t="s">
        <v>124</v>
      </c>
      <c r="B6" s="70">
        <f>M25</f>
        <v>0.252</v>
      </c>
      <c r="C6" s="70">
        <f>M34</f>
        <v>0.214</v>
      </c>
      <c r="D6" s="70">
        <f>B6-C6</f>
        <v>3.8000000000000006E-2</v>
      </c>
      <c r="E6" s="70">
        <f>M43</f>
        <v>0.17799999999999999</v>
      </c>
      <c r="F6" s="71">
        <f>B6-E6</f>
        <v>7.400000000000001E-2</v>
      </c>
      <c r="J6" s="36" t="s">
        <v>15</v>
      </c>
      <c r="K6" s="67">
        <v>1928</v>
      </c>
      <c r="L6" s="67">
        <v>2063</v>
      </c>
      <c r="M6" s="67">
        <v>1687</v>
      </c>
      <c r="N6" s="67">
        <v>69.930069930069919</v>
      </c>
      <c r="O6" s="67">
        <v>2564.102564102564</v>
      </c>
      <c r="P6" s="67">
        <v>1601.423487544484</v>
      </c>
      <c r="Q6" s="68">
        <f t="shared" si="0"/>
        <v>9.4120000000000008</v>
      </c>
      <c r="R6" s="68">
        <f t="shared" si="0"/>
        <v>39.300000000000004</v>
      </c>
      <c r="S6" s="69">
        <v>229.3984586</v>
      </c>
      <c r="T6" s="69">
        <f t="shared" si="1"/>
        <v>229.3984586</v>
      </c>
      <c r="U6" s="36"/>
      <c r="V6" s="36" t="s">
        <v>15</v>
      </c>
      <c r="W6" s="36">
        <v>9.4120000000000002E-3</v>
      </c>
      <c r="X6" s="36">
        <v>3.9300000000000002E-2</v>
      </c>
    </row>
    <row r="7" spans="1:24" ht="18">
      <c r="A7" s="16" t="s">
        <v>125</v>
      </c>
      <c r="B7" s="70">
        <f>M26</f>
        <v>1.952</v>
      </c>
      <c r="C7" s="70">
        <f>M35</f>
        <v>1.6579999999999999</v>
      </c>
      <c r="D7" s="70">
        <f t="shared" ref="D7:D10" si="2">B7-C7</f>
        <v>0.29400000000000004</v>
      </c>
      <c r="E7" s="70">
        <f t="shared" ref="E7:E10" si="3">M44</f>
        <v>1.4179999999999999</v>
      </c>
      <c r="F7" s="71">
        <f t="shared" ref="F7:F9" si="4">B7-E7</f>
        <v>0.53400000000000003</v>
      </c>
      <c r="J7" s="36" t="s">
        <v>229</v>
      </c>
      <c r="K7" s="67">
        <v>428</v>
      </c>
      <c r="L7" s="67">
        <v>459</v>
      </c>
      <c r="M7" s="67">
        <v>375</v>
      </c>
      <c r="N7" s="67">
        <v>69.930069930069919</v>
      </c>
      <c r="O7" s="67">
        <v>569.80056980056986</v>
      </c>
      <c r="P7" s="67">
        <v>355.87188612099641</v>
      </c>
      <c r="Q7" s="68">
        <f t="shared" si="0"/>
        <v>1.8819999999999999</v>
      </c>
      <c r="R7" s="68">
        <f t="shared" si="0"/>
        <v>30.86</v>
      </c>
      <c r="S7" s="69">
        <v>0</v>
      </c>
      <c r="T7" s="69">
        <f t="shared" si="1"/>
        <v>0</v>
      </c>
      <c r="U7" s="36"/>
      <c r="V7" s="36" t="s">
        <v>229</v>
      </c>
      <c r="W7" s="36">
        <v>1.882E-3</v>
      </c>
      <c r="X7" s="36">
        <v>3.0859999999999999E-2</v>
      </c>
    </row>
    <row r="8" spans="1:24" ht="18">
      <c r="A8" s="16" t="s">
        <v>126</v>
      </c>
      <c r="B8" s="70">
        <f>M27</f>
        <v>0.76600000000000001</v>
      </c>
      <c r="C8" s="70">
        <f>M36</f>
        <v>0.65100000000000002</v>
      </c>
      <c r="D8" s="70">
        <f t="shared" si="2"/>
        <v>0.11499999999999999</v>
      </c>
      <c r="E8" s="70">
        <f t="shared" si="3"/>
        <v>0.58599999999999997</v>
      </c>
      <c r="F8" s="71">
        <f t="shared" si="4"/>
        <v>0.18000000000000005</v>
      </c>
      <c r="J8" s="36" t="s">
        <v>16</v>
      </c>
      <c r="K8" s="67">
        <v>99000</v>
      </c>
      <c r="L8" s="67">
        <v>98000</v>
      </c>
      <c r="M8" s="67">
        <v>98000</v>
      </c>
      <c r="N8" s="67">
        <v>0</v>
      </c>
      <c r="O8" s="67">
        <v>104000</v>
      </c>
      <c r="P8" s="67">
        <v>105000</v>
      </c>
      <c r="Q8" s="68">
        <f t="shared" si="0"/>
        <v>55560</v>
      </c>
      <c r="R8" s="68">
        <f>X8*1000</f>
        <v>325000</v>
      </c>
      <c r="S8" s="36">
        <v>114603</v>
      </c>
      <c r="T8" s="69">
        <f t="shared" si="1"/>
        <v>114603</v>
      </c>
      <c r="U8" s="36"/>
      <c r="V8" s="36" t="s">
        <v>16</v>
      </c>
      <c r="W8" s="36">
        <v>55.56</v>
      </c>
      <c r="X8" s="36">
        <v>325</v>
      </c>
    </row>
    <row r="9" spans="1:24">
      <c r="A9" s="16" t="s">
        <v>15</v>
      </c>
      <c r="B9" s="70">
        <f>M28</f>
        <v>0.44599999999999995</v>
      </c>
      <c r="C9" s="70">
        <f>M37</f>
        <v>0.35799999999999998</v>
      </c>
      <c r="D9" s="70">
        <f t="shared" si="2"/>
        <v>8.7999999999999967E-2</v>
      </c>
      <c r="E9" s="70">
        <f t="shared" si="3"/>
        <v>0.315</v>
      </c>
      <c r="F9" s="71">
        <f t="shared" si="4"/>
        <v>0.13099999999999995</v>
      </c>
    </row>
    <row r="10" spans="1:24" ht="18.75" thickBot="1">
      <c r="A10" s="17" t="s">
        <v>127</v>
      </c>
      <c r="B10" s="72">
        <f>M29</f>
        <v>477.72800000000001</v>
      </c>
      <c r="C10" s="72">
        <f>M38</f>
        <v>405.84100000000001</v>
      </c>
      <c r="D10" s="72">
        <f t="shared" si="2"/>
        <v>71.887</v>
      </c>
      <c r="E10" s="72">
        <f t="shared" si="3"/>
        <v>373.85199999999998</v>
      </c>
      <c r="F10" s="73">
        <f>B10-E10</f>
        <v>103.87600000000003</v>
      </c>
      <c r="G10" s="132">
        <f>F10-D10</f>
        <v>31.989000000000033</v>
      </c>
    </row>
    <row r="12" spans="1:24" ht="15.75" thickBot="1">
      <c r="A12" s="33" t="s">
        <v>128</v>
      </c>
    </row>
    <row r="13" spans="1:24">
      <c r="A13" s="25" t="s">
        <v>119</v>
      </c>
      <c r="B13" s="26" t="s">
        <v>121</v>
      </c>
      <c r="C13" s="26" t="s">
        <v>97</v>
      </c>
      <c r="D13" s="26" t="s">
        <v>123</v>
      </c>
      <c r="E13" s="26" t="s">
        <v>98</v>
      </c>
      <c r="F13" s="27" t="s">
        <v>123</v>
      </c>
    </row>
    <row r="14" spans="1:24">
      <c r="A14" s="16" t="s">
        <v>120</v>
      </c>
      <c r="B14" s="11" t="s">
        <v>122</v>
      </c>
      <c r="C14" s="11" t="s">
        <v>122</v>
      </c>
      <c r="D14" s="11" t="s">
        <v>122</v>
      </c>
      <c r="E14" s="11" t="s">
        <v>122</v>
      </c>
      <c r="F14" s="22" t="s">
        <v>122</v>
      </c>
    </row>
    <row r="15" spans="1:24" ht="60">
      <c r="A15" s="32" t="s">
        <v>124</v>
      </c>
      <c r="B15" s="11"/>
      <c r="C15" s="11"/>
      <c r="D15" s="11"/>
      <c r="E15" s="11"/>
      <c r="F15" s="22"/>
      <c r="H15" s="31" t="s">
        <v>129</v>
      </c>
    </row>
    <row r="16" spans="1:24" ht="18">
      <c r="A16" s="16" t="s">
        <v>125</v>
      </c>
      <c r="B16" s="11"/>
      <c r="C16" s="11"/>
      <c r="D16" s="11"/>
      <c r="E16" s="11"/>
      <c r="F16" s="22"/>
    </row>
    <row r="17" spans="1:13" ht="18">
      <c r="A17" s="16" t="s">
        <v>126</v>
      </c>
      <c r="B17" s="11"/>
      <c r="C17" s="11"/>
      <c r="D17" s="11"/>
      <c r="E17" s="11"/>
      <c r="F17" s="22"/>
    </row>
    <row r="18" spans="1:13">
      <c r="A18" s="16" t="s">
        <v>15</v>
      </c>
      <c r="B18" s="11"/>
      <c r="C18" s="11"/>
      <c r="D18" s="11"/>
      <c r="E18" s="11"/>
      <c r="F18" s="22"/>
    </row>
    <row r="19" spans="1:13" ht="18.75" thickBot="1">
      <c r="A19" s="17" t="s">
        <v>127</v>
      </c>
      <c r="B19" s="23"/>
      <c r="C19" s="23"/>
      <c r="D19" s="23"/>
      <c r="E19" s="23"/>
      <c r="F19" s="24"/>
    </row>
    <row r="22" spans="1:13" ht="15.75" thickBot="1">
      <c r="J22" s="253" t="s">
        <v>230</v>
      </c>
      <c r="K22" s="254">
        <f>'Energetické vstupy'!E6*3.6</f>
        <v>834.85320000000002</v>
      </c>
      <c r="L22" s="255">
        <f>'Energetické vstupy'!E7*3.6</f>
        <v>1801.0082035315031</v>
      </c>
      <c r="M22" s="256" t="s">
        <v>31</v>
      </c>
    </row>
    <row r="23" spans="1:13" ht="30">
      <c r="J23" s="648" t="s">
        <v>12</v>
      </c>
      <c r="K23" s="486" t="s">
        <v>231</v>
      </c>
      <c r="L23" s="486" t="s">
        <v>224</v>
      </c>
      <c r="M23" s="487" t="s">
        <v>3</v>
      </c>
    </row>
    <row r="24" spans="1:13">
      <c r="J24" s="649"/>
      <c r="K24" s="488" t="s">
        <v>232</v>
      </c>
      <c r="L24" s="488" t="s">
        <v>232</v>
      </c>
      <c r="M24" s="489" t="s">
        <v>232</v>
      </c>
    </row>
    <row r="25" spans="1:13">
      <c r="J25" s="257" t="s">
        <v>13</v>
      </c>
      <c r="K25" s="258">
        <f t="shared" ref="K25:L28" si="5">ROUND(K$22*R3/1000000,3)</f>
        <v>2.1999999999999999E-2</v>
      </c>
      <c r="L25" s="258">
        <f t="shared" si="5"/>
        <v>0.23</v>
      </c>
      <c r="M25" s="259">
        <f>SUM(K25:L25)</f>
        <v>0.252</v>
      </c>
    </row>
    <row r="26" spans="1:13" ht="18">
      <c r="J26" s="257" t="s">
        <v>293</v>
      </c>
      <c r="K26" s="258">
        <f t="shared" si="5"/>
        <v>0.40899999999999997</v>
      </c>
      <c r="L26" s="258">
        <f t="shared" si="5"/>
        <v>1.5429999999999999</v>
      </c>
      <c r="M26" s="259">
        <f t="shared" ref="M26:M29" si="6">SUM(K26:L26)</f>
        <v>1.952</v>
      </c>
    </row>
    <row r="27" spans="1:13" ht="18">
      <c r="J27" s="257" t="s">
        <v>294</v>
      </c>
      <c r="K27" s="258">
        <f t="shared" si="5"/>
        <v>0.34699999999999998</v>
      </c>
      <c r="L27" s="258">
        <f t="shared" si="5"/>
        <v>0.41899999999999998</v>
      </c>
      <c r="M27" s="259">
        <f t="shared" si="6"/>
        <v>0.76600000000000001</v>
      </c>
    </row>
    <row r="28" spans="1:13">
      <c r="J28" s="257" t="s">
        <v>15</v>
      </c>
      <c r="K28" s="258">
        <f t="shared" si="5"/>
        <v>3.3000000000000002E-2</v>
      </c>
      <c r="L28" s="258">
        <f t="shared" si="5"/>
        <v>0.41299999999999998</v>
      </c>
      <c r="M28" s="259">
        <f t="shared" si="6"/>
        <v>0.44599999999999995</v>
      </c>
    </row>
    <row r="29" spans="1:13" ht="18.75" thickBot="1">
      <c r="J29" s="260" t="s">
        <v>295</v>
      </c>
      <c r="K29" s="261">
        <f>ROUND(K$22*R8/1000000,3)</f>
        <v>271.327</v>
      </c>
      <c r="L29" s="261">
        <f>ROUND(L$22*S8/1000000,3)</f>
        <v>206.40100000000001</v>
      </c>
      <c r="M29" s="262">
        <f t="shared" si="6"/>
        <v>477.72800000000001</v>
      </c>
    </row>
    <row r="30" spans="1:13">
      <c r="J30" s="263"/>
      <c r="K30" s="264"/>
      <c r="L30" s="264"/>
      <c r="M30" s="265"/>
    </row>
    <row r="31" spans="1:13" ht="15.75" thickBot="1">
      <c r="J31" s="253" t="s">
        <v>233</v>
      </c>
      <c r="K31" s="254">
        <f>'Energetické vstupy'!C26*3.6</f>
        <v>709.33200000000011</v>
      </c>
      <c r="L31" s="255">
        <f>'Energetické vstupy'!E28*3.6</f>
        <v>1529.7004761235421</v>
      </c>
      <c r="M31" s="256" t="s">
        <v>31</v>
      </c>
    </row>
    <row r="32" spans="1:13" ht="30">
      <c r="J32" s="648" t="s">
        <v>12</v>
      </c>
      <c r="K32" s="486" t="s">
        <v>231</v>
      </c>
      <c r="L32" s="486" t="s">
        <v>224</v>
      </c>
      <c r="M32" s="487" t="s">
        <v>3</v>
      </c>
    </row>
    <row r="33" spans="10:13">
      <c r="J33" s="649"/>
      <c r="K33" s="488" t="s">
        <v>232</v>
      </c>
      <c r="L33" s="488" t="s">
        <v>232</v>
      </c>
      <c r="M33" s="489" t="s">
        <v>232</v>
      </c>
    </row>
    <row r="34" spans="10:13">
      <c r="J34" s="257" t="s">
        <v>13</v>
      </c>
      <c r="K34" s="258">
        <f t="shared" ref="K34:L36" si="7">ROUND(K$31*R3/1000000,3)</f>
        <v>1.7999999999999999E-2</v>
      </c>
      <c r="L34" s="258">
        <f t="shared" si="7"/>
        <v>0.19600000000000001</v>
      </c>
      <c r="M34" s="259">
        <f>SUM(K34:L34)</f>
        <v>0.214</v>
      </c>
    </row>
    <row r="35" spans="10:13" ht="17.25">
      <c r="J35" s="257" t="s">
        <v>296</v>
      </c>
      <c r="K35" s="258">
        <f t="shared" si="7"/>
        <v>0.34699999999999998</v>
      </c>
      <c r="L35" s="258">
        <f t="shared" si="7"/>
        <v>1.3109999999999999</v>
      </c>
      <c r="M35" s="259">
        <f>SUM(K35:L35)</f>
        <v>1.6579999999999999</v>
      </c>
    </row>
    <row r="36" spans="10:13" ht="17.25">
      <c r="J36" s="257" t="s">
        <v>297</v>
      </c>
      <c r="K36" s="258">
        <f t="shared" si="7"/>
        <v>0.29499999999999998</v>
      </c>
      <c r="L36" s="258">
        <f t="shared" si="7"/>
        <v>0.35599999999999998</v>
      </c>
      <c r="M36" s="259">
        <f>SUM(K36:L36)</f>
        <v>0.65100000000000002</v>
      </c>
    </row>
    <row r="37" spans="10:13">
      <c r="J37" s="257" t="s">
        <v>15</v>
      </c>
      <c r="K37" s="258">
        <f>ROUND(K$31*Q6/1000000,3)</f>
        <v>7.0000000000000001E-3</v>
      </c>
      <c r="L37" s="258">
        <f>ROUND(L$31*S6/1000000,3)</f>
        <v>0.35099999999999998</v>
      </c>
      <c r="M37" s="259">
        <f>SUM(K37:L37)</f>
        <v>0.35799999999999998</v>
      </c>
    </row>
    <row r="38" spans="10:13" ht="18" thickBot="1">
      <c r="J38" s="260" t="s">
        <v>298</v>
      </c>
      <c r="K38" s="261">
        <f>ROUND(K$31*R8/1000000,3)</f>
        <v>230.53299999999999</v>
      </c>
      <c r="L38" s="261">
        <f>ROUND(L$31*S8/1000000,3)</f>
        <v>175.30799999999999</v>
      </c>
      <c r="M38" s="262">
        <f>SUM(K38:L38)</f>
        <v>405.84100000000001</v>
      </c>
    </row>
    <row r="39" spans="10:13">
      <c r="J39" s="263"/>
      <c r="K39" s="264"/>
      <c r="L39" s="264"/>
      <c r="M39" s="265"/>
    </row>
    <row r="40" spans="10:13" ht="15.75" thickBot="1">
      <c r="J40" s="253" t="s">
        <v>234</v>
      </c>
      <c r="K40" s="254">
        <f>'Energetické vstupy'!E33*3.6</f>
        <v>709.33200000000011</v>
      </c>
      <c r="L40" s="255">
        <f>'Energetické vstupy'!E35*3.6</f>
        <v>1250.5699965428876</v>
      </c>
      <c r="M40" s="256" t="s">
        <v>31</v>
      </c>
    </row>
    <row r="41" spans="10:13" ht="30">
      <c r="J41" s="648" t="s">
        <v>12</v>
      </c>
      <c r="K41" s="486" t="s">
        <v>231</v>
      </c>
      <c r="L41" s="486" t="s">
        <v>224</v>
      </c>
      <c r="M41" s="487" t="s">
        <v>3</v>
      </c>
    </row>
    <row r="42" spans="10:13">
      <c r="J42" s="649"/>
      <c r="K42" s="488" t="s">
        <v>232</v>
      </c>
      <c r="L42" s="488" t="s">
        <v>232</v>
      </c>
      <c r="M42" s="489" t="s">
        <v>232</v>
      </c>
    </row>
    <row r="43" spans="10:13">
      <c r="J43" s="257" t="s">
        <v>13</v>
      </c>
      <c r="K43" s="258">
        <f t="shared" ref="K43:L46" si="8">ROUND(K$40*R3/1000000,3)</f>
        <v>1.7999999999999999E-2</v>
      </c>
      <c r="L43" s="258">
        <f t="shared" si="8"/>
        <v>0.16</v>
      </c>
      <c r="M43" s="259">
        <f>SUM(K43:L43)</f>
        <v>0.17799999999999999</v>
      </c>
    </row>
    <row r="44" spans="10:13" ht="17.25">
      <c r="J44" s="257" t="s">
        <v>296</v>
      </c>
      <c r="K44" s="258">
        <f t="shared" si="8"/>
        <v>0.34699999999999998</v>
      </c>
      <c r="L44" s="258">
        <f t="shared" si="8"/>
        <v>1.071</v>
      </c>
      <c r="M44" s="259">
        <f>SUM(K44:L44)</f>
        <v>1.4179999999999999</v>
      </c>
    </row>
    <row r="45" spans="10:13" ht="17.25">
      <c r="J45" s="257" t="s">
        <v>297</v>
      </c>
      <c r="K45" s="258">
        <f t="shared" si="8"/>
        <v>0.29499999999999998</v>
      </c>
      <c r="L45" s="258">
        <f t="shared" si="8"/>
        <v>0.29099999999999998</v>
      </c>
      <c r="M45" s="259">
        <f>SUM(K45:L45)</f>
        <v>0.58599999999999997</v>
      </c>
    </row>
    <row r="46" spans="10:13">
      <c r="J46" s="257" t="s">
        <v>15</v>
      </c>
      <c r="K46" s="258">
        <f t="shared" si="8"/>
        <v>2.8000000000000001E-2</v>
      </c>
      <c r="L46" s="258">
        <f t="shared" si="8"/>
        <v>0.28699999999999998</v>
      </c>
      <c r="M46" s="259">
        <f>SUM(K46:L46)</f>
        <v>0.315</v>
      </c>
    </row>
    <row r="47" spans="10:13" ht="18" thickBot="1">
      <c r="J47" s="260" t="s">
        <v>298</v>
      </c>
      <c r="K47" s="261">
        <f>ROUND(K$40*R8/1000000,3)</f>
        <v>230.53299999999999</v>
      </c>
      <c r="L47" s="261">
        <f>ROUND(L$40*S8/1000000,3)</f>
        <v>143.31899999999999</v>
      </c>
      <c r="M47" s="262">
        <f>SUM(K47:L47)</f>
        <v>373.85199999999998</v>
      </c>
    </row>
  </sheetData>
  <mergeCells count="3">
    <mergeCell ref="J23:J24"/>
    <mergeCell ref="J32:J33"/>
    <mergeCell ref="J41:J4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Y90"/>
  <sheetViews>
    <sheetView zoomScale="85" zoomScaleNormal="85" workbookViewId="0">
      <selection activeCell="F23" sqref="F23"/>
    </sheetView>
  </sheetViews>
  <sheetFormatPr defaultRowHeight="12.75"/>
  <cols>
    <col min="1" max="1" width="9.140625" style="40"/>
    <col min="2" max="2" width="30.7109375" style="40" bestFit="1" customWidth="1"/>
    <col min="3" max="3" width="6.7109375" style="40" bestFit="1" customWidth="1"/>
    <col min="4" max="4" width="10.42578125" style="40" bestFit="1" customWidth="1"/>
    <col min="5" max="5" width="11.42578125" style="40" bestFit="1" customWidth="1"/>
    <col min="6" max="6" width="16.42578125" style="40" bestFit="1" customWidth="1"/>
    <col min="7" max="7" width="11.140625" style="40" bestFit="1" customWidth="1"/>
    <col min="8" max="8" width="13.85546875" style="40" bestFit="1" customWidth="1"/>
    <col min="9" max="9" width="15.85546875" style="40" bestFit="1" customWidth="1"/>
    <col min="10" max="10" width="11.140625" style="40" bestFit="1" customWidth="1"/>
    <col min="11" max="16384" width="9.140625" style="40"/>
  </cols>
  <sheetData>
    <row r="1" spans="1:25" ht="18.75">
      <c r="A1" s="4" t="s">
        <v>178</v>
      </c>
      <c r="H1" s="178"/>
      <c r="I1" s="179"/>
      <c r="J1" s="179"/>
      <c r="K1" s="179"/>
      <c r="L1" s="179"/>
      <c r="M1" s="179"/>
      <c r="N1" s="179"/>
      <c r="O1" s="39"/>
      <c r="P1" s="39"/>
      <c r="R1" s="180"/>
      <c r="S1" s="168"/>
      <c r="T1" s="181"/>
      <c r="U1" s="182"/>
      <c r="V1" s="181"/>
      <c r="W1" s="181"/>
      <c r="X1" s="181"/>
      <c r="Y1" s="183"/>
    </row>
    <row r="2" spans="1:25" ht="16.5" thickBot="1">
      <c r="B2" s="266" t="s">
        <v>156</v>
      </c>
      <c r="C2" s="266"/>
      <c r="D2" s="266"/>
      <c r="E2" s="266"/>
      <c r="F2" s="185"/>
      <c r="G2" s="184"/>
      <c r="H2" s="178"/>
      <c r="I2" s="185"/>
      <c r="J2" s="179"/>
      <c r="K2" s="179"/>
      <c r="L2" s="179"/>
      <c r="M2" s="179"/>
      <c r="N2" s="179"/>
      <c r="O2" s="39"/>
      <c r="P2" s="39"/>
      <c r="R2" s="180"/>
      <c r="S2" s="186"/>
      <c r="T2" s="186"/>
      <c r="U2" s="182"/>
      <c r="V2" s="186"/>
      <c r="W2" s="186"/>
      <c r="X2" s="186"/>
      <c r="Y2" s="187"/>
    </row>
    <row r="3" spans="1:25" ht="15.75">
      <c r="B3" s="654" t="s">
        <v>7</v>
      </c>
      <c r="C3" s="650"/>
      <c r="D3" s="650" t="s">
        <v>157</v>
      </c>
      <c r="E3" s="652" t="s">
        <v>158</v>
      </c>
      <c r="F3" s="188"/>
      <c r="G3" s="188"/>
      <c r="H3" s="188"/>
      <c r="I3" s="188"/>
      <c r="K3" s="188"/>
      <c r="L3" s="188"/>
      <c r="M3" s="188"/>
      <c r="N3" s="188"/>
      <c r="O3" s="39"/>
      <c r="P3" s="39"/>
      <c r="R3" s="180"/>
      <c r="S3" s="186"/>
      <c r="T3" s="186"/>
      <c r="U3" s="182"/>
      <c r="V3" s="186"/>
      <c r="W3" s="186"/>
      <c r="X3" s="186"/>
      <c r="Y3" s="187"/>
    </row>
    <row r="4" spans="1:25" ht="15.75">
      <c r="B4" s="655"/>
      <c r="C4" s="651"/>
      <c r="D4" s="651"/>
      <c r="E4" s="653"/>
      <c r="F4" s="188"/>
      <c r="G4" s="188"/>
      <c r="H4" s="188"/>
      <c r="I4" s="188"/>
      <c r="K4" s="188"/>
      <c r="L4" s="188"/>
      <c r="M4" s="188"/>
      <c r="N4" s="188"/>
      <c r="O4" s="39"/>
      <c r="P4" s="39"/>
      <c r="R4" s="180"/>
      <c r="S4" s="186"/>
      <c r="T4" s="186"/>
      <c r="U4" s="182"/>
      <c r="V4" s="186"/>
      <c r="W4" s="186"/>
      <c r="X4" s="186"/>
      <c r="Y4" s="187"/>
    </row>
    <row r="5" spans="1:25" ht="18">
      <c r="B5" s="223" t="s">
        <v>159</v>
      </c>
      <c r="C5" s="170" t="s">
        <v>277</v>
      </c>
      <c r="D5" s="170" t="s">
        <v>160</v>
      </c>
      <c r="E5" s="224">
        <f>6957.688*35/1000</f>
        <v>243.51908</v>
      </c>
      <c r="F5" s="194"/>
      <c r="G5" s="194"/>
      <c r="H5" s="194"/>
      <c r="I5" s="194"/>
      <c r="K5" s="189"/>
      <c r="L5" s="190"/>
      <c r="M5" s="190"/>
      <c r="N5" s="190"/>
      <c r="O5" s="39"/>
      <c r="P5" s="39"/>
      <c r="R5" s="191"/>
      <c r="S5" s="182"/>
      <c r="T5" s="189"/>
      <c r="U5" s="182"/>
      <c r="V5" s="189"/>
      <c r="W5" s="189"/>
      <c r="X5" s="192"/>
      <c r="Y5" s="193"/>
    </row>
    <row r="6" spans="1:25" ht="18">
      <c r="B6" s="223" t="s">
        <v>161</v>
      </c>
      <c r="C6" s="170" t="s">
        <v>278</v>
      </c>
      <c r="D6" s="170">
        <v>1</v>
      </c>
      <c r="E6" s="224">
        <v>0.85</v>
      </c>
      <c r="F6" s="194"/>
      <c r="G6" s="194"/>
      <c r="H6" s="194"/>
      <c r="I6" s="194"/>
      <c r="K6" s="189"/>
      <c r="L6" s="194"/>
      <c r="M6" s="194"/>
      <c r="N6" s="194"/>
      <c r="O6" s="39"/>
      <c r="P6" s="39"/>
      <c r="R6" s="191"/>
      <c r="S6" s="182"/>
      <c r="T6" s="189"/>
      <c r="U6" s="182"/>
      <c r="V6" s="189"/>
      <c r="W6" s="189"/>
      <c r="X6" s="192"/>
      <c r="Y6" s="193"/>
    </row>
    <row r="7" spans="1:25" ht="18">
      <c r="B7" s="223" t="s">
        <v>162</v>
      </c>
      <c r="C7" s="170" t="s">
        <v>279</v>
      </c>
      <c r="D7" s="170">
        <v>1</v>
      </c>
      <c r="E7" s="224">
        <v>0.79110049999999998</v>
      </c>
      <c r="F7" s="194"/>
      <c r="G7" s="194"/>
      <c r="H7" s="194"/>
      <c r="I7" s="194"/>
      <c r="K7" s="189"/>
      <c r="L7" s="194"/>
      <c r="M7" s="194"/>
      <c r="N7" s="194"/>
      <c r="O7" s="39"/>
      <c r="P7" s="39"/>
      <c r="R7" s="191"/>
      <c r="S7" s="182"/>
      <c r="T7" s="189"/>
      <c r="U7" s="182"/>
      <c r="V7" s="189"/>
      <c r="W7" s="189"/>
      <c r="X7" s="192"/>
      <c r="Y7" s="193"/>
    </row>
    <row r="8" spans="1:25" ht="18">
      <c r="B8" s="223" t="s">
        <v>163</v>
      </c>
      <c r="C8" s="170" t="s">
        <v>280</v>
      </c>
      <c r="D8" s="170">
        <v>1</v>
      </c>
      <c r="E8" s="224">
        <v>1.2</v>
      </c>
      <c r="F8" s="194"/>
      <c r="G8" s="194"/>
      <c r="H8" s="194"/>
      <c r="I8" s="194"/>
      <c r="K8" s="189"/>
      <c r="L8" s="194"/>
      <c r="M8" s="194"/>
      <c r="N8" s="194"/>
      <c r="O8" s="39"/>
      <c r="P8" s="39"/>
      <c r="R8" s="191"/>
      <c r="S8" s="182"/>
      <c r="T8" s="189"/>
      <c r="U8" s="182"/>
      <c r="V8" s="189"/>
      <c r="W8" s="189"/>
      <c r="X8" s="192"/>
      <c r="Y8" s="193"/>
    </row>
    <row r="9" spans="1:25" ht="18">
      <c r="B9" s="223" t="s">
        <v>164</v>
      </c>
      <c r="C9" s="170" t="s">
        <v>281</v>
      </c>
      <c r="D9" s="170">
        <v>1</v>
      </c>
      <c r="E9" s="224">
        <v>1.05</v>
      </c>
      <c r="F9" s="194"/>
      <c r="G9" s="194"/>
      <c r="H9" s="194"/>
      <c r="I9" s="194"/>
      <c r="K9" s="189"/>
      <c r="L9" s="194"/>
      <c r="M9" s="194"/>
      <c r="N9" s="194"/>
      <c r="O9" s="39"/>
      <c r="P9" s="39"/>
      <c r="R9" s="195"/>
      <c r="S9" s="196"/>
      <c r="T9" s="189"/>
      <c r="U9" s="196"/>
      <c r="V9" s="189"/>
      <c r="W9" s="189"/>
      <c r="X9" s="192"/>
    </row>
    <row r="10" spans="1:25" ht="18">
      <c r="B10" s="223" t="s">
        <v>165</v>
      </c>
      <c r="C10" s="170" t="s">
        <v>282</v>
      </c>
      <c r="D10" s="170">
        <v>1</v>
      </c>
      <c r="E10" s="224">
        <f>E6*E7*E8*E9</f>
        <v>0.84726863549999998</v>
      </c>
      <c r="F10" s="194"/>
      <c r="G10" s="194"/>
      <c r="H10" s="194"/>
      <c r="I10" s="194"/>
      <c r="K10" s="189"/>
      <c r="L10" s="194"/>
      <c r="M10" s="194"/>
      <c r="N10" s="194"/>
      <c r="O10" s="39"/>
      <c r="P10" s="39"/>
      <c r="R10" s="195"/>
      <c r="S10" s="196"/>
      <c r="T10" s="189"/>
      <c r="U10" s="196"/>
      <c r="V10" s="189"/>
      <c r="W10" s="189"/>
      <c r="X10" s="192"/>
    </row>
    <row r="11" spans="1:25" ht="15.75">
      <c r="B11" s="223" t="s">
        <v>166</v>
      </c>
      <c r="C11" s="170" t="s">
        <v>167</v>
      </c>
      <c r="D11" s="170" t="s">
        <v>168</v>
      </c>
      <c r="E11" s="225">
        <v>229</v>
      </c>
      <c r="F11" s="197"/>
      <c r="G11" s="197"/>
      <c r="H11" s="197"/>
      <c r="I11" s="197"/>
      <c r="K11" s="189"/>
      <c r="L11" s="197"/>
      <c r="M11" s="194"/>
      <c r="N11" s="197"/>
      <c r="O11" s="39"/>
      <c r="P11" s="39"/>
      <c r="R11" s="195"/>
      <c r="S11" s="196"/>
      <c r="T11" s="189"/>
      <c r="U11" s="196"/>
      <c r="V11" s="189"/>
      <c r="W11" s="189"/>
      <c r="X11" s="192"/>
    </row>
    <row r="12" spans="1:25" ht="18">
      <c r="B12" s="223" t="s">
        <v>169</v>
      </c>
      <c r="C12" s="170" t="s">
        <v>283</v>
      </c>
      <c r="D12" s="170" t="s">
        <v>153</v>
      </c>
      <c r="E12" s="226">
        <v>19</v>
      </c>
      <c r="F12" s="190"/>
      <c r="G12" s="190"/>
      <c r="H12" s="190"/>
      <c r="I12" s="190"/>
      <c r="K12" s="189"/>
      <c r="L12" s="190"/>
      <c r="M12" s="194"/>
      <c r="N12" s="190"/>
      <c r="O12" s="39"/>
      <c r="P12" s="39"/>
    </row>
    <row r="13" spans="1:25" ht="18">
      <c r="B13" s="223" t="s">
        <v>170</v>
      </c>
      <c r="C13" s="170" t="s">
        <v>284</v>
      </c>
      <c r="D13" s="170" t="s">
        <v>153</v>
      </c>
      <c r="E13" s="226">
        <v>4</v>
      </c>
      <c r="F13" s="190"/>
      <c r="G13" s="190"/>
      <c r="H13" s="190"/>
      <c r="I13" s="190"/>
      <c r="K13" s="189"/>
      <c r="L13" s="190"/>
      <c r="M13" s="194"/>
      <c r="N13" s="190"/>
      <c r="O13" s="39"/>
      <c r="P13" s="39"/>
    </row>
    <row r="14" spans="1:25" ht="18">
      <c r="B14" s="223" t="s">
        <v>171</v>
      </c>
      <c r="C14" s="170" t="s">
        <v>285</v>
      </c>
      <c r="D14" s="170" t="s">
        <v>153</v>
      </c>
      <c r="E14" s="226">
        <v>-15</v>
      </c>
      <c r="F14" s="190"/>
      <c r="G14" s="190"/>
      <c r="H14" s="190"/>
      <c r="I14" s="190"/>
      <c r="K14" s="189"/>
      <c r="L14" s="190"/>
      <c r="M14" s="194"/>
      <c r="N14" s="190"/>
      <c r="O14" s="39"/>
      <c r="P14" s="39"/>
    </row>
    <row r="15" spans="1:25" ht="18.75" thickBot="1">
      <c r="B15" s="429" t="s">
        <v>172</v>
      </c>
      <c r="C15" s="229" t="s">
        <v>286</v>
      </c>
      <c r="D15" s="229" t="s">
        <v>1</v>
      </c>
      <c r="E15" s="252">
        <f>(86.4*E5*E10*E11*(E12-E13)/(E12-E14)/1000)</f>
        <v>1801.0082035315031</v>
      </c>
      <c r="F15" s="194"/>
      <c r="G15" s="194"/>
      <c r="H15" s="194"/>
      <c r="I15" s="194"/>
      <c r="K15" s="189"/>
      <c r="L15" s="198"/>
      <c r="M15" s="199"/>
      <c r="N15" s="200"/>
      <c r="O15" s="39"/>
      <c r="P15" s="39"/>
    </row>
    <row r="16" spans="1:25" ht="18">
      <c r="B16" s="426" t="s">
        <v>2</v>
      </c>
      <c r="C16" s="427" t="s">
        <v>287</v>
      </c>
      <c r="D16" s="427" t="str">
        <f>+D15</f>
        <v>GJ/rok</v>
      </c>
      <c r="E16" s="428">
        <v>0</v>
      </c>
      <c r="F16" s="220"/>
      <c r="G16" s="220"/>
      <c r="H16" s="220"/>
      <c r="I16" s="220"/>
      <c r="K16" s="189"/>
      <c r="L16" s="201"/>
      <c r="M16" s="202"/>
      <c r="N16" s="201"/>
      <c r="O16" s="39"/>
      <c r="P16" s="39"/>
    </row>
    <row r="17" spans="2:16" ht="18">
      <c r="B17" s="227" t="s">
        <v>173</v>
      </c>
      <c r="C17" s="170" t="s">
        <v>288</v>
      </c>
      <c r="D17" s="170" t="str">
        <f>+D16</f>
        <v>GJ/rok</v>
      </c>
      <c r="E17" s="224">
        <f>+E16+E15</f>
        <v>1801.0082035315031</v>
      </c>
      <c r="F17" s="190"/>
      <c r="G17" s="190"/>
      <c r="H17" s="190"/>
      <c r="I17" s="190"/>
      <c r="K17" s="189"/>
      <c r="L17" s="203"/>
      <c r="M17" s="203"/>
      <c r="N17" s="203"/>
      <c r="O17" s="39"/>
      <c r="P17" s="39"/>
    </row>
    <row r="18" spans="2:16" ht="15.75">
      <c r="B18" s="227" t="s">
        <v>174</v>
      </c>
      <c r="C18" s="222" t="s">
        <v>140</v>
      </c>
      <c r="D18" s="170" t="s">
        <v>10</v>
      </c>
      <c r="E18" s="228">
        <v>1</v>
      </c>
      <c r="F18" s="201"/>
      <c r="G18" s="201"/>
      <c r="H18" s="201"/>
      <c r="I18" s="201"/>
      <c r="K18" s="179"/>
      <c r="L18" s="179"/>
      <c r="M18" s="179"/>
      <c r="N18" s="179"/>
      <c r="O18" s="39"/>
      <c r="P18" s="39"/>
    </row>
    <row r="19" spans="2:16" ht="18">
      <c r="B19" s="227" t="s">
        <v>189</v>
      </c>
      <c r="C19" s="170" t="s">
        <v>289</v>
      </c>
      <c r="D19" s="170" t="s">
        <v>1</v>
      </c>
      <c r="E19" s="271">
        <f>E15/E18</f>
        <v>1801.0082035315031</v>
      </c>
      <c r="F19" s="288">
        <f>'Spotřeby energie'!C34</f>
        <v>1801.0079356503836</v>
      </c>
      <c r="G19" s="288">
        <f>E19</f>
        <v>1801.0082035315031</v>
      </c>
      <c r="H19" s="221">
        <f>E19/3.6</f>
        <v>500.2800565365286</v>
      </c>
      <c r="I19" s="221"/>
      <c r="K19" s="204"/>
      <c r="L19" s="179"/>
      <c r="M19" s="179"/>
      <c r="N19" s="179"/>
      <c r="O19" s="39"/>
      <c r="P19" s="39"/>
    </row>
    <row r="20" spans="2:16" ht="15.75">
      <c r="B20" s="227" t="s">
        <v>175</v>
      </c>
      <c r="C20" s="222" t="s">
        <v>140</v>
      </c>
      <c r="D20" s="170" t="s">
        <v>10</v>
      </c>
      <c r="E20" s="228">
        <v>1</v>
      </c>
      <c r="F20" s="201"/>
      <c r="G20" s="201"/>
      <c r="H20" s="221"/>
      <c r="I20" s="201"/>
      <c r="K20" s="179"/>
      <c r="L20" s="179"/>
      <c r="M20" s="179"/>
      <c r="N20" s="179"/>
      <c r="O20" s="39"/>
      <c r="P20" s="39"/>
    </row>
    <row r="21" spans="2:16" ht="18">
      <c r="B21" s="227" t="s">
        <v>187</v>
      </c>
      <c r="C21" s="170" t="s">
        <v>299</v>
      </c>
      <c r="D21" s="170" t="s">
        <v>1</v>
      </c>
      <c r="E21" s="271">
        <f>E16/E20</f>
        <v>0</v>
      </c>
      <c r="F21" s="221"/>
      <c r="G21" s="221"/>
      <c r="H21" s="221">
        <f t="shared" ref="H21" si="0">E21/3.6</f>
        <v>0</v>
      </c>
      <c r="I21" s="221"/>
      <c r="K21" s="179"/>
      <c r="L21" s="179"/>
      <c r="M21" s="179"/>
      <c r="N21" s="179"/>
      <c r="O21" s="39"/>
      <c r="P21" s="39"/>
    </row>
    <row r="22" spans="2:16" ht="18.75" thickBot="1">
      <c r="B22" s="286" t="s">
        <v>188</v>
      </c>
      <c r="C22" s="222" t="s">
        <v>300</v>
      </c>
      <c r="D22" s="170" t="s">
        <v>1</v>
      </c>
      <c r="E22" s="289">
        <f>E15/E18+E16/E20</f>
        <v>1801.0082035315031</v>
      </c>
      <c r="F22" s="194"/>
      <c r="G22" s="194"/>
      <c r="H22" s="194"/>
      <c r="I22" s="194"/>
      <c r="K22" s="179"/>
      <c r="L22" s="205">
        <f>SUM(E22:I22)</f>
        <v>1801.0082035315031</v>
      </c>
      <c r="M22" s="179"/>
      <c r="N22" s="179"/>
      <c r="O22" s="39"/>
      <c r="P22" s="39"/>
    </row>
    <row r="23" spans="2:16" ht="48" customHeight="1" thickTop="1" thickBot="1">
      <c r="B23" s="268" t="s">
        <v>188</v>
      </c>
      <c r="C23" s="269" t="s">
        <v>320</v>
      </c>
      <c r="D23" s="229" t="s">
        <v>270</v>
      </c>
      <c r="E23" s="230">
        <f>E22/3.6</f>
        <v>500.2800565365286</v>
      </c>
      <c r="F23" s="206"/>
      <c r="G23" s="184"/>
      <c r="H23" s="178"/>
      <c r="I23" s="179"/>
      <c r="J23" s="659" t="s">
        <v>328</v>
      </c>
      <c r="K23" s="401" t="s">
        <v>329</v>
      </c>
      <c r="L23" s="401" t="s">
        <v>332</v>
      </c>
      <c r="M23" s="662" t="s">
        <v>338</v>
      </c>
      <c r="N23" s="663"/>
      <c r="O23" s="656" t="s">
        <v>340</v>
      </c>
      <c r="P23" s="39"/>
    </row>
    <row r="24" spans="2:16" ht="15.75">
      <c r="B24" s="266"/>
      <c r="C24" s="266"/>
      <c r="D24" s="266"/>
      <c r="E24" s="266"/>
      <c r="F24" s="207"/>
      <c r="G24" s="184"/>
      <c r="H24" s="178"/>
      <c r="I24" s="179"/>
      <c r="J24" s="660"/>
      <c r="K24" s="402"/>
      <c r="L24" s="402" t="s">
        <v>333</v>
      </c>
      <c r="M24" s="664" t="s">
        <v>339</v>
      </c>
      <c r="N24" s="665"/>
      <c r="O24" s="657"/>
      <c r="P24" s="39"/>
    </row>
    <row r="25" spans="2:16" ht="24.75" thickBot="1">
      <c r="B25" s="266" t="s">
        <v>176</v>
      </c>
      <c r="C25" s="266"/>
      <c r="D25" s="266"/>
      <c r="E25" s="266"/>
      <c r="H25" s="178"/>
      <c r="I25" s="185"/>
      <c r="J25" s="660"/>
      <c r="K25" s="402"/>
      <c r="L25" s="402" t="s">
        <v>334</v>
      </c>
      <c r="M25" s="666" t="s">
        <v>337</v>
      </c>
      <c r="N25" s="667"/>
      <c r="O25" s="657"/>
      <c r="P25" s="39"/>
    </row>
    <row r="26" spans="2:16" ht="16.5" customHeight="1">
      <c r="B26" s="654" t="s">
        <v>97</v>
      </c>
      <c r="C26" s="672"/>
      <c r="D26" s="650" t="s">
        <v>157</v>
      </c>
      <c r="E26" s="652" t="s">
        <v>158</v>
      </c>
      <c r="F26" s="188"/>
      <c r="G26" s="188"/>
      <c r="H26" s="188"/>
      <c r="I26" s="188"/>
      <c r="J26" s="660"/>
      <c r="K26" s="402"/>
      <c r="L26" s="403" t="s">
        <v>335</v>
      </c>
      <c r="M26" s="668"/>
      <c r="N26" s="669"/>
      <c r="O26" s="657"/>
      <c r="P26" s="39"/>
    </row>
    <row r="27" spans="2:16" ht="30">
      <c r="B27" s="655"/>
      <c r="C27" s="673"/>
      <c r="D27" s="651"/>
      <c r="E27" s="653"/>
      <c r="F27" s="188"/>
      <c r="G27" s="188"/>
      <c r="H27" s="188"/>
      <c r="I27" s="188"/>
      <c r="J27" s="660"/>
      <c r="K27" s="403" t="s">
        <v>330</v>
      </c>
      <c r="L27" s="402" t="s">
        <v>336</v>
      </c>
      <c r="M27" s="668"/>
      <c r="N27" s="669"/>
      <c r="O27" s="657"/>
      <c r="P27" s="39"/>
    </row>
    <row r="28" spans="2:16" ht="18.75" thickBot="1">
      <c r="B28" s="223" t="s">
        <v>159</v>
      </c>
      <c r="C28" s="170" t="s">
        <v>277</v>
      </c>
      <c r="D28" s="170" t="s">
        <v>160</v>
      </c>
      <c r="E28" s="224">
        <f>5909.567/1000*35</f>
        <v>206.834845</v>
      </c>
      <c r="F28" s="194">
        <f>E28/E5-1</f>
        <v>-0.15064213859546449</v>
      </c>
      <c r="G28" s="194"/>
      <c r="H28" s="194"/>
      <c r="I28" s="194"/>
      <c r="J28" s="661"/>
      <c r="K28" s="404" t="s">
        <v>331</v>
      </c>
      <c r="L28" s="404" t="s">
        <v>337</v>
      </c>
      <c r="M28" s="670"/>
      <c r="N28" s="671"/>
      <c r="O28" s="658"/>
      <c r="P28" s="39"/>
    </row>
    <row r="29" spans="2:16" ht="19.5" thickTop="1" thickBot="1">
      <c r="B29" s="223" t="s">
        <v>161</v>
      </c>
      <c r="C29" s="170" t="s">
        <v>278</v>
      </c>
      <c r="D29" s="170">
        <v>1</v>
      </c>
      <c r="E29" s="224">
        <f>E6</f>
        <v>0.85</v>
      </c>
      <c r="F29" s="194"/>
      <c r="G29" s="194"/>
      <c r="H29" s="194"/>
      <c r="I29" s="194"/>
      <c r="J29" s="405"/>
      <c r="K29" s="406"/>
      <c r="L29" s="406"/>
      <c r="M29" s="407"/>
      <c r="N29" s="406"/>
      <c r="O29" s="408"/>
      <c r="P29" s="39"/>
    </row>
    <row r="30" spans="2:16" ht="18.75" thickBot="1">
      <c r="B30" s="223" t="s">
        <v>162</v>
      </c>
      <c r="C30" s="170" t="s">
        <v>279</v>
      </c>
      <c r="D30" s="170">
        <v>1</v>
      </c>
      <c r="E30" s="224">
        <f>E7</f>
        <v>0.79110049999999998</v>
      </c>
      <c r="F30" s="194"/>
      <c r="G30" s="194"/>
      <c r="H30" s="194"/>
      <c r="I30" s="194"/>
      <c r="J30" s="409"/>
      <c r="K30" s="410"/>
      <c r="L30" s="410"/>
      <c r="M30" s="411"/>
      <c r="N30" s="410"/>
      <c r="O30" s="412"/>
      <c r="P30" s="39"/>
    </row>
    <row r="31" spans="2:16" ht="18.75" thickBot="1">
      <c r="B31" s="223" t="s">
        <v>163</v>
      </c>
      <c r="C31" s="170" t="s">
        <v>280</v>
      </c>
      <c r="D31" s="170">
        <v>1</v>
      </c>
      <c r="E31" s="224">
        <f>E8</f>
        <v>1.2</v>
      </c>
      <c r="F31" s="194"/>
      <c r="G31" s="194"/>
      <c r="H31" s="194"/>
      <c r="I31" s="194"/>
      <c r="J31" s="409"/>
      <c r="K31" s="410"/>
      <c r="L31" s="410"/>
      <c r="M31" s="411"/>
      <c r="N31" s="410"/>
      <c r="O31" s="412"/>
      <c r="P31" s="39"/>
    </row>
    <row r="32" spans="2:16" ht="18.75" thickBot="1">
      <c r="B32" s="223" t="s">
        <v>164</v>
      </c>
      <c r="C32" s="170" t="s">
        <v>281</v>
      </c>
      <c r="D32" s="170">
        <v>1</v>
      </c>
      <c r="E32" s="224">
        <f>E9</f>
        <v>1.05</v>
      </c>
      <c r="F32" s="194"/>
      <c r="G32" s="194"/>
      <c r="H32" s="194"/>
      <c r="I32" s="194"/>
      <c r="J32" s="405"/>
      <c r="K32" s="406"/>
      <c r="L32" s="406"/>
      <c r="M32" s="407"/>
      <c r="N32" s="406"/>
      <c r="O32" s="408"/>
      <c r="P32" s="39"/>
    </row>
    <row r="33" spans="2:16" ht="18.75" thickBot="1">
      <c r="B33" s="223" t="s">
        <v>165</v>
      </c>
      <c r="C33" s="170" t="s">
        <v>282</v>
      </c>
      <c r="D33" s="170">
        <v>1</v>
      </c>
      <c r="E33" s="224">
        <f>E29*E30*E31*E32</f>
        <v>0.84726863549999998</v>
      </c>
      <c r="F33" s="194"/>
      <c r="G33" s="194"/>
      <c r="H33" s="194"/>
      <c r="I33" s="194"/>
      <c r="J33" s="405"/>
      <c r="K33" s="406"/>
      <c r="L33" s="406"/>
      <c r="M33" s="407"/>
      <c r="N33" s="406"/>
      <c r="O33" s="408"/>
      <c r="P33" s="39"/>
    </row>
    <row r="34" spans="2:16" ht="16.5" thickBot="1">
      <c r="B34" s="223" t="s">
        <v>166</v>
      </c>
      <c r="C34" s="170" t="s">
        <v>167</v>
      </c>
      <c r="D34" s="170" t="s">
        <v>168</v>
      </c>
      <c r="E34" s="225">
        <f>E11</f>
        <v>229</v>
      </c>
      <c r="F34" s="197"/>
      <c r="G34" s="197"/>
      <c r="H34" s="197"/>
      <c r="I34" s="197"/>
      <c r="J34" s="409"/>
      <c r="K34" s="410"/>
      <c r="L34" s="410"/>
      <c r="M34" s="411"/>
      <c r="N34" s="410"/>
      <c r="O34" s="412"/>
      <c r="P34" s="39"/>
    </row>
    <row r="35" spans="2:16" ht="18.75" thickBot="1">
      <c r="B35" s="223" t="s">
        <v>169</v>
      </c>
      <c r="C35" s="170" t="s">
        <v>283</v>
      </c>
      <c r="D35" s="170" t="s">
        <v>153</v>
      </c>
      <c r="E35" s="226">
        <f>E12</f>
        <v>19</v>
      </c>
      <c r="F35" s="190"/>
      <c r="G35" s="190"/>
      <c r="H35" s="190"/>
      <c r="I35" s="190"/>
      <c r="J35" s="405"/>
      <c r="K35" s="406"/>
      <c r="L35" s="406"/>
      <c r="M35" s="407"/>
      <c r="N35" s="406"/>
      <c r="O35" s="408"/>
      <c r="P35" s="39"/>
    </row>
    <row r="36" spans="2:16" ht="18.75" thickBot="1">
      <c r="B36" s="223" t="s">
        <v>170</v>
      </c>
      <c r="C36" s="170" t="s">
        <v>284</v>
      </c>
      <c r="D36" s="170" t="s">
        <v>153</v>
      </c>
      <c r="E36" s="226">
        <f>E13</f>
        <v>4</v>
      </c>
      <c r="F36" s="190"/>
      <c r="G36" s="190"/>
      <c r="H36" s="190"/>
      <c r="I36" s="190"/>
      <c r="J36" s="405"/>
      <c r="K36" s="406"/>
      <c r="L36" s="406"/>
      <c r="M36" s="407"/>
      <c r="N36" s="406"/>
      <c r="O36" s="408"/>
      <c r="P36" s="39"/>
    </row>
    <row r="37" spans="2:16" ht="18.75" thickBot="1">
      <c r="B37" s="223" t="s">
        <v>171</v>
      </c>
      <c r="C37" s="170" t="s">
        <v>285</v>
      </c>
      <c r="D37" s="170" t="s">
        <v>153</v>
      </c>
      <c r="E37" s="226">
        <f>E14</f>
        <v>-15</v>
      </c>
      <c r="F37" s="190"/>
      <c r="G37" s="190"/>
      <c r="H37" s="190"/>
      <c r="I37" s="190"/>
      <c r="J37" s="405"/>
      <c r="K37" s="406"/>
      <c r="L37" s="406"/>
      <c r="M37" s="407"/>
      <c r="N37" s="406"/>
      <c r="O37" s="408"/>
      <c r="P37" s="39"/>
    </row>
    <row r="38" spans="2:16" ht="17.25" customHeight="1" thickBot="1">
      <c r="B38" s="429" t="s">
        <v>172</v>
      </c>
      <c r="C38" s="229" t="s">
        <v>286</v>
      </c>
      <c r="D38" s="229" t="s">
        <v>1</v>
      </c>
      <c r="E38" s="252">
        <f>(86.4*E28*E33*E34*(E35-E36)/(E35-E37)/1000)</f>
        <v>1529.7004761235421</v>
      </c>
      <c r="F38" s="194"/>
      <c r="G38" s="194"/>
      <c r="H38" s="194"/>
      <c r="I38" s="194"/>
      <c r="J38" s="409"/>
      <c r="K38" s="410"/>
      <c r="L38" s="410"/>
      <c r="M38" s="411"/>
      <c r="N38" s="410"/>
      <c r="O38" s="412"/>
      <c r="P38" s="39"/>
    </row>
    <row r="39" spans="2:16" ht="18.75" thickBot="1">
      <c r="B39" s="426" t="s">
        <v>2</v>
      </c>
      <c r="C39" s="427" t="s">
        <v>287</v>
      </c>
      <c r="D39" s="427" t="str">
        <f>+D38</f>
        <v>GJ/rok</v>
      </c>
      <c r="E39" s="428">
        <f>E16</f>
        <v>0</v>
      </c>
      <c r="F39" s="220"/>
      <c r="G39" s="220"/>
      <c r="H39" s="220"/>
      <c r="I39" s="220"/>
      <c r="J39" s="413"/>
      <c r="K39" s="414"/>
      <c r="L39" s="414"/>
      <c r="M39" s="415"/>
      <c r="N39" s="416"/>
      <c r="O39" s="417"/>
      <c r="P39" s="39"/>
    </row>
    <row r="40" spans="2:16" ht="18.75" thickTop="1">
      <c r="B40" s="227" t="s">
        <v>173</v>
      </c>
      <c r="C40" s="170" t="s">
        <v>288</v>
      </c>
      <c r="D40" s="170" t="str">
        <f>+D39</f>
        <v>GJ/rok</v>
      </c>
      <c r="E40" s="224">
        <f>+E39+E38</f>
        <v>1529.7004761235421</v>
      </c>
      <c r="F40" s="190"/>
      <c r="G40" s="190"/>
      <c r="H40" s="190"/>
      <c r="I40" s="190"/>
      <c r="J40" s="190"/>
      <c r="K40" s="179"/>
      <c r="L40" s="179"/>
      <c r="M40" s="179"/>
      <c r="N40" s="179"/>
      <c r="O40" s="39"/>
      <c r="P40" s="39"/>
    </row>
    <row r="41" spans="2:16" ht="15.75">
      <c r="B41" s="227" t="s">
        <v>174</v>
      </c>
      <c r="C41" s="222" t="s">
        <v>140</v>
      </c>
      <c r="D41" s="170" t="s">
        <v>10</v>
      </c>
      <c r="E41" s="228">
        <v>1</v>
      </c>
      <c r="F41" s="201"/>
      <c r="G41" s="201"/>
      <c r="H41" s="201"/>
      <c r="I41" s="201"/>
      <c r="J41" s="201"/>
      <c r="K41" s="179"/>
      <c r="L41" s="179"/>
      <c r="M41" s="179"/>
      <c r="N41" s="179"/>
      <c r="O41" s="39"/>
      <c r="P41" s="39"/>
    </row>
    <row r="42" spans="2:16" ht="18">
      <c r="B42" s="227" t="s">
        <v>189</v>
      </c>
      <c r="C42" s="170" t="s">
        <v>289</v>
      </c>
      <c r="D42" s="170" t="s">
        <v>1</v>
      </c>
      <c r="E42" s="271">
        <f>E38/E41</f>
        <v>1529.7004761235421</v>
      </c>
      <c r="F42" s="221"/>
      <c r="G42" s="221"/>
      <c r="H42" s="221"/>
      <c r="I42" s="221"/>
      <c r="J42" s="221"/>
      <c r="K42" s="179"/>
      <c r="L42" s="179"/>
      <c r="M42" s="179"/>
      <c r="N42" s="179"/>
      <c r="O42" s="39"/>
      <c r="P42" s="39"/>
    </row>
    <row r="43" spans="2:16" ht="15.75">
      <c r="B43" s="227" t="s">
        <v>175</v>
      </c>
      <c r="C43" s="222" t="s">
        <v>140</v>
      </c>
      <c r="D43" s="170" t="s">
        <v>10</v>
      </c>
      <c r="E43" s="228">
        <v>1</v>
      </c>
      <c r="F43" s="201"/>
      <c r="G43" s="201"/>
      <c r="H43" s="201"/>
      <c r="I43" s="201"/>
      <c r="J43" s="201"/>
      <c r="K43" s="179"/>
      <c r="L43" s="179"/>
      <c r="M43" s="179"/>
      <c r="N43" s="179"/>
      <c r="O43" s="39"/>
      <c r="P43" s="39"/>
    </row>
    <row r="44" spans="2:16" ht="18">
      <c r="B44" s="227" t="s">
        <v>187</v>
      </c>
      <c r="C44" s="170" t="s">
        <v>299</v>
      </c>
      <c r="D44" s="170" t="s">
        <v>1</v>
      </c>
      <c r="E44" s="271">
        <f>E39/E43</f>
        <v>0</v>
      </c>
      <c r="F44" s="221"/>
      <c r="G44" s="221"/>
      <c r="H44" s="221"/>
      <c r="I44" s="221"/>
      <c r="J44" s="221"/>
      <c r="K44" s="179"/>
      <c r="L44" s="179"/>
      <c r="M44" s="179"/>
      <c r="N44" s="179"/>
      <c r="O44" s="39"/>
      <c r="P44" s="39"/>
    </row>
    <row r="45" spans="2:16" ht="18">
      <c r="B45" s="286" t="s">
        <v>188</v>
      </c>
      <c r="C45" s="222" t="s">
        <v>300</v>
      </c>
      <c r="D45" s="170" t="s">
        <v>1</v>
      </c>
      <c r="E45" s="289">
        <f>E38/E41+E39/E43</f>
        <v>1529.7004761235421</v>
      </c>
      <c r="F45" s="194"/>
      <c r="G45" s="194"/>
      <c r="H45" s="194"/>
      <c r="I45" s="194"/>
      <c r="J45" s="233"/>
      <c r="K45" s="179"/>
      <c r="L45" s="179"/>
      <c r="M45" s="179"/>
      <c r="N45" s="179"/>
      <c r="O45" s="39"/>
      <c r="P45" s="39"/>
    </row>
    <row r="46" spans="2:16" ht="18.75" thickBot="1">
      <c r="B46" s="268" t="s">
        <v>188</v>
      </c>
      <c r="C46" s="269" t="s">
        <v>320</v>
      </c>
      <c r="D46" s="229" t="s">
        <v>270</v>
      </c>
      <c r="E46" s="230">
        <f>E45/3.6</f>
        <v>424.9167989232061</v>
      </c>
      <c r="H46" s="178"/>
      <c r="I46" s="179"/>
      <c r="J46" s="179"/>
      <c r="K46" s="179"/>
      <c r="L46" s="179"/>
      <c r="M46" s="179"/>
      <c r="N46" s="179"/>
      <c r="O46" s="39"/>
      <c r="P46" s="39"/>
    </row>
    <row r="47" spans="2:16" ht="15">
      <c r="B47" s="424"/>
      <c r="C47" s="270"/>
      <c r="D47" s="81"/>
      <c r="E47" s="425"/>
      <c r="H47" s="178"/>
      <c r="I47" s="179"/>
      <c r="J47" s="179"/>
      <c r="K47" s="179"/>
      <c r="L47" s="179"/>
      <c r="M47" s="179"/>
      <c r="N47" s="179"/>
      <c r="O47" s="39"/>
      <c r="P47" s="39"/>
    </row>
    <row r="48" spans="2:16" ht="15.75" thickBot="1">
      <c r="B48" s="266" t="s">
        <v>177</v>
      </c>
      <c r="C48" s="270"/>
      <c r="D48" s="81"/>
      <c r="E48" s="267"/>
      <c r="H48" s="178"/>
      <c r="I48" s="179"/>
      <c r="J48" s="179"/>
      <c r="K48" s="179"/>
      <c r="L48" s="179"/>
      <c r="M48" s="179"/>
      <c r="N48" s="179"/>
      <c r="O48" s="39"/>
      <c r="P48" s="39"/>
    </row>
    <row r="49" spans="2:16" ht="15.75">
      <c r="B49" s="654" t="s">
        <v>98</v>
      </c>
      <c r="C49" s="672"/>
      <c r="D49" s="650" t="s">
        <v>157</v>
      </c>
      <c r="E49" s="652" t="s">
        <v>158</v>
      </c>
      <c r="F49" s="188"/>
      <c r="G49" s="188"/>
      <c r="H49" s="188"/>
      <c r="I49" s="188"/>
      <c r="J49" s="188"/>
      <c r="K49" s="179"/>
      <c r="L49" s="179"/>
      <c r="M49" s="179"/>
      <c r="N49" s="179" t="s">
        <v>276</v>
      </c>
      <c r="O49" s="39"/>
      <c r="P49" s="39"/>
    </row>
    <row r="50" spans="2:16" ht="15.75">
      <c r="B50" s="655"/>
      <c r="C50" s="673"/>
      <c r="D50" s="651"/>
      <c r="E50" s="653"/>
      <c r="F50" s="188"/>
      <c r="G50" s="188"/>
      <c r="H50" s="188"/>
      <c r="I50" s="188"/>
      <c r="J50" s="188"/>
      <c r="K50" s="188"/>
      <c r="L50" s="188"/>
      <c r="M50" s="188"/>
      <c r="N50" s="188"/>
      <c r="O50" s="39"/>
      <c r="P50" s="39"/>
    </row>
    <row r="51" spans="2:16" ht="18">
      <c r="B51" s="223" t="s">
        <v>159</v>
      </c>
      <c r="C51" s="170" t="s">
        <v>277</v>
      </c>
      <c r="D51" s="170" t="s">
        <v>160</v>
      </c>
      <c r="E51" s="224">
        <f>4831.225/1000*35</f>
        <v>169.09287500000002</v>
      </c>
      <c r="F51" s="194"/>
      <c r="G51" s="194"/>
      <c r="H51" s="194"/>
      <c r="I51" s="194"/>
      <c r="J51" s="194"/>
      <c r="K51" s="189"/>
      <c r="L51" s="190"/>
      <c r="M51" s="190"/>
      <c r="N51" s="190"/>
      <c r="O51" s="39"/>
      <c r="P51" s="39"/>
    </row>
    <row r="52" spans="2:16" ht="18">
      <c r="B52" s="223" t="s">
        <v>161</v>
      </c>
      <c r="C52" s="170" t="s">
        <v>278</v>
      </c>
      <c r="D52" s="170">
        <v>1</v>
      </c>
      <c r="E52" s="224">
        <f>E29</f>
        <v>0.85</v>
      </c>
      <c r="F52" s="194"/>
      <c r="G52" s="194"/>
      <c r="H52" s="194"/>
      <c r="I52" s="194"/>
      <c r="J52" s="231"/>
      <c r="K52" s="189"/>
      <c r="L52" s="194"/>
      <c r="M52" s="194"/>
      <c r="N52" s="194"/>
      <c r="O52" s="39"/>
      <c r="P52" s="39"/>
    </row>
    <row r="53" spans="2:16" ht="18">
      <c r="B53" s="223" t="s">
        <v>162</v>
      </c>
      <c r="C53" s="170" t="s">
        <v>279</v>
      </c>
      <c r="D53" s="170">
        <v>1</v>
      </c>
      <c r="E53" s="224">
        <f>E30</f>
        <v>0.79110049999999998</v>
      </c>
      <c r="F53" s="194"/>
      <c r="G53" s="194"/>
      <c r="H53" s="194"/>
      <c r="I53" s="194"/>
      <c r="J53" s="231"/>
      <c r="K53" s="189"/>
      <c r="L53" s="194"/>
      <c r="M53" s="194"/>
      <c r="N53" s="194"/>
      <c r="O53" s="39"/>
      <c r="P53" s="39"/>
    </row>
    <row r="54" spans="2:16" ht="18">
      <c r="B54" s="223" t="s">
        <v>163</v>
      </c>
      <c r="C54" s="170" t="s">
        <v>280</v>
      </c>
      <c r="D54" s="170">
        <v>1</v>
      </c>
      <c r="E54" s="224">
        <f>E31</f>
        <v>1.2</v>
      </c>
      <c r="F54" s="194"/>
      <c r="G54" s="194"/>
      <c r="H54" s="194"/>
      <c r="I54" s="194"/>
      <c r="J54" s="231"/>
      <c r="K54" s="189"/>
      <c r="L54" s="194"/>
      <c r="M54" s="194"/>
      <c r="N54" s="194"/>
      <c r="O54" s="39"/>
      <c r="P54" s="39"/>
    </row>
    <row r="55" spans="2:16" ht="18">
      <c r="B55" s="223" t="s">
        <v>164</v>
      </c>
      <c r="C55" s="170" t="s">
        <v>281</v>
      </c>
      <c r="D55" s="170">
        <v>1</v>
      </c>
      <c r="E55" s="224">
        <f>E32</f>
        <v>1.05</v>
      </c>
      <c r="F55" s="194"/>
      <c r="G55" s="194"/>
      <c r="H55" s="194"/>
      <c r="I55" s="194"/>
      <c r="J55" s="231"/>
      <c r="K55" s="189"/>
      <c r="L55" s="194"/>
      <c r="M55" s="194"/>
      <c r="N55" s="194"/>
      <c r="O55" s="39"/>
      <c r="P55" s="39"/>
    </row>
    <row r="56" spans="2:16" ht="18">
      <c r="B56" s="223" t="s">
        <v>165</v>
      </c>
      <c r="C56" s="170" t="s">
        <v>282</v>
      </c>
      <c r="D56" s="170">
        <v>1</v>
      </c>
      <c r="E56" s="224">
        <f>E52*E53*E54*E55</f>
        <v>0.84726863549999998</v>
      </c>
      <c r="F56" s="194"/>
      <c r="G56" s="194"/>
      <c r="H56" s="194"/>
      <c r="I56" s="194"/>
      <c r="J56" s="232"/>
      <c r="K56" s="189"/>
      <c r="L56" s="194"/>
      <c r="M56" s="194"/>
      <c r="N56" s="194"/>
      <c r="O56" s="39"/>
      <c r="P56" s="39"/>
    </row>
    <row r="57" spans="2:16" ht="15.75">
      <c r="B57" s="223" t="s">
        <v>166</v>
      </c>
      <c r="C57" s="170" t="s">
        <v>167</v>
      </c>
      <c r="D57" s="170" t="s">
        <v>168</v>
      </c>
      <c r="E57" s="225">
        <f>E34</f>
        <v>229</v>
      </c>
      <c r="F57" s="197"/>
      <c r="G57" s="197"/>
      <c r="H57" s="197"/>
      <c r="I57" s="197"/>
      <c r="J57" s="197"/>
      <c r="K57" s="189"/>
      <c r="L57" s="197"/>
      <c r="M57" s="197"/>
      <c r="N57" s="197"/>
      <c r="O57" s="39"/>
      <c r="P57" s="39"/>
    </row>
    <row r="58" spans="2:16" ht="18">
      <c r="B58" s="223" t="s">
        <v>169</v>
      </c>
      <c r="C58" s="170" t="s">
        <v>283</v>
      </c>
      <c r="D58" s="170" t="s">
        <v>153</v>
      </c>
      <c r="E58" s="226">
        <f>E35</f>
        <v>19</v>
      </c>
      <c r="F58" s="190"/>
      <c r="G58" s="190"/>
      <c r="H58" s="190"/>
      <c r="I58" s="190"/>
      <c r="J58" s="190"/>
      <c r="K58" s="189"/>
      <c r="L58" s="190"/>
      <c r="M58" s="190"/>
      <c r="N58" s="190"/>
      <c r="O58" s="39"/>
      <c r="P58" s="39"/>
    </row>
    <row r="59" spans="2:16" ht="18">
      <c r="B59" s="223" t="s">
        <v>170</v>
      </c>
      <c r="C59" s="170" t="s">
        <v>284</v>
      </c>
      <c r="D59" s="170" t="s">
        <v>153</v>
      </c>
      <c r="E59" s="226">
        <f>E36</f>
        <v>4</v>
      </c>
      <c r="F59" s="190"/>
      <c r="G59" s="190"/>
      <c r="H59" s="190"/>
      <c r="I59" s="190"/>
      <c r="J59" s="190"/>
      <c r="K59" s="189"/>
      <c r="L59" s="190"/>
      <c r="M59" s="190"/>
      <c r="N59" s="190"/>
      <c r="O59" s="39"/>
      <c r="P59" s="39"/>
    </row>
    <row r="60" spans="2:16" ht="18">
      <c r="B60" s="223" t="s">
        <v>171</v>
      </c>
      <c r="C60" s="170" t="s">
        <v>285</v>
      </c>
      <c r="D60" s="170" t="s">
        <v>153</v>
      </c>
      <c r="E60" s="226">
        <f>E37</f>
        <v>-15</v>
      </c>
      <c r="F60" s="190"/>
      <c r="G60" s="190"/>
      <c r="H60" s="190"/>
      <c r="I60" s="190"/>
      <c r="J60" s="190"/>
      <c r="K60" s="189"/>
      <c r="L60" s="190"/>
      <c r="M60" s="190"/>
      <c r="N60" s="190"/>
      <c r="O60" s="39"/>
      <c r="P60" s="39"/>
    </row>
    <row r="61" spans="2:16" ht="18.75" thickBot="1">
      <c r="B61" s="429" t="s">
        <v>172</v>
      </c>
      <c r="C61" s="229" t="s">
        <v>286</v>
      </c>
      <c r="D61" s="229" t="s">
        <v>1</v>
      </c>
      <c r="E61" s="252">
        <f>(86.4*E51*E56*E57*(E58-E59)/(E58-E60)/1000)</f>
        <v>1250.5699965428876</v>
      </c>
      <c r="F61" s="194"/>
      <c r="G61" s="194"/>
      <c r="H61" s="194"/>
      <c r="I61" s="194"/>
      <c r="J61" s="194"/>
      <c r="K61" s="189"/>
      <c r="L61" s="200"/>
      <c r="M61" s="200"/>
      <c r="N61" s="200"/>
      <c r="O61" s="39"/>
      <c r="P61" s="39"/>
    </row>
    <row r="62" spans="2:16" ht="18">
      <c r="B62" s="426" t="s">
        <v>2</v>
      </c>
      <c r="C62" s="427" t="s">
        <v>287</v>
      </c>
      <c r="D62" s="427" t="str">
        <f>+D61</f>
        <v>GJ/rok</v>
      </c>
      <c r="E62" s="428">
        <f>E39</f>
        <v>0</v>
      </c>
      <c r="F62" s="194"/>
      <c r="G62" s="194"/>
      <c r="H62" s="194"/>
      <c r="I62" s="194"/>
      <c r="J62" s="194"/>
      <c r="K62" s="189"/>
      <c r="L62" s="201"/>
      <c r="M62" s="201"/>
      <c r="N62" s="201"/>
      <c r="O62" s="39"/>
      <c r="P62" s="39"/>
    </row>
    <row r="63" spans="2:16" ht="18">
      <c r="B63" s="227" t="s">
        <v>173</v>
      </c>
      <c r="C63" s="170" t="s">
        <v>288</v>
      </c>
      <c r="D63" s="170" t="str">
        <f>+D62</f>
        <v>GJ/rok</v>
      </c>
      <c r="E63" s="224">
        <f>+E62+E61</f>
        <v>1250.5699965428876</v>
      </c>
      <c r="F63" s="194"/>
      <c r="G63" s="194"/>
      <c r="H63" s="194"/>
      <c r="I63" s="194"/>
      <c r="J63" s="194"/>
      <c r="K63" s="189"/>
      <c r="L63" s="203"/>
      <c r="M63" s="203"/>
      <c r="N63" s="203"/>
      <c r="O63" s="39"/>
      <c r="P63" s="39"/>
    </row>
    <row r="64" spans="2:16" ht="15.75">
      <c r="B64" s="227" t="s">
        <v>174</v>
      </c>
      <c r="C64" s="222" t="s">
        <v>140</v>
      </c>
      <c r="D64" s="170" t="s">
        <v>10</v>
      </c>
      <c r="E64" s="228">
        <v>1</v>
      </c>
      <c r="F64" s="234"/>
      <c r="G64" s="234"/>
      <c r="H64" s="234"/>
      <c r="I64" s="234"/>
      <c r="J64" s="235"/>
      <c r="K64" s="178"/>
      <c r="L64" s="178"/>
      <c r="M64" s="178"/>
      <c r="N64" s="178"/>
    </row>
    <row r="65" spans="2:14" ht="18">
      <c r="B65" s="227" t="s">
        <v>189</v>
      </c>
      <c r="C65" s="170" t="s">
        <v>289</v>
      </c>
      <c r="D65" s="170" t="s">
        <v>1</v>
      </c>
      <c r="E65" s="271">
        <f>E61/E64</f>
        <v>1250.5699965428876</v>
      </c>
      <c r="F65" s="194"/>
      <c r="G65" s="194"/>
      <c r="H65" s="194"/>
      <c r="I65" s="194"/>
      <c r="J65" s="194"/>
      <c r="K65" s="178"/>
      <c r="L65" s="178"/>
      <c r="M65" s="178"/>
      <c r="N65" s="178"/>
    </row>
    <row r="66" spans="2:14" ht="15.75">
      <c r="B66" s="227" t="s">
        <v>175</v>
      </c>
      <c r="C66" s="222" t="s">
        <v>140</v>
      </c>
      <c r="D66" s="170" t="s">
        <v>10</v>
      </c>
      <c r="E66" s="228">
        <v>1</v>
      </c>
      <c r="F66" s="194"/>
      <c r="G66" s="194"/>
      <c r="H66" s="194"/>
      <c r="I66" s="194"/>
      <c r="J66" s="236"/>
      <c r="K66" s="178"/>
      <c r="L66" s="178"/>
      <c r="M66" s="178"/>
      <c r="N66" s="178"/>
    </row>
    <row r="67" spans="2:14" ht="18">
      <c r="B67" s="227" t="s">
        <v>187</v>
      </c>
      <c r="C67" s="170" t="s">
        <v>299</v>
      </c>
      <c r="D67" s="170" t="s">
        <v>1</v>
      </c>
      <c r="E67" s="271">
        <f>E62/E66</f>
        <v>0</v>
      </c>
      <c r="F67" s="194"/>
      <c r="G67" s="194"/>
      <c r="H67" s="194"/>
      <c r="I67" s="194"/>
      <c r="J67" s="194"/>
      <c r="K67" s="178"/>
      <c r="L67" s="178"/>
      <c r="M67" s="178"/>
      <c r="N67" s="178"/>
    </row>
    <row r="68" spans="2:14" ht="18">
      <c r="B68" s="286" t="s">
        <v>188</v>
      </c>
      <c r="C68" s="222" t="s">
        <v>300</v>
      </c>
      <c r="D68" s="170" t="s">
        <v>1</v>
      </c>
      <c r="E68" s="289">
        <f>E61/E64+E62/E66</f>
        <v>1250.5699965428876</v>
      </c>
      <c r="F68" s="234"/>
      <c r="G68" s="234"/>
      <c r="H68" s="234"/>
      <c r="I68" s="234"/>
      <c r="J68" s="236"/>
      <c r="K68" s="178"/>
      <c r="L68" s="178"/>
      <c r="M68" s="178"/>
      <c r="N68" s="178"/>
    </row>
    <row r="69" spans="2:14" ht="18.75" thickBot="1">
      <c r="B69" s="268" t="s">
        <v>188</v>
      </c>
      <c r="C69" s="269" t="s">
        <v>320</v>
      </c>
      <c r="D69" s="229" t="s">
        <v>270</v>
      </c>
      <c r="E69" s="230">
        <f>E68/3.6</f>
        <v>347.38055459524656</v>
      </c>
      <c r="F69" s="221"/>
      <c r="G69" s="221"/>
      <c r="H69" s="221"/>
      <c r="I69" s="221"/>
      <c r="J69" s="194"/>
      <c r="K69" s="178"/>
      <c r="L69" s="178"/>
      <c r="M69" s="178"/>
      <c r="N69" s="178"/>
    </row>
    <row r="70" spans="2:14" ht="15.75">
      <c r="B70" s="227"/>
      <c r="C70" s="222"/>
      <c r="D70" s="170"/>
      <c r="E70" s="228"/>
      <c r="F70" s="201"/>
      <c r="G70" s="201"/>
      <c r="H70" s="201"/>
      <c r="I70" s="201"/>
      <c r="J70" s="236"/>
      <c r="K70" s="178"/>
      <c r="L70" s="178"/>
      <c r="M70" s="178"/>
      <c r="N70" s="178"/>
    </row>
    <row r="71" spans="2:14" ht="29.25" customHeight="1">
      <c r="B71" s="227"/>
      <c r="C71" s="170"/>
      <c r="D71" s="170"/>
      <c r="E71" s="271"/>
      <c r="F71" s="221"/>
      <c r="G71" s="221"/>
      <c r="H71" s="221"/>
      <c r="I71" s="221"/>
      <c r="J71" s="194"/>
      <c r="K71" s="178"/>
      <c r="L71" s="178"/>
      <c r="M71" s="178"/>
      <c r="N71" s="178"/>
    </row>
    <row r="72" spans="2:14" ht="15.75">
      <c r="B72" s="227"/>
      <c r="C72" s="222"/>
      <c r="D72" s="170"/>
      <c r="E72" s="228"/>
      <c r="F72" s="201"/>
      <c r="G72" s="201"/>
      <c r="H72" s="201"/>
      <c r="I72" s="201"/>
      <c r="J72" s="236"/>
      <c r="K72" s="178"/>
      <c r="L72" s="178"/>
      <c r="M72" s="178"/>
      <c r="N72" s="178"/>
    </row>
    <row r="73" spans="2:14" ht="15.75">
      <c r="B73" s="227"/>
      <c r="C73" s="170"/>
      <c r="D73" s="170"/>
      <c r="E73" s="224"/>
      <c r="F73" s="194"/>
      <c r="G73" s="194"/>
      <c r="H73" s="194"/>
      <c r="I73" s="194"/>
      <c r="J73" s="237"/>
      <c r="K73" s="178"/>
      <c r="L73" s="178"/>
      <c r="M73" s="178"/>
      <c r="N73" s="178"/>
    </row>
    <row r="74" spans="2:14" ht="18" customHeight="1">
      <c r="B74" s="286"/>
      <c r="C74" s="222"/>
      <c r="D74" s="170"/>
      <c r="E74" s="289"/>
      <c r="F74" s="194"/>
      <c r="G74" s="194"/>
      <c r="H74" s="194"/>
      <c r="I74" s="194"/>
      <c r="J74" s="233"/>
      <c r="K74" s="178"/>
      <c r="L74" s="178"/>
      <c r="M74" s="178"/>
      <c r="N74" s="178"/>
    </row>
    <row r="75" spans="2:14" ht="16.5" customHeight="1" thickBot="1">
      <c r="B75" s="268"/>
      <c r="C75" s="269"/>
      <c r="D75" s="229"/>
      <c r="E75" s="230"/>
    </row>
    <row r="88" spans="5:5">
      <c r="E88" s="208"/>
    </row>
    <row r="90" spans="5:5">
      <c r="E90" s="208"/>
    </row>
  </sheetData>
  <mergeCells count="20">
    <mergeCell ref="B49:B50"/>
    <mergeCell ref="C49:C50"/>
    <mergeCell ref="D49:D50"/>
    <mergeCell ref="E49:E50"/>
    <mergeCell ref="D3:D4"/>
    <mergeCell ref="E3:E4"/>
    <mergeCell ref="B3:B4"/>
    <mergeCell ref="C3:C4"/>
    <mergeCell ref="O23:O28"/>
    <mergeCell ref="J23:J28"/>
    <mergeCell ref="M23:N23"/>
    <mergeCell ref="M24:N24"/>
    <mergeCell ref="M25:N25"/>
    <mergeCell ref="M26:N26"/>
    <mergeCell ref="M27:N27"/>
    <mergeCell ref="M28:N28"/>
    <mergeCell ref="D26:D27"/>
    <mergeCell ref="E26:E27"/>
    <mergeCell ref="B26:B27"/>
    <mergeCell ref="C26:C27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44"/>
  <sheetViews>
    <sheetView topLeftCell="C1" workbookViewId="0">
      <selection activeCell="M26" sqref="M26"/>
    </sheetView>
  </sheetViews>
  <sheetFormatPr defaultRowHeight="15"/>
  <cols>
    <col min="1" max="1" width="9.140625" style="354"/>
    <col min="2" max="2" width="20.5703125" style="354" bestFit="1" customWidth="1"/>
    <col min="3" max="3" width="17.7109375" style="354" bestFit="1" customWidth="1"/>
    <col min="4" max="4" width="7" style="354" bestFit="1" customWidth="1"/>
    <col min="5" max="5" width="3.7109375" style="354" bestFit="1" customWidth="1"/>
    <col min="6" max="6" width="9.140625" style="354"/>
    <col min="7" max="7" width="2.85546875" style="354" bestFit="1" customWidth="1"/>
    <col min="8" max="16384" width="9.140625" style="354"/>
  </cols>
  <sheetData>
    <row r="1" spans="1:7">
      <c r="A1" s="350">
        <v>2012</v>
      </c>
      <c r="B1" s="351" t="s">
        <v>149</v>
      </c>
      <c r="C1" s="351" t="s">
        <v>150</v>
      </c>
      <c r="D1" s="351" t="s">
        <v>151</v>
      </c>
      <c r="E1" s="352" t="s">
        <v>152</v>
      </c>
      <c r="F1" s="352">
        <v>19</v>
      </c>
      <c r="G1" s="353" t="s">
        <v>153</v>
      </c>
    </row>
    <row r="2" spans="1:7">
      <c r="A2" s="351">
        <v>3</v>
      </c>
      <c r="B2" s="351"/>
      <c r="C2" s="351"/>
      <c r="D2" s="351"/>
    </row>
    <row r="3" spans="1:7">
      <c r="A3" s="351">
        <v>4</v>
      </c>
      <c r="B3" s="351"/>
      <c r="C3" s="351"/>
      <c r="D3" s="351"/>
    </row>
    <row r="4" spans="1:7">
      <c r="A4" s="351">
        <v>5</v>
      </c>
      <c r="B4" s="351"/>
      <c r="C4" s="351"/>
      <c r="D4" s="351"/>
    </row>
    <row r="5" spans="1:7">
      <c r="A5" s="351">
        <v>6</v>
      </c>
      <c r="B5" s="351"/>
      <c r="C5" s="351"/>
      <c r="D5" s="351"/>
    </row>
    <row r="6" spans="1:7">
      <c r="A6" s="351">
        <v>7</v>
      </c>
      <c r="B6" s="350"/>
      <c r="C6" s="351"/>
      <c r="D6" s="351"/>
    </row>
    <row r="7" spans="1:7">
      <c r="A7" s="351">
        <v>8</v>
      </c>
      <c r="B7" s="351"/>
      <c r="C7" s="351"/>
      <c r="D7" s="351"/>
    </row>
    <row r="8" spans="1:7">
      <c r="A8" s="351">
        <v>9</v>
      </c>
      <c r="B8" s="351"/>
      <c r="C8" s="351"/>
      <c r="D8" s="351"/>
    </row>
    <row r="9" spans="1:7">
      <c r="A9" s="351">
        <v>10</v>
      </c>
      <c r="B9" s="351"/>
      <c r="C9" s="351"/>
      <c r="D9" s="351"/>
    </row>
    <row r="10" spans="1:7">
      <c r="A10" s="351">
        <v>11</v>
      </c>
      <c r="B10" s="351"/>
      <c r="C10" s="351"/>
      <c r="D10" s="351"/>
    </row>
    <row r="11" spans="1:7">
      <c r="A11" s="351">
        <v>12</v>
      </c>
      <c r="B11" s="351"/>
      <c r="C11" s="351"/>
      <c r="D11" s="351"/>
    </row>
    <row r="12" spans="1:7">
      <c r="A12" s="351">
        <v>1</v>
      </c>
      <c r="B12" s="351"/>
      <c r="C12" s="351"/>
      <c r="D12" s="351"/>
    </row>
    <row r="13" spans="1:7">
      <c r="A13" s="351">
        <v>2</v>
      </c>
      <c r="B13" s="351"/>
      <c r="C13" s="351"/>
      <c r="D13" s="351"/>
    </row>
    <row r="14" spans="1:7">
      <c r="A14" s="355"/>
      <c r="B14" s="351" t="s">
        <v>154</v>
      </c>
      <c r="C14" s="351">
        <v>224</v>
      </c>
      <c r="D14" s="356">
        <v>3440.8</v>
      </c>
      <c r="E14" s="352" t="s">
        <v>155</v>
      </c>
      <c r="F14" s="352">
        <f>-(D14/C14-$F$1)</f>
        <v>3.6392857142857142</v>
      </c>
      <c r="G14" s="353" t="s">
        <v>153</v>
      </c>
    </row>
    <row r="16" spans="1:7">
      <c r="A16" s="357">
        <v>2013</v>
      </c>
      <c r="B16" s="351" t="s">
        <v>149</v>
      </c>
      <c r="C16" s="351" t="s">
        <v>150</v>
      </c>
      <c r="D16" s="351" t="s">
        <v>151</v>
      </c>
      <c r="E16" s="352" t="s">
        <v>152</v>
      </c>
      <c r="F16" s="352">
        <f>F1</f>
        <v>19</v>
      </c>
      <c r="G16" s="353" t="s">
        <v>153</v>
      </c>
    </row>
    <row r="17" spans="1:7">
      <c r="A17" s="351">
        <v>3</v>
      </c>
      <c r="B17" s="351"/>
      <c r="C17" s="351"/>
      <c r="D17" s="351"/>
    </row>
    <row r="18" spans="1:7">
      <c r="A18" s="351">
        <v>4</v>
      </c>
      <c r="B18" s="351"/>
      <c r="C18" s="351"/>
      <c r="D18" s="351"/>
    </row>
    <row r="19" spans="1:7">
      <c r="A19" s="351">
        <v>5</v>
      </c>
      <c r="B19" s="351"/>
      <c r="C19" s="351"/>
      <c r="D19" s="351"/>
    </row>
    <row r="20" spans="1:7">
      <c r="A20" s="351">
        <v>6</v>
      </c>
      <c r="B20" s="351"/>
      <c r="C20" s="351"/>
      <c r="D20" s="351"/>
    </row>
    <row r="21" spans="1:7">
      <c r="A21" s="351">
        <v>7</v>
      </c>
      <c r="B21" s="351"/>
      <c r="C21" s="351"/>
      <c r="D21" s="351"/>
    </row>
    <row r="22" spans="1:7">
      <c r="A22" s="351">
        <v>8</v>
      </c>
      <c r="B22" s="351"/>
      <c r="C22" s="351"/>
      <c r="D22" s="351"/>
    </row>
    <row r="23" spans="1:7">
      <c r="A23" s="351">
        <v>9</v>
      </c>
      <c r="B23" s="351"/>
      <c r="C23" s="351"/>
      <c r="D23" s="351"/>
    </row>
    <row r="24" spans="1:7">
      <c r="A24" s="351">
        <v>10</v>
      </c>
      <c r="B24" s="351"/>
      <c r="C24" s="351"/>
      <c r="D24" s="351"/>
    </row>
    <row r="25" spans="1:7">
      <c r="A25" s="351">
        <v>11</v>
      </c>
      <c r="B25" s="351"/>
      <c r="C25" s="351"/>
      <c r="D25" s="351"/>
    </row>
    <row r="26" spans="1:7">
      <c r="A26" s="351">
        <v>12</v>
      </c>
      <c r="B26" s="351"/>
      <c r="C26" s="351"/>
      <c r="D26" s="351"/>
    </row>
    <row r="27" spans="1:7">
      <c r="A27" s="351">
        <v>1</v>
      </c>
      <c r="B27" s="351"/>
      <c r="C27" s="351"/>
      <c r="D27" s="351"/>
    </row>
    <row r="28" spans="1:7">
      <c r="A28" s="351">
        <v>2</v>
      </c>
      <c r="B28" s="351"/>
      <c r="C28" s="351"/>
      <c r="D28" s="351"/>
    </row>
    <row r="29" spans="1:7">
      <c r="A29" s="355"/>
      <c r="B29" s="350" t="s">
        <v>154</v>
      </c>
      <c r="C29" s="351">
        <v>237</v>
      </c>
      <c r="D29" s="356">
        <v>3465.3</v>
      </c>
      <c r="E29" s="352" t="s">
        <v>155</v>
      </c>
      <c r="F29" s="352">
        <f>-(D29/C29-$F$16)</f>
        <v>4.3784810126582272</v>
      </c>
      <c r="G29" s="353" t="s">
        <v>153</v>
      </c>
    </row>
    <row r="31" spans="1:7">
      <c r="A31" s="357">
        <v>2014</v>
      </c>
      <c r="B31" s="351" t="s">
        <v>149</v>
      </c>
      <c r="C31" s="351" t="s">
        <v>150</v>
      </c>
      <c r="D31" s="351" t="s">
        <v>151</v>
      </c>
      <c r="E31" s="352" t="s">
        <v>152</v>
      </c>
      <c r="F31" s="352">
        <f>F16</f>
        <v>19</v>
      </c>
      <c r="G31" s="353" t="s">
        <v>153</v>
      </c>
    </row>
    <row r="32" spans="1:7">
      <c r="A32" s="351">
        <v>3</v>
      </c>
      <c r="B32" s="351"/>
      <c r="C32" s="351"/>
      <c r="D32" s="351"/>
    </row>
    <row r="33" spans="1:7">
      <c r="A33" s="351">
        <v>4</v>
      </c>
      <c r="B33" s="351"/>
      <c r="C33" s="351"/>
      <c r="D33" s="351"/>
    </row>
    <row r="34" spans="1:7">
      <c r="A34" s="351">
        <v>5</v>
      </c>
      <c r="B34" s="358"/>
      <c r="C34" s="351"/>
      <c r="D34" s="351"/>
    </row>
    <row r="35" spans="1:7">
      <c r="A35" s="351">
        <v>6</v>
      </c>
      <c r="B35" s="351"/>
      <c r="C35" s="351"/>
      <c r="D35" s="351"/>
    </row>
    <row r="36" spans="1:7">
      <c r="A36" s="351">
        <v>7</v>
      </c>
      <c r="B36" s="351"/>
      <c r="C36" s="351"/>
      <c r="D36" s="351"/>
    </row>
    <row r="37" spans="1:7">
      <c r="A37" s="351">
        <v>8</v>
      </c>
      <c r="B37" s="351"/>
      <c r="C37" s="351"/>
      <c r="D37" s="351"/>
    </row>
    <row r="38" spans="1:7">
      <c r="A38" s="351">
        <v>9</v>
      </c>
      <c r="B38" s="351"/>
      <c r="C38" s="351"/>
      <c r="D38" s="351"/>
    </row>
    <row r="39" spans="1:7">
      <c r="A39" s="351">
        <v>10</v>
      </c>
      <c r="B39" s="351"/>
      <c r="C39" s="351"/>
      <c r="D39" s="351"/>
    </row>
    <row r="40" spans="1:7">
      <c r="A40" s="351">
        <v>11</v>
      </c>
      <c r="B40" s="351"/>
      <c r="C40" s="351"/>
      <c r="D40" s="351"/>
    </row>
    <row r="41" spans="1:7">
      <c r="A41" s="351">
        <v>12</v>
      </c>
      <c r="B41" s="351"/>
      <c r="C41" s="351"/>
      <c r="D41" s="351"/>
    </row>
    <row r="42" spans="1:7">
      <c r="A42" s="351">
        <v>1</v>
      </c>
      <c r="B42" s="351"/>
      <c r="C42" s="351"/>
      <c r="D42" s="351"/>
    </row>
    <row r="43" spans="1:7">
      <c r="A43" s="351">
        <v>2</v>
      </c>
      <c r="B43" s="351"/>
      <c r="C43" s="351"/>
      <c r="D43" s="351"/>
    </row>
    <row r="44" spans="1:7">
      <c r="A44" s="355"/>
      <c r="B44" s="351" t="s">
        <v>154</v>
      </c>
      <c r="C44" s="351">
        <v>219</v>
      </c>
      <c r="D44" s="356">
        <v>2882</v>
      </c>
      <c r="E44" s="352" t="s">
        <v>155</v>
      </c>
      <c r="F44" s="352">
        <f>-(D44/C44-$F$31)</f>
        <v>5.8401826484018269</v>
      </c>
      <c r="G44" s="353" t="s">
        <v>153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54"/>
  <sheetViews>
    <sheetView zoomScale="70" zoomScaleNormal="70" workbookViewId="0">
      <selection activeCell="I28" sqref="I28"/>
    </sheetView>
  </sheetViews>
  <sheetFormatPr defaultRowHeight="15"/>
  <cols>
    <col min="1" max="1" width="22.140625" customWidth="1"/>
    <col min="2" max="2" width="15" customWidth="1"/>
    <col min="3" max="3" width="16.7109375" bestFit="1" customWidth="1"/>
    <col min="4" max="4" width="20.28515625" customWidth="1"/>
    <col min="5" max="5" width="19.42578125" bestFit="1" customWidth="1"/>
    <col min="6" max="6" width="11.42578125" bestFit="1" customWidth="1"/>
    <col min="7" max="7" width="19.5703125" customWidth="1"/>
    <col min="8" max="8" width="15.42578125" bestFit="1" customWidth="1"/>
    <col min="9" max="9" width="14.5703125" bestFit="1" customWidth="1"/>
    <col min="10" max="11" width="11.85546875" bestFit="1" customWidth="1"/>
    <col min="13" max="13" width="12.85546875" bestFit="1" customWidth="1"/>
    <col min="14" max="14" width="10.140625" bestFit="1" customWidth="1"/>
    <col min="15" max="15" width="14" bestFit="1" customWidth="1"/>
    <col min="16" max="16" width="11" bestFit="1" customWidth="1"/>
  </cols>
  <sheetData>
    <row r="1" spans="1:20" ht="18.75">
      <c r="A1" s="4" t="s">
        <v>204</v>
      </c>
      <c r="C1">
        <f>C6*0.05*200*365/1000</f>
        <v>0</v>
      </c>
    </row>
    <row r="3" spans="1:20" ht="15.75" thickBot="1">
      <c r="A3" t="s">
        <v>205</v>
      </c>
    </row>
    <row r="4" spans="1:20">
      <c r="A4" s="675"/>
      <c r="B4" s="305"/>
      <c r="C4" s="306"/>
      <c r="D4" s="307"/>
    </row>
    <row r="5" spans="1:20">
      <c r="A5" s="676"/>
      <c r="B5" s="308"/>
      <c r="C5" s="309"/>
      <c r="D5" s="310"/>
    </row>
    <row r="6" spans="1:20" ht="15.75" thickBot="1">
      <c r="A6" s="210"/>
      <c r="B6" s="285"/>
      <c r="C6" s="311"/>
      <c r="D6" s="312"/>
      <c r="G6" s="266" t="s">
        <v>292</v>
      </c>
    </row>
    <row r="7" spans="1:20" ht="15.75" customHeight="1">
      <c r="G7" s="687" t="s">
        <v>253</v>
      </c>
      <c r="H7" s="685"/>
      <c r="I7" s="476" t="s">
        <v>258</v>
      </c>
      <c r="J7" s="476" t="s">
        <v>267</v>
      </c>
      <c r="K7" s="477" t="s">
        <v>3</v>
      </c>
      <c r="M7" s="279"/>
      <c r="O7" s="279"/>
      <c r="P7" s="281"/>
      <c r="Q7" s="279"/>
      <c r="R7" s="243"/>
      <c r="S7" s="279"/>
      <c r="T7" s="243"/>
    </row>
    <row r="8" spans="1:20" ht="16.5" thickBot="1">
      <c r="A8" t="s">
        <v>252</v>
      </c>
      <c r="G8" s="688"/>
      <c r="H8" s="686"/>
      <c r="I8" s="478" t="s">
        <v>0</v>
      </c>
      <c r="J8" s="478" t="s">
        <v>272</v>
      </c>
      <c r="K8" s="479" t="s">
        <v>113</v>
      </c>
      <c r="M8" s="274"/>
      <c r="N8" s="274"/>
      <c r="O8" s="243"/>
      <c r="P8" s="243"/>
      <c r="Q8" s="280"/>
      <c r="R8" s="280"/>
      <c r="S8" s="243"/>
      <c r="T8" s="243"/>
    </row>
    <row r="9" spans="1:20" ht="16.5" customHeight="1" thickBot="1">
      <c r="A9" s="677" t="s">
        <v>321</v>
      </c>
      <c r="B9" s="461" t="s">
        <v>3</v>
      </c>
      <c r="G9" s="472" t="str">
        <f>A21</f>
        <v>Tarif C26d 3x200A</v>
      </c>
      <c r="H9" s="473" t="s">
        <v>3</v>
      </c>
      <c r="I9" s="474">
        <f>B26</f>
        <v>231.90366666666668</v>
      </c>
      <c r="J9" s="474">
        <f>2153.71</f>
        <v>2153.71</v>
      </c>
      <c r="K9" s="475">
        <f>ROUND(I9*J9,0)</f>
        <v>499453</v>
      </c>
      <c r="M9" s="274"/>
      <c r="N9" s="274"/>
      <c r="O9" s="243"/>
      <c r="P9" s="243"/>
      <c r="Q9" s="243"/>
      <c r="R9" s="243"/>
      <c r="S9" s="243"/>
      <c r="T9" s="243"/>
    </row>
    <row r="10" spans="1:20" ht="15.75">
      <c r="A10" s="678"/>
      <c r="B10" s="465" t="s">
        <v>0</v>
      </c>
      <c r="G10" s="466"/>
      <c r="H10" s="468" t="s">
        <v>255</v>
      </c>
      <c r="I10" s="469">
        <v>0</v>
      </c>
      <c r="J10" s="470">
        <v>0</v>
      </c>
      <c r="K10" s="471">
        <f>ROUND(I10*J10,0)</f>
        <v>0</v>
      </c>
      <c r="M10" s="274"/>
      <c r="N10" s="274"/>
      <c r="O10" s="243"/>
      <c r="P10" s="243"/>
      <c r="Q10" s="280"/>
      <c r="R10" s="280"/>
      <c r="S10" s="243"/>
      <c r="T10" s="243"/>
    </row>
    <row r="11" spans="1:20" ht="15.75">
      <c r="A11" s="273" t="s">
        <v>322</v>
      </c>
      <c r="B11" s="209">
        <f>'LED světla'!D3</f>
        <v>99.581999999999994</v>
      </c>
      <c r="G11" s="466"/>
      <c r="H11" s="376" t="s">
        <v>3</v>
      </c>
      <c r="I11" s="378">
        <f>SUM(I9:I10)</f>
        <v>231.90366666666668</v>
      </c>
      <c r="J11" s="377">
        <f>K11/I11</f>
        <v>2153.7089394878044</v>
      </c>
      <c r="K11" s="386">
        <f>SUM(K9:K10)</f>
        <v>499453</v>
      </c>
      <c r="M11" s="274"/>
      <c r="N11" s="274"/>
      <c r="O11" s="243"/>
      <c r="P11" s="243"/>
    </row>
    <row r="12" spans="1:20" ht="15.75">
      <c r="A12" s="273" t="s">
        <v>347</v>
      </c>
      <c r="B12" s="209">
        <v>4.25</v>
      </c>
      <c r="G12" s="466"/>
      <c r="H12" s="695" t="s">
        <v>268</v>
      </c>
      <c r="I12" s="695"/>
      <c r="J12" s="377"/>
      <c r="K12" s="386">
        <f>ROUND(J12*12,0)</f>
        <v>0</v>
      </c>
      <c r="M12" s="274"/>
      <c r="N12" s="274"/>
      <c r="O12" s="243"/>
      <c r="P12" s="243"/>
    </row>
    <row r="13" spans="1:20" ht="16.5" thickBot="1">
      <c r="A13" s="273" t="s">
        <v>359</v>
      </c>
      <c r="B13" s="209">
        <v>63.78</v>
      </c>
      <c r="G13" s="467"/>
      <c r="H13" s="682" t="s">
        <v>3</v>
      </c>
      <c r="I13" s="682"/>
      <c r="J13" s="682"/>
      <c r="K13" s="387">
        <f>SUM(K11:K12)</f>
        <v>499453</v>
      </c>
      <c r="M13" s="274"/>
      <c r="N13" s="274"/>
      <c r="O13" s="243"/>
      <c r="P13" s="243"/>
    </row>
    <row r="14" spans="1:20">
      <c r="A14" s="273" t="s">
        <v>305</v>
      </c>
      <c r="B14" s="379">
        <f>B15-B11-B12-B13</f>
        <v>64.291666666666686</v>
      </c>
      <c r="M14" s="274"/>
      <c r="N14" s="274"/>
      <c r="O14" s="243"/>
      <c r="P14" s="243"/>
    </row>
    <row r="15" spans="1:20" ht="15.75" thickBot="1">
      <c r="A15" s="210" t="s">
        <v>3</v>
      </c>
      <c r="B15" s="380">
        <f>D26</f>
        <v>231.90366666666668</v>
      </c>
      <c r="C15" s="502"/>
      <c r="M15" s="274"/>
      <c r="N15" s="274"/>
      <c r="O15" s="243"/>
      <c r="P15" s="243"/>
      <c r="Q15" s="274"/>
      <c r="R15" s="274"/>
    </row>
    <row r="16" spans="1:20" ht="15.75" thickBot="1">
      <c r="A16" t="s">
        <v>207</v>
      </c>
      <c r="J16">
        <f>(36.94+895+105.27+495+6.94+28.3)*1.21</f>
        <v>1896.6144999999999</v>
      </c>
    </row>
    <row r="17" spans="1:17">
      <c r="A17" s="161" t="s">
        <v>208</v>
      </c>
      <c r="B17" s="162" t="s">
        <v>210</v>
      </c>
      <c r="C17" s="163" t="s">
        <v>211</v>
      </c>
    </row>
    <row r="18" spans="1:17">
      <c r="A18" s="164" t="s">
        <v>206</v>
      </c>
      <c r="B18" s="138" t="s">
        <v>209</v>
      </c>
      <c r="C18" s="139" t="s">
        <v>115</v>
      </c>
      <c r="M18" s="274"/>
      <c r="N18" s="274"/>
      <c r="P18" s="313"/>
      <c r="Q18" s="313"/>
    </row>
    <row r="19" spans="1:17" ht="15.75" customHeight="1" thickBot="1">
      <c r="A19" s="165">
        <f>B15</f>
        <v>231.90366666666668</v>
      </c>
      <c r="B19" s="160">
        <v>3.52</v>
      </c>
      <c r="C19" s="144">
        <f>A19*B19/1000</f>
        <v>0.81630090666666677</v>
      </c>
      <c r="M19" s="274"/>
      <c r="N19" s="274"/>
      <c r="P19" s="313"/>
      <c r="Q19" s="313"/>
    </row>
    <row r="20" spans="1:17" ht="15.75" customHeight="1" thickBot="1">
      <c r="E20" s="3"/>
      <c r="F20" s="3"/>
      <c r="M20" s="274"/>
      <c r="N20" s="274"/>
      <c r="P20" s="313"/>
      <c r="Q20" s="313"/>
    </row>
    <row r="21" spans="1:17">
      <c r="A21" s="463" t="s">
        <v>360</v>
      </c>
      <c r="B21" s="464" t="s">
        <v>290</v>
      </c>
      <c r="C21" s="389" t="s">
        <v>291</v>
      </c>
      <c r="D21" s="388" t="s">
        <v>346</v>
      </c>
      <c r="E21" s="238"/>
      <c r="F21" s="238"/>
    </row>
    <row r="22" spans="1:17">
      <c r="A22" s="371">
        <v>2012</v>
      </c>
      <c r="B22" s="372">
        <v>239.58799999999999</v>
      </c>
      <c r="C22" s="390"/>
      <c r="D22" s="360">
        <f>B22</f>
        <v>239.58799999999999</v>
      </c>
      <c r="E22" s="239"/>
      <c r="F22" s="240"/>
      <c r="K22" t="s">
        <v>273</v>
      </c>
    </row>
    <row r="23" spans="1:17">
      <c r="A23" s="371">
        <v>2013</v>
      </c>
      <c r="B23" s="372">
        <v>235.07</v>
      </c>
      <c r="C23" s="390"/>
      <c r="D23" s="360">
        <f>B23</f>
        <v>235.07</v>
      </c>
      <c r="E23" s="239"/>
      <c r="F23" s="240"/>
    </row>
    <row r="24" spans="1:17">
      <c r="A24" s="371">
        <v>2014</v>
      </c>
      <c r="B24" s="360">
        <v>221.053</v>
      </c>
      <c r="C24" s="390"/>
      <c r="D24" s="360">
        <f>SUM(B24:C24)</f>
        <v>221.053</v>
      </c>
      <c r="E24" s="239"/>
      <c r="F24" s="242"/>
      <c r="M24" s="274"/>
      <c r="N24" s="274"/>
      <c r="P24" s="344"/>
      <c r="Q24" s="344"/>
    </row>
    <row r="25" spans="1:17">
      <c r="A25" s="371" t="s">
        <v>3</v>
      </c>
      <c r="B25" s="373">
        <f>SUM(B22:B24)</f>
        <v>695.71100000000001</v>
      </c>
      <c r="C25" s="391">
        <f>SUM(C22:C24)</f>
        <v>0</v>
      </c>
      <c r="D25" s="373">
        <f t="shared" ref="D25" si="0">SUM(D22:D24)</f>
        <v>695.71100000000001</v>
      </c>
      <c r="E25" s="241"/>
      <c r="F25" s="241"/>
      <c r="M25" s="274"/>
      <c r="N25" s="274"/>
      <c r="P25" s="344"/>
      <c r="Q25" s="344"/>
    </row>
    <row r="26" spans="1:17" ht="15.75" thickBot="1">
      <c r="A26" s="374" t="s">
        <v>254</v>
      </c>
      <c r="B26" s="375">
        <f>AVERAGE(B22:B24)</f>
        <v>231.90366666666668</v>
      </c>
      <c r="C26" s="392" t="e">
        <f>AVERAGE(C22:C24)</f>
        <v>#DIV/0!</v>
      </c>
      <c r="D26" s="375">
        <f>AVERAGE(D22:D24)</f>
        <v>231.90366666666668</v>
      </c>
      <c r="E26" s="241"/>
      <c r="F26" s="241"/>
      <c r="M26" s="274"/>
      <c r="N26" s="274"/>
      <c r="P26" s="344"/>
      <c r="Q26" s="344"/>
    </row>
    <row r="27" spans="1:17" ht="15.75" thickBot="1">
      <c r="E27" s="243"/>
      <c r="F27" s="243"/>
    </row>
    <row r="28" spans="1:17">
      <c r="A28" s="654" t="s">
        <v>257</v>
      </c>
      <c r="B28" s="683" t="s">
        <v>258</v>
      </c>
      <c r="C28" s="684"/>
      <c r="D28" s="460" t="s">
        <v>259</v>
      </c>
      <c r="E28" s="461" t="s">
        <v>260</v>
      </c>
    </row>
    <row r="29" spans="1:17">
      <c r="A29" s="655"/>
      <c r="B29" s="457" t="s">
        <v>270</v>
      </c>
      <c r="C29" s="457" t="s">
        <v>1</v>
      </c>
      <c r="D29" s="457" t="s">
        <v>261</v>
      </c>
      <c r="E29" s="462" t="s">
        <v>262</v>
      </c>
    </row>
    <row r="30" spans="1:17">
      <c r="A30" s="393" t="s">
        <v>357</v>
      </c>
      <c r="B30" s="346">
        <f>C30/3.6</f>
        <v>519.71388888888885</v>
      </c>
      <c r="C30" s="166">
        <f>B41</f>
        <v>1870.97</v>
      </c>
      <c r="D30" s="365">
        <v>3702.3</v>
      </c>
      <c r="E30" s="259">
        <f>C30/D30</f>
        <v>0.50535342894957191</v>
      </c>
    </row>
    <row r="31" spans="1:17">
      <c r="A31" s="393" t="s">
        <v>358</v>
      </c>
      <c r="B31" s="346">
        <f>C31/3.6</f>
        <v>550.36388888888882</v>
      </c>
      <c r="C31" s="166">
        <f>B42</f>
        <v>1981.31</v>
      </c>
      <c r="D31" s="365">
        <v>3101</v>
      </c>
      <c r="E31" s="259">
        <f t="shared" ref="E31:E32" si="1">C31/D31</f>
        <v>0.63892615285391807</v>
      </c>
    </row>
    <row r="32" spans="1:17">
      <c r="A32" s="393" t="s">
        <v>325</v>
      </c>
      <c r="B32" s="346">
        <f>C32/3.6</f>
        <v>431.05833333333328</v>
      </c>
      <c r="C32" s="166">
        <f>B43</f>
        <v>1551.81</v>
      </c>
      <c r="D32" s="365">
        <v>3620.2</v>
      </c>
      <c r="E32" s="259">
        <f t="shared" si="1"/>
        <v>0.42865311308767473</v>
      </c>
    </row>
    <row r="33" spans="1:10">
      <c r="A33" s="359" t="s">
        <v>254</v>
      </c>
      <c r="B33" s="346">
        <f>AVERAGE(B30:B32)</f>
        <v>500.37870370370365</v>
      </c>
      <c r="C33" s="166">
        <f>AVERAGE(C30:C32)</f>
        <v>1801.3633333333335</v>
      </c>
      <c r="D33" s="366" t="s">
        <v>140</v>
      </c>
      <c r="E33" s="367">
        <f>AVERAGE(E30:E32)</f>
        <v>0.52431089829705491</v>
      </c>
    </row>
    <row r="34" spans="1:10" ht="15.75" thickBot="1">
      <c r="A34" s="362" t="s">
        <v>263</v>
      </c>
      <c r="B34" s="363">
        <f>C34/3.6</f>
        <v>500.27998212510653</v>
      </c>
      <c r="C34" s="368">
        <f>(E33*D34)</f>
        <v>1801.0079356503836</v>
      </c>
      <c r="D34" s="369">
        <f>'Výpočet spotřeby tepla'!E11*('Výpočet spotřeby tepla'!E12-'Výpočet spotřeby tepla'!E13)</f>
        <v>3435</v>
      </c>
      <c r="E34" s="370"/>
    </row>
    <row r="37" spans="1:10" ht="15.75" thickBot="1">
      <c r="A37" t="s">
        <v>354</v>
      </c>
      <c r="E37" s="3"/>
      <c r="G37" t="s">
        <v>355</v>
      </c>
    </row>
    <row r="38" spans="1:10">
      <c r="A38" s="679" t="s">
        <v>244</v>
      </c>
      <c r="B38" s="650" t="s">
        <v>307</v>
      </c>
      <c r="C38" s="699" t="s">
        <v>3</v>
      </c>
      <c r="D38" s="700"/>
      <c r="F38" s="454"/>
      <c r="G38" s="693" t="s">
        <v>20</v>
      </c>
      <c r="H38" s="460" t="s">
        <v>258</v>
      </c>
      <c r="I38" s="460" t="s">
        <v>267</v>
      </c>
      <c r="J38" s="461" t="s">
        <v>3</v>
      </c>
    </row>
    <row r="39" spans="1:10">
      <c r="A39" s="680"/>
      <c r="B39" s="651"/>
      <c r="C39" s="701"/>
      <c r="D39" s="702"/>
      <c r="F39" s="455"/>
      <c r="G39" s="694"/>
      <c r="H39" s="457" t="s">
        <v>31</v>
      </c>
      <c r="I39" s="457" t="s">
        <v>356</v>
      </c>
      <c r="J39" s="462" t="s">
        <v>113</v>
      </c>
    </row>
    <row r="40" spans="1:10">
      <c r="A40" s="681"/>
      <c r="B40" s="458" t="s">
        <v>1</v>
      </c>
      <c r="C40" s="458" t="s">
        <v>1</v>
      </c>
      <c r="D40" s="459" t="s">
        <v>270</v>
      </c>
      <c r="F40" s="456"/>
      <c r="G40" s="348" t="s">
        <v>258</v>
      </c>
      <c r="H40" s="346">
        <f>'Výpočet spotřeby tepla'!E22</f>
        <v>1801.0082035315031</v>
      </c>
      <c r="I40" s="346">
        <v>484.4</v>
      </c>
      <c r="J40" s="349">
        <f>ROUND(H40*I40,0)</f>
        <v>872408</v>
      </c>
    </row>
    <row r="41" spans="1:10">
      <c r="A41" s="393">
        <v>2013</v>
      </c>
      <c r="B41" s="346">
        <f>C41</f>
        <v>1870.97</v>
      </c>
      <c r="C41" s="346">
        <f>J52</f>
        <v>1870.97</v>
      </c>
      <c r="D41" s="360">
        <f>C41/3.6</f>
        <v>519.71388888888885</v>
      </c>
      <c r="F41" s="450"/>
      <c r="G41" s="689" t="s">
        <v>268</v>
      </c>
      <c r="H41" s="690"/>
      <c r="I41" s="347">
        <v>0</v>
      </c>
      <c r="J41" s="349">
        <f>ROUND(I41*12,0)</f>
        <v>0</v>
      </c>
    </row>
    <row r="42" spans="1:10" ht="15.75" thickBot="1">
      <c r="A42" s="393" t="s">
        <v>325</v>
      </c>
      <c r="B42" s="346">
        <f>C42</f>
        <v>1981.31</v>
      </c>
      <c r="C42" s="346">
        <f>P52</f>
        <v>1981.31</v>
      </c>
      <c r="D42" s="360">
        <f t="shared" ref="D42:D43" si="2">C42/3.6</f>
        <v>550.36388888888882</v>
      </c>
      <c r="F42" s="450"/>
      <c r="G42" s="696" t="s">
        <v>3</v>
      </c>
      <c r="H42" s="697"/>
      <c r="I42" s="698"/>
      <c r="J42" s="211">
        <f>ROUND(SUM(J40:J41),0)</f>
        <v>872408</v>
      </c>
    </row>
    <row r="43" spans="1:10" ht="15.75" thickBot="1">
      <c r="A43" s="393" t="s">
        <v>326</v>
      </c>
      <c r="B43" s="346">
        <f>C43</f>
        <v>1551.81</v>
      </c>
      <c r="C43" s="346">
        <f>V52</f>
        <v>1551.81</v>
      </c>
      <c r="D43" s="360">
        <f t="shared" si="2"/>
        <v>431.05833333333328</v>
      </c>
      <c r="F43" s="450"/>
    </row>
    <row r="44" spans="1:10">
      <c r="A44" s="359" t="s">
        <v>3</v>
      </c>
      <c r="B44" s="361">
        <f>SUM(B41:B43)</f>
        <v>5404.09</v>
      </c>
      <c r="C44" s="361">
        <f>SUM(C41:C43)</f>
        <v>5404.09</v>
      </c>
      <c r="D44" s="453">
        <f>SUM(D41:D43)</f>
        <v>1501.1361111111109</v>
      </c>
      <c r="F44" s="451"/>
      <c r="G44" s="693" t="s">
        <v>370</v>
      </c>
      <c r="H44" s="460" t="s">
        <v>258</v>
      </c>
      <c r="I44" s="460" t="s">
        <v>267</v>
      </c>
      <c r="J44" s="461" t="s">
        <v>3</v>
      </c>
    </row>
    <row r="45" spans="1:10" ht="15.75" thickBot="1">
      <c r="A45" s="362" t="s">
        <v>254</v>
      </c>
      <c r="B45" s="363">
        <f>AVERAGE(B41:B43)</f>
        <v>1801.3633333333335</v>
      </c>
      <c r="C45" s="363">
        <f>AVERAGE(C41:C43)</f>
        <v>1801.3633333333335</v>
      </c>
      <c r="D45" s="364">
        <f>AVERAGE(D41:D43)</f>
        <v>500.37870370370365</v>
      </c>
      <c r="F45" s="452"/>
      <c r="G45" s="694"/>
      <c r="H45" s="457" t="s">
        <v>31</v>
      </c>
      <c r="I45" s="457" t="s">
        <v>356</v>
      </c>
      <c r="J45" s="462" t="s">
        <v>113</v>
      </c>
    </row>
    <row r="46" spans="1:10">
      <c r="A46" s="217"/>
      <c r="B46" s="217"/>
      <c r="C46" s="217"/>
      <c r="D46" s="217"/>
      <c r="F46" s="3"/>
      <c r="G46" s="348" t="s">
        <v>258</v>
      </c>
      <c r="H46" s="346">
        <f>C52</f>
        <v>335.01600000000002</v>
      </c>
      <c r="I46" s="346">
        <f>58384.87/H46</f>
        <v>174.27487045394847</v>
      </c>
      <c r="J46" s="349">
        <f>ROUND(H46*I46,0)</f>
        <v>58385</v>
      </c>
    </row>
    <row r="47" spans="1:10">
      <c r="A47" s="218"/>
      <c r="B47" s="219"/>
      <c r="C47" s="219"/>
      <c r="D47" s="219"/>
      <c r="F47" s="3"/>
    </row>
    <row r="48" spans="1:10" ht="15.75" thickBot="1">
      <c r="A48" t="s">
        <v>308</v>
      </c>
      <c r="C48" s="219"/>
      <c r="D48" s="219"/>
    </row>
    <row r="49" spans="1:26" ht="12" customHeight="1">
      <c r="A49" s="691" t="s">
        <v>353</v>
      </c>
      <c r="B49" s="460" t="s">
        <v>309</v>
      </c>
      <c r="C49" s="461" t="s">
        <v>309</v>
      </c>
      <c r="H49" s="703" t="s">
        <v>348</v>
      </c>
      <c r="I49" s="703"/>
      <c r="J49" s="703"/>
      <c r="K49" s="703"/>
      <c r="L49" s="703"/>
      <c r="M49" s="703"/>
      <c r="N49" s="703"/>
      <c r="P49" s="432" t="s">
        <v>348</v>
      </c>
      <c r="Q49" s="433"/>
      <c r="R49" s="433"/>
      <c r="S49" s="433"/>
      <c r="T49" s="433"/>
      <c r="V49" s="432" t="s">
        <v>348</v>
      </c>
      <c r="W49" s="433"/>
      <c r="X49" s="433"/>
      <c r="Y49" s="433"/>
      <c r="Z49" s="433"/>
    </row>
    <row r="50" spans="1:26">
      <c r="A50" s="692"/>
      <c r="B50" s="457" t="s">
        <v>270</v>
      </c>
      <c r="C50" s="462" t="s">
        <v>1</v>
      </c>
      <c r="J50" s="434" t="s">
        <v>349</v>
      </c>
      <c r="K50" s="704" t="s">
        <v>350</v>
      </c>
      <c r="L50" s="704"/>
      <c r="M50" s="674" t="s">
        <v>351</v>
      </c>
      <c r="N50" s="674"/>
      <c r="P50" s="434" t="s">
        <v>349</v>
      </c>
      <c r="Q50" s="435" t="s">
        <v>350</v>
      </c>
      <c r="R50" s="435"/>
      <c r="S50" s="674" t="s">
        <v>351</v>
      </c>
      <c r="T50" s="674"/>
      <c r="V50" s="434" t="s">
        <v>349</v>
      </c>
      <c r="W50" s="435" t="s">
        <v>350</v>
      </c>
      <c r="X50" s="435"/>
      <c r="Y50" s="674" t="s">
        <v>351</v>
      </c>
      <c r="Z50" s="674"/>
    </row>
    <row r="51" spans="1:26" ht="15.75" thickBot="1">
      <c r="A51" s="385" t="s">
        <v>307</v>
      </c>
      <c r="B51" s="53">
        <f>B34</f>
        <v>500.27998212510653</v>
      </c>
      <c r="C51" s="51">
        <f>B51*3.6</f>
        <v>1801.0079356503836</v>
      </c>
      <c r="J51" s="434" t="s">
        <v>31</v>
      </c>
      <c r="K51" s="436" t="s">
        <v>206</v>
      </c>
      <c r="L51" s="436" t="s">
        <v>31</v>
      </c>
      <c r="M51" s="437" t="s">
        <v>206</v>
      </c>
      <c r="N51" s="437" t="s">
        <v>31</v>
      </c>
      <c r="P51" s="434" t="s">
        <v>31</v>
      </c>
      <c r="Q51" s="436" t="s">
        <v>206</v>
      </c>
      <c r="R51" s="436" t="s">
        <v>31</v>
      </c>
      <c r="S51" s="437" t="s">
        <v>206</v>
      </c>
      <c r="T51" s="437" t="s">
        <v>31</v>
      </c>
      <c r="V51" s="434" t="s">
        <v>31</v>
      </c>
      <c r="W51" s="436" t="s">
        <v>206</v>
      </c>
      <c r="X51" s="436" t="s">
        <v>31</v>
      </c>
      <c r="Y51" s="437" t="s">
        <v>206</v>
      </c>
      <c r="Z51" s="437" t="s">
        <v>31</v>
      </c>
    </row>
    <row r="52" spans="1:26" ht="15.75" thickBot="1">
      <c r="A52" s="382" t="s">
        <v>310</v>
      </c>
      <c r="B52" s="383">
        <v>93.06</v>
      </c>
      <c r="C52" s="384">
        <f>B52*3.6</f>
        <v>335.01600000000002</v>
      </c>
      <c r="H52" s="438">
        <v>0</v>
      </c>
      <c r="I52" s="439" t="s">
        <v>352</v>
      </c>
      <c r="J52" s="440">
        <v>1870.97</v>
      </c>
      <c r="K52" s="441"/>
      <c r="L52" s="442"/>
      <c r="M52" s="443"/>
      <c r="N52" s="444">
        <f>J52</f>
        <v>1870.97</v>
      </c>
      <c r="O52" s="445"/>
      <c r="P52" s="446">
        <v>1981.31</v>
      </c>
      <c r="Q52" s="447"/>
      <c r="R52" s="442"/>
      <c r="S52" s="448"/>
      <c r="T52" s="449">
        <f>P52</f>
        <v>1981.31</v>
      </c>
      <c r="U52" s="445"/>
      <c r="V52" s="446">
        <v>1551.81</v>
      </c>
      <c r="W52" s="441"/>
      <c r="X52" s="442"/>
      <c r="Y52" s="448"/>
      <c r="Z52" s="449">
        <v>1551.81</v>
      </c>
    </row>
    <row r="53" spans="1:26" hidden="1">
      <c r="A53" s="273" t="s">
        <v>311</v>
      </c>
      <c r="B53" s="52">
        <v>0</v>
      </c>
      <c r="C53" s="209">
        <v>0</v>
      </c>
      <c r="J53">
        <f>J52/3.6</f>
        <v>519.71388888888885</v>
      </c>
    </row>
    <row r="54" spans="1:26" ht="15.75" thickBot="1">
      <c r="A54" s="210" t="s">
        <v>3</v>
      </c>
      <c r="B54" s="282">
        <f>SUM(B51:B53)</f>
        <v>593.33998212510653</v>
      </c>
      <c r="C54" s="283">
        <f>SUM(C51:C53)</f>
        <v>2136.0239356503835</v>
      </c>
    </row>
  </sheetData>
  <mergeCells count="21">
    <mergeCell ref="C38:D39"/>
    <mergeCell ref="H49:N49"/>
    <mergeCell ref="K50:L50"/>
    <mergeCell ref="M50:N50"/>
    <mergeCell ref="G44:G45"/>
    <mergeCell ref="S50:T50"/>
    <mergeCell ref="Y50:Z50"/>
    <mergeCell ref="A4:A5"/>
    <mergeCell ref="A9:A10"/>
    <mergeCell ref="A38:A40"/>
    <mergeCell ref="H13:J13"/>
    <mergeCell ref="A28:A29"/>
    <mergeCell ref="B28:C28"/>
    <mergeCell ref="H7:H8"/>
    <mergeCell ref="G7:G8"/>
    <mergeCell ref="G41:H41"/>
    <mergeCell ref="A49:A50"/>
    <mergeCell ref="G38:G39"/>
    <mergeCell ref="H12:I12"/>
    <mergeCell ref="G42:I42"/>
    <mergeCell ref="B38:B3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Energetické vstupy</vt:lpstr>
      <vt:lpstr>Vlastní zdoje energie</vt:lpstr>
      <vt:lpstr>Energetická bilance</vt:lpstr>
      <vt:lpstr>Ekonomické hodnocení</vt:lpstr>
      <vt:lpstr>Obálka budovy</vt:lpstr>
      <vt:lpstr>Emise</vt:lpstr>
      <vt:lpstr>Výpočet spotřeby tepla</vt:lpstr>
      <vt:lpstr>Denostupně</vt:lpstr>
      <vt:lpstr>Spotřeby energie</vt:lpstr>
      <vt:lpstr>Potřeba TV</vt:lpstr>
      <vt:lpstr>LED světla</vt:lpstr>
      <vt:lpstr>Evidenční 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2016-06-02T12:30:51Z</dcterms:modified>
</cp:coreProperties>
</file>