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Pol'!$A$1:$W$66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37" i="12"/>
  <c r="E46" l="1"/>
  <c r="E36"/>
  <c r="E35"/>
  <c r="E34"/>
  <c r="E21"/>
  <c r="E16"/>
  <c r="E11"/>
  <c r="E31"/>
  <c r="E33" s="1"/>
  <c r="E19" l="1"/>
  <c r="E39"/>
  <c r="G48"/>
  <c r="G46"/>
  <c r="G39" l="1"/>
  <c r="E58"/>
  <c r="Q58" s="1"/>
  <c r="Q59"/>
  <c r="O59"/>
  <c r="K59"/>
  <c r="I59"/>
  <c r="G59"/>
  <c r="M59" s="1"/>
  <c r="Q37"/>
  <c r="O37"/>
  <c r="K37"/>
  <c r="I37"/>
  <c r="G37"/>
  <c r="M37" s="1"/>
  <c r="Q36"/>
  <c r="O36"/>
  <c r="K36"/>
  <c r="I36"/>
  <c r="G36"/>
  <c r="M36" s="1"/>
  <c r="Q35"/>
  <c r="O35"/>
  <c r="K35"/>
  <c r="I35"/>
  <c r="G35"/>
  <c r="M35" s="1"/>
  <c r="G19"/>
  <c r="G34"/>
  <c r="M34" s="1"/>
  <c r="I34"/>
  <c r="K34"/>
  <c r="O34"/>
  <c r="Q34"/>
  <c r="G53"/>
  <c r="E44"/>
  <c r="E43"/>
  <c r="G43" s="1"/>
  <c r="E41"/>
  <c r="G41" s="1"/>
  <c r="G44" l="1"/>
  <c r="E51"/>
  <c r="K58"/>
  <c r="I58"/>
  <c r="O58"/>
  <c r="G58"/>
  <c r="G51"/>
  <c r="E50"/>
  <c r="G50" s="1"/>
  <c r="E52"/>
  <c r="G52" s="1"/>
  <c r="M58" l="1"/>
  <c r="G45"/>
  <c r="G38" s="1"/>
  <c r="G62" l="1"/>
  <c r="M62" s="1"/>
  <c r="G60"/>
  <c r="M60" s="1"/>
  <c r="G56"/>
  <c r="BA61"/>
  <c r="BA30"/>
  <c r="BA10"/>
  <c r="G9"/>
  <c r="M9" s="1"/>
  <c r="I9"/>
  <c r="K9"/>
  <c r="O9"/>
  <c r="Q9"/>
  <c r="V9"/>
  <c r="G11"/>
  <c r="M11" s="1"/>
  <c r="I11"/>
  <c r="K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21"/>
  <c r="M21" s="1"/>
  <c r="I21"/>
  <c r="K21"/>
  <c r="O21"/>
  <c r="Q21"/>
  <c r="V21"/>
  <c r="G29"/>
  <c r="I29"/>
  <c r="K29"/>
  <c r="O29"/>
  <c r="Q29"/>
  <c r="V29"/>
  <c r="G31"/>
  <c r="M31" s="1"/>
  <c r="I31"/>
  <c r="K31"/>
  <c r="O31"/>
  <c r="Q31"/>
  <c r="V31"/>
  <c r="G33"/>
  <c r="M33" s="1"/>
  <c r="I33"/>
  <c r="K33"/>
  <c r="O33"/>
  <c r="Q33"/>
  <c r="V33"/>
  <c r="V36"/>
  <c r="V37"/>
  <c r="G55"/>
  <c r="M55" s="1"/>
  <c r="I55"/>
  <c r="K55"/>
  <c r="O55"/>
  <c r="Q55"/>
  <c r="V55"/>
  <c r="I56"/>
  <c r="K56"/>
  <c r="O56"/>
  <c r="Q56"/>
  <c r="V56"/>
  <c r="I60"/>
  <c r="K60"/>
  <c r="O60"/>
  <c r="Q60"/>
  <c r="V60"/>
  <c r="I62"/>
  <c r="K62"/>
  <c r="O62"/>
  <c r="Q62"/>
  <c r="V62"/>
  <c r="AE65"/>
  <c r="F40" i="1" s="1"/>
  <c r="I20"/>
  <c r="I18"/>
  <c r="I16"/>
  <c r="H42"/>
  <c r="G54" i="12" l="1"/>
  <c r="I52" i="1" s="1"/>
  <c r="I19" s="1"/>
  <c r="O54" i="12"/>
  <c r="O38" s="1"/>
  <c r="Q54"/>
  <c r="Q38" s="1"/>
  <c r="V54"/>
  <c r="I54"/>
  <c r="I38" s="1"/>
  <c r="K54"/>
  <c r="K38" s="1"/>
  <c r="M56"/>
  <c r="M54" s="1"/>
  <c r="M38" s="1"/>
  <c r="O28"/>
  <c r="Q28"/>
  <c r="I28"/>
  <c r="V28"/>
  <c r="G28"/>
  <c r="I50" i="1" s="1"/>
  <c r="K28" i="12"/>
  <c r="Q8"/>
  <c r="V8"/>
  <c r="I8"/>
  <c r="K8"/>
  <c r="O8"/>
  <c r="F39" i="1"/>
  <c r="F42" s="1"/>
  <c r="G23" s="1"/>
  <c r="F41"/>
  <c r="M8" i="12"/>
  <c r="G8"/>
  <c r="M29"/>
  <c r="J28" i="1"/>
  <c r="J26"/>
  <c r="G38"/>
  <c r="F38"/>
  <c r="H32"/>
  <c r="J23"/>
  <c r="J24"/>
  <c r="J25"/>
  <c r="J27"/>
  <c r="E24"/>
  <c r="E26"/>
  <c r="M28" i="12" l="1"/>
  <c r="AF65"/>
  <c r="G41" i="1" s="1"/>
  <c r="I41" s="1"/>
  <c r="I49"/>
  <c r="G40" l="1"/>
  <c r="I40" s="1"/>
  <c r="G39"/>
  <c r="G42" s="1"/>
  <c r="I39" l="1"/>
  <c r="I42" s="1"/>
  <c r="J41" s="1"/>
  <c r="I51" l="1"/>
  <c r="G65" i="12"/>
  <c r="J39" i="1"/>
  <c r="J42" s="1"/>
  <c r="J40"/>
  <c r="I53"/>
  <c r="I17"/>
  <c r="I21" s="1"/>
  <c r="G25" s="1"/>
  <c r="A27" s="1"/>
  <c r="A28" s="1"/>
  <c r="G28" s="1"/>
  <c r="G27" s="1"/>
  <c r="G29" s="1"/>
  <c r="J51" l="1"/>
  <c r="J50"/>
  <c r="J52"/>
  <c r="J49"/>
  <c r="J53" l="1"/>
</calcChain>
</file>

<file path=xl/sharedStrings.xml><?xml version="1.0" encoding="utf-8"?>
<sst xmlns="http://schemas.openxmlformats.org/spreadsheetml/2006/main" count="376" uniqueCount="205">
  <si>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</si>
  <si>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</si>
  <si>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</si>
  <si>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</si>
  <si>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</si>
  <si>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</si>
  <si>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</si>
  <si>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</si>
  <si>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</si>
  <si>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</si>
  <si>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</si>
  <si>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</si>
  <si>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</si>
  <si>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</si>
  <si>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</si>
  <si>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</si>
  <si>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</si>
  <si>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</si>
  <si>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</si>
  <si>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</si>
  <si>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</si>
  <si>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</si>
  <si>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</si>
  <si>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</si>
  <si>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</si>
  <si>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</si>
  <si>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</si>
  <si>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</si>
  <si>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</si>
  <si>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</si>
  <si>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</si>
  <si>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</si>
  <si>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</si>
  <si>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</si>
  <si>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</si>
  <si>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</si>
  <si>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</si>
  <si>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</si>
  <si>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</si>
  <si>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</si>
  <si>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</si>
  <si>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</si>
  <si>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</si>
  <si>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</si>
  <si>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Vzduchotechnika</t>
  </si>
  <si>
    <t>SO-01</t>
  </si>
  <si>
    <t>D.1.4. Technická prostředí staveb</t>
  </si>
  <si>
    <t>Objekt:</t>
  </si>
  <si>
    <t>Rozpočet:</t>
  </si>
  <si>
    <t>22/10/2017</t>
  </si>
  <si>
    <t>MAXXI - THERM s.r.o.</t>
  </si>
  <si>
    <t>Poděbradova 2738/16</t>
  </si>
  <si>
    <t>Ostrava-Moravská Ostrava</t>
  </si>
  <si>
    <t>70200</t>
  </si>
  <si>
    <t>27777685</t>
  </si>
  <si>
    <t>Stavba</t>
  </si>
  <si>
    <t>Celkem za stavbu</t>
  </si>
  <si>
    <t>CZK</t>
  </si>
  <si>
    <t>Rekapitulace dílů</t>
  </si>
  <si>
    <t>Typ dílu</t>
  </si>
  <si>
    <t>728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</si>
  <si>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</si>
  <si>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</si>
  <si>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</si>
  <si>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</si>
  <si>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</si>
  <si>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</si>
  <si>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</si>
  <si>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</si>
  <si>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</si>
  <si>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</si>
  <si>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</si>
  <si>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</si>
  <si>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</si>
  <si>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</si>
  <si>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</si>
  <si>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</si>
  <si>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</si>
  <si>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</si>
  <si>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</si>
  <si>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</si>
  <si>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</si>
  <si>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</si>
  <si>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</si>
  <si>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</si>
  <si>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</si>
  <si>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</si>
  <si>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</si>
  <si>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</si>
  <si>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</si>
  <si>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</si>
  <si>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</si>
  <si>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728616211V</t>
  </si>
  <si>
    <t>Interiérová větrací jednotka pro rovnotlaké rekuperační větrání učeben</t>
  </si>
  <si>
    <t>kus</t>
  </si>
  <si>
    <t>Vlastní</t>
  </si>
  <si>
    <t>Indiv</t>
  </si>
  <si>
    <t>POL1_</t>
  </si>
  <si>
    <t>POP</t>
  </si>
  <si>
    <t>728616212V</t>
  </si>
  <si>
    <t>728616213V</t>
  </si>
  <si>
    <t>Typové příslušenství : Fasádní mřížka vč.průchodu fasádou (2x pr. 300mm) vertikální</t>
  </si>
  <si>
    <t>728616214V</t>
  </si>
  <si>
    <t>Typové příslušenství : Fasádní mřížka vč.průchodu fasádou (2x pr. 300mm) horizontální</t>
  </si>
  <si>
    <t>728616215V</t>
  </si>
  <si>
    <t>Typové příslušenství : Zákryt potrubního připojení (nikoli obklad)</t>
  </si>
  <si>
    <t>728616216V</t>
  </si>
  <si>
    <t>Atypické příslušenství : Zákryt potrubního připojení (nikoli obklad)na zakázku zvlášť vyrobené, dle skutečných rozměrů</t>
  </si>
  <si>
    <t>728616217V</t>
  </si>
  <si>
    <t>Typové příslušenství : Obklad jednotky, lamino tl.18mm (buk nebo dub přírodní nebo dub bardolino, dle výběru investora</t>
  </si>
  <si>
    <t>728616218V</t>
  </si>
  <si>
    <t>Typové příslušenství : Obklad zákrytu lamino tl.18mm</t>
  </si>
  <si>
    <t>728616219V</t>
  </si>
  <si>
    <t>Atypické příslušenství : Na míru zhotovený obklad (lamino tl.18mm) pro vybraná potrubní propojení</t>
  </si>
  <si>
    <t>728616221V</t>
  </si>
  <si>
    <t>799730451V</t>
  </si>
  <si>
    <t>Přemístění stávajících otopných těles tak , aby nebránila instalaci VZT jednotek</t>
  </si>
  <si>
    <t xml:space="preserve">ks    </t>
  </si>
  <si>
    <t>799730455V</t>
  </si>
  <si>
    <t>799730456V</t>
  </si>
  <si>
    <t>799730457V</t>
  </si>
  <si>
    <t>799730462V</t>
  </si>
  <si>
    <t>Seřízení a uvedení jednotek do provozu , zaškolení obsluhy</t>
  </si>
  <si>
    <t>799730475V</t>
  </si>
  <si>
    <t>Pomocný montážní, spojovací těsnící materiál, závěsy konzoly</t>
  </si>
  <si>
    <t>kg</t>
  </si>
  <si>
    <t>799730477V</t>
  </si>
  <si>
    <t>101</t>
  </si>
  <si>
    <t>Nákladní automobilová doprava</t>
  </si>
  <si>
    <t>Kč</t>
  </si>
  <si>
    <t>POL13_0</t>
  </si>
  <si>
    <t>005121 R</t>
  </si>
  <si>
    <t>Zařízení staveniště</t>
  </si>
  <si>
    <t>Soubor</t>
  </si>
  <si>
    <t>RTS 17/ II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</si>
  <si>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</si>
  <si>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</si>
  <si>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</si>
  <si>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</si>
  <si>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</si>
  <si>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005124010R</t>
  </si>
  <si>
    <t>Koordinační činnost</t>
  </si>
  <si>
    <t>Koordinace stavebních a technologických dodávek stavby.</t>
  </si>
  <si>
    <t>SUM</t>
  </si>
  <si>
    <t>END</t>
  </si>
  <si>
    <t>710 16</t>
  </si>
  <si>
    <t xml:space="preserve">Statutární město Ostrava, </t>
  </si>
  <si>
    <t>Ostrava-Slezská Ostrava</t>
  </si>
  <si>
    <t xml:space="preserve">městský obvod Slezská Ostrava Těšínská 138/35,             </t>
  </si>
  <si>
    <t xml:space="preserve">00845451                        </t>
  </si>
  <si>
    <t>CZ00845451</t>
  </si>
  <si>
    <t>KRP GROUP s.r.o.</t>
  </si>
  <si>
    <t xml:space="preserve">Českobratrská 1403/2, </t>
  </si>
  <si>
    <t>CZ27805514</t>
  </si>
  <si>
    <t>13/4/2018</t>
  </si>
  <si>
    <t>M21</t>
  </si>
  <si>
    <t>Elektromontáže</t>
  </si>
  <si>
    <t>Kabel silový s Cu jádrem 750 V CYKY 3 C x 1,5 mm2</t>
  </si>
  <si>
    <t>m</t>
  </si>
  <si>
    <t>34111032</t>
  </si>
  <si>
    <t>Zásuvka na omítku 16A,250V, krytí IP 54</t>
  </si>
  <si>
    <t>35811258</t>
  </si>
  <si>
    <t xml:space="preserve">ks   </t>
  </si>
  <si>
    <t>Označovací štítek na kabel</t>
  </si>
  <si>
    <t>ks</t>
  </si>
  <si>
    <t>hod</t>
  </si>
  <si>
    <t>Revize elektro (dle ČSN)</t>
  </si>
  <si>
    <t>Likvidace vzniklého odpadu</t>
  </si>
  <si>
    <t>Režijní materiál</t>
  </si>
  <si>
    <t>210910145V</t>
  </si>
  <si>
    <t>210010144V</t>
  </si>
  <si>
    <t>210010201V</t>
  </si>
  <si>
    <t>210010153V</t>
  </si>
  <si>
    <t>34111033</t>
  </si>
  <si>
    <t>Kabel silový s Cu jádrem 750 V CYKY 3 C x 2,5 mm2</t>
  </si>
  <si>
    <t>Silový kabel pro pohybilvé uložení, zakončený zásuvkovou vidlicí, (2,5 m/jednotka)</t>
  </si>
  <si>
    <t>60504458</t>
  </si>
  <si>
    <t>Polyamidová zásuvková vidlice 230V/16A s rovným zasunutím</t>
  </si>
  <si>
    <t>Typové příslušenství : Integrovaný dohřívač vzduchu 0,6kW</t>
  </si>
  <si>
    <t xml:space="preserve">Naprogramování různých výkonů během dne a týdne,  Plynulé řízení řízení výkonu  ventilátorů, Automatické ovládání klapky by-passu, Řízení el. ohřívače, Plynulé řízení řízení výkonu ventilátorů, Protimrazová ochrana, Provoz podle čidel CO2, kvality a vlhkosti vzduchu nebo VOC. </t>
  </si>
  <si>
    <t xml:space="preserve">Typové příslušenství : Regulační zařízení (bez digitálního regulátoru) pro ovládání jednotky (signálem 0-10V) v režimu snímání kvality vzduchu (integrovaným čidlem CO2, případně dalším čidlem umístěným vně jednotky na stěně). Systém umožní: </t>
  </si>
  <si>
    <t>Úpravy uvnitř i venku (zaomítání zevnitř, vymalování, oprava zateplovacího systému zvenku + tenkovrstvé omítky + oprava fasádní barvy)</t>
  </si>
  <si>
    <t>Vysoce reaktivní nástřik venkovní vyústky v barvě fasády (dle volby investora)</t>
  </si>
  <si>
    <t>Připojení systému ovládání na stávající el. rozvod objektu</t>
  </si>
  <si>
    <t>Statické zajištění jádrových vrtů</t>
  </si>
  <si>
    <t>Posunutí cca o 0,5-1m vč potrubních napojení, vypuštění a napuštění topného systému, nové konzoly pro tělesa, stavební úpravy - odstranění starých úchytů, oprava omítek , vymalování.</t>
  </si>
  <si>
    <t>728616220V</t>
  </si>
  <si>
    <t>Jádrový vrt obvodovými stěnami - průměr 300mm, (délka cca 600 mm) stavební úpravy po instalaci jednotek</t>
  </si>
  <si>
    <t>Přesun jednotek na jednotlivá podlaží do tříd (jednoka hmotnosti 215 kg)</t>
  </si>
  <si>
    <t>Autoplošina pro montáž fasádních vyústek</t>
  </si>
  <si>
    <t>Náklady na ztížené provádění stavebních prací v důsledku nepřerušeného provozu na staveništi nebo v případech nepřerušeného provozu v objektech v nichž se stavební práce provádí (během školního roku mimo vyučování - o víkendech, odpoledne, o svátcích)</t>
  </si>
  <si>
    <t>Montáž prvků elektro (zhotovení drážek, stavební úpravy)</t>
  </si>
  <si>
    <t>Každé jednotce náleží vlastní obvod s jističem</t>
  </si>
  <si>
    <t>Vybavení stávajících elektrorozvaděčů o jističe 16A</t>
  </si>
  <si>
    <t>Vybavení stávajících elektrorozvaděčů o proudové chrániče In 16 A, Ue AC 230/400 V, Idn 10mA, 2pól, Inc 10 kA,</t>
  </si>
  <si>
    <t>Proudový chránič pro všechny nové obvody s jističem v rozvaděči (1 rozvaděč/podlaží)</t>
  </si>
  <si>
    <t>Napojení jednotek k průchodu fasádou, cca 3m/jednotka</t>
  </si>
  <si>
    <t xml:space="preserve">Flexibilní hliníková hadice d280 , vč. izolace 40 mm minerální vlnou s Al fólií </t>
  </si>
  <si>
    <t>210010148V</t>
  </si>
  <si>
    <t>210950101V</t>
  </si>
  <si>
    <t>102</t>
  </si>
  <si>
    <t>103</t>
  </si>
  <si>
    <t>Silový kabel pro pevné uložení v otevřeném prostoru, v zemi a v betonu, pro vnitřní instalace a instalace pod omítkou. (60 m učebna, propojení stávajícího elektrorozvaděče s novou zásuvkou ve třídě, kde bude instalována jednotka)</t>
  </si>
  <si>
    <t>Instalace nuceného větrání s rekuperací tepla v ZŠ Bohumínská 1082/72</t>
  </si>
  <si>
    <t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850 m3/h.) účinnost rekuperace až 93 procent, 230V, 50 Hz,. Rozměry jednotky v/š/h  : 2000/800/655mm. Vyhovuje ECODESIGN 2018, VDI 6022: pravé(10/0 ) provedení s volitelným dekorem zákrytu jednotky; hmotnost jednotky 215 kg.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</si>
</sst>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B05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16" fillId="0" borderId="27" xfId="0" applyFont="1" applyBorder="1" applyAlignment="1">
      <alignment vertical="top"/>
    </xf>
    <xf numFmtId="49" fontId="16" fillId="0" borderId="18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vertical="top" shrinkToFit="1"/>
    </xf>
    <xf numFmtId="4" fontId="16" fillId="4" borderId="18" xfId="0" applyNumberFormat="1" applyFont="1" applyFill="1" applyBorder="1" applyAlignment="1" applyProtection="1">
      <alignment vertical="top" shrinkToFit="1"/>
      <protection locked="0"/>
    </xf>
    <xf numFmtId="4" fontId="16" fillId="0" borderId="18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9" fontId="7" fillId="0" borderId="34" xfId="0" applyNumberFormat="1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" fontId="7" fillId="0" borderId="36" xfId="0" applyNumberFormat="1" applyFont="1" applyBorder="1" applyAlignment="1">
      <alignment vertical="center"/>
    </xf>
    <xf numFmtId="164" fontId="16" fillId="0" borderId="39" xfId="0" applyNumberFormat="1" applyFont="1" applyFill="1" applyBorder="1" applyAlignment="1">
      <alignment vertical="top" shrinkToFit="1"/>
    </xf>
    <xf numFmtId="4" fontId="16" fillId="0" borderId="39" xfId="0" applyNumberFormat="1" applyFont="1" applyFill="1" applyBorder="1" applyAlignment="1">
      <alignment vertical="top" shrinkToFit="1"/>
    </xf>
    <xf numFmtId="0" fontId="16" fillId="0" borderId="38" xfId="0" applyFont="1" applyFill="1" applyBorder="1" applyAlignment="1">
      <alignment vertical="top"/>
    </xf>
    <xf numFmtId="49" fontId="16" fillId="0" borderId="39" xfId="0" applyNumberFormat="1" applyFont="1" applyFill="1" applyBorder="1" applyAlignment="1">
      <alignment vertical="top"/>
    </xf>
    <xf numFmtId="49" fontId="16" fillId="0" borderId="39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shrinkToFit="1"/>
    </xf>
    <xf numFmtId="0" fontId="16" fillId="0" borderId="39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39" xfId="0" applyFont="1" applyFill="1" applyBorder="1" applyAlignment="1">
      <alignment horizontal="center" vertical="center" shrinkToFit="1"/>
    </xf>
    <xf numFmtId="0" fontId="8" fillId="3" borderId="12" xfId="0" applyFont="1" applyFill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shrinkToFi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35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49" fontId="16" fillId="0" borderId="18" xfId="0" applyNumberFormat="1" applyFont="1" applyBorder="1" applyAlignment="1">
      <alignment horizontal="center" vertical="top"/>
    </xf>
    <xf numFmtId="49" fontId="16" fillId="0" borderId="0" xfId="0" applyNumberFormat="1" applyFont="1" applyBorder="1" applyAlignment="1">
      <alignment horizontal="center" vertical="top"/>
    </xf>
    <xf numFmtId="49" fontId="19" fillId="0" borderId="35" xfId="0" applyNumberFormat="1" applyFont="1" applyBorder="1" applyAlignment="1">
      <alignment horizontal="left" vertical="top" wrapText="1"/>
    </xf>
    <xf numFmtId="49" fontId="19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212" t="s">
        <v>39</v>
      </c>
      <c r="B2" s="212"/>
      <c r="C2" s="212"/>
      <c r="D2" s="212"/>
      <c r="E2" s="212"/>
      <c r="F2" s="212"/>
      <c r="G2" s="212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6"/>
  <sheetViews>
    <sheetView showGridLines="0" topLeftCell="B1" zoomScaleSheetLayoutView="75" workbookViewId="0">
      <selection activeCell="E2" sqref="E2:J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243" t="s">
        <v>41</v>
      </c>
      <c r="C1" s="244"/>
      <c r="D1" s="244"/>
      <c r="E1" s="244"/>
      <c r="F1" s="244"/>
      <c r="G1" s="244"/>
      <c r="H1" s="244"/>
      <c r="I1" s="244"/>
      <c r="J1" s="245"/>
    </row>
    <row r="2" spans="1:15" ht="36" customHeight="1">
      <c r="A2" s="3"/>
      <c r="B2" s="78" t="s">
        <v>22</v>
      </c>
      <c r="C2" s="79"/>
      <c r="D2" s="80" t="s">
        <v>154</v>
      </c>
      <c r="E2" s="213" t="s">
        <v>203</v>
      </c>
      <c r="F2" s="214"/>
      <c r="G2" s="214"/>
      <c r="H2" s="214"/>
      <c r="I2" s="214"/>
      <c r="J2" s="215"/>
      <c r="O2" s="2"/>
    </row>
    <row r="3" spans="1:15" ht="27" customHeight="1">
      <c r="A3" s="3"/>
      <c r="B3" s="81" t="s">
        <v>47</v>
      </c>
      <c r="C3" s="79"/>
      <c r="D3" s="82"/>
      <c r="E3" s="249" t="s">
        <v>46</v>
      </c>
      <c r="F3" s="250"/>
      <c r="G3" s="250"/>
      <c r="H3" s="250"/>
      <c r="I3" s="250"/>
      <c r="J3" s="251"/>
    </row>
    <row r="4" spans="1:15" ht="23.25" customHeight="1">
      <c r="A4" s="75">
        <v>568</v>
      </c>
      <c r="B4" s="83" t="s">
        <v>48</v>
      </c>
      <c r="C4" s="84"/>
      <c r="D4" s="85" t="s">
        <v>43</v>
      </c>
      <c r="E4" s="240" t="s">
        <v>44</v>
      </c>
      <c r="F4" s="241"/>
      <c r="G4" s="241"/>
      <c r="H4" s="241"/>
      <c r="I4" s="241"/>
      <c r="J4" s="242"/>
    </row>
    <row r="5" spans="1:15" ht="24" customHeight="1">
      <c r="A5" s="3"/>
      <c r="B5" s="43" t="s">
        <v>42</v>
      </c>
      <c r="C5" s="4"/>
      <c r="D5" s="86" t="s">
        <v>146</v>
      </c>
      <c r="E5" s="25"/>
      <c r="F5" s="25"/>
      <c r="G5" s="25"/>
      <c r="H5" s="26" t="s">
        <v>40</v>
      </c>
      <c r="I5" s="86" t="s">
        <v>149</v>
      </c>
      <c r="J5" s="10"/>
    </row>
    <row r="6" spans="1:15" ht="15.75" customHeight="1">
      <c r="A6" s="3"/>
      <c r="B6" s="38"/>
      <c r="C6" s="25"/>
      <c r="D6" s="86" t="s">
        <v>148</v>
      </c>
      <c r="E6" s="25"/>
      <c r="F6" s="25"/>
      <c r="G6" s="25"/>
      <c r="H6" s="26" t="s">
        <v>34</v>
      </c>
      <c r="I6" s="86" t="s">
        <v>150</v>
      </c>
      <c r="J6" s="10"/>
    </row>
    <row r="7" spans="1:15" ht="15.75" customHeight="1">
      <c r="A7" s="3"/>
      <c r="B7" s="39"/>
      <c r="C7" s="87" t="s">
        <v>145</v>
      </c>
      <c r="D7" s="76" t="s">
        <v>147</v>
      </c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7" t="s">
        <v>50</v>
      </c>
      <c r="E8" s="4"/>
      <c r="F8" s="4"/>
      <c r="G8" s="42"/>
      <c r="H8" s="26" t="s">
        <v>40</v>
      </c>
      <c r="I8" s="86" t="s">
        <v>54</v>
      </c>
      <c r="J8" s="10"/>
    </row>
    <row r="9" spans="1:15" ht="15.75" hidden="1" customHeight="1">
      <c r="A9" s="3"/>
      <c r="B9" s="3"/>
      <c r="C9" s="4"/>
      <c r="D9" s="77" t="s">
        <v>51</v>
      </c>
      <c r="E9" s="4"/>
      <c r="F9" s="4"/>
      <c r="G9" s="42"/>
      <c r="H9" s="26" t="s">
        <v>34</v>
      </c>
      <c r="I9" s="31"/>
      <c r="J9" s="10"/>
    </row>
    <row r="10" spans="1:15" ht="15.75" hidden="1" customHeight="1">
      <c r="A10" s="3"/>
      <c r="B10" s="48"/>
      <c r="C10" s="87" t="s">
        <v>53</v>
      </c>
      <c r="D10" s="88" t="s">
        <v>52</v>
      </c>
      <c r="E10" s="51"/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53" t="s">
        <v>151</v>
      </c>
      <c r="E11" s="253"/>
      <c r="F11" s="253"/>
      <c r="G11" s="253"/>
      <c r="H11" s="26" t="s">
        <v>40</v>
      </c>
      <c r="I11" s="188">
        <v>27805514</v>
      </c>
      <c r="J11" s="10"/>
    </row>
    <row r="12" spans="1:15" ht="15.75" customHeight="1">
      <c r="A12" s="3"/>
      <c r="B12" s="38"/>
      <c r="C12" s="25"/>
      <c r="D12" s="238" t="s">
        <v>152</v>
      </c>
      <c r="E12" s="238"/>
      <c r="F12" s="238"/>
      <c r="G12" s="238"/>
      <c r="H12" s="26" t="s">
        <v>34</v>
      </c>
      <c r="I12" s="188" t="s">
        <v>153</v>
      </c>
      <c r="J12" s="10"/>
    </row>
    <row r="13" spans="1:15" ht="15.75" customHeight="1">
      <c r="A13" s="3"/>
      <c r="B13" s="39"/>
      <c r="C13" s="89">
        <v>70200</v>
      </c>
      <c r="D13" s="239" t="s">
        <v>52</v>
      </c>
      <c r="E13" s="239"/>
      <c r="F13" s="239"/>
      <c r="G13" s="239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52"/>
      <c r="F15" s="252"/>
      <c r="G15" s="254"/>
      <c r="H15" s="254"/>
      <c r="I15" s="254" t="s">
        <v>29</v>
      </c>
      <c r="J15" s="255"/>
    </row>
    <row r="16" spans="1:15" ht="23.25" customHeight="1">
      <c r="A16" s="145" t="s">
        <v>24</v>
      </c>
      <c r="B16" s="53" t="s">
        <v>24</v>
      </c>
      <c r="C16" s="54"/>
      <c r="D16" s="55"/>
      <c r="E16" s="231"/>
      <c r="F16" s="232"/>
      <c r="G16" s="231"/>
      <c r="H16" s="232"/>
      <c r="I16" s="231">
        <f>SUMIF(F49:F52,A16,I49:I52)+SUMIF(F49:F52,"PSU",I49:I52)</f>
        <v>0</v>
      </c>
      <c r="J16" s="233"/>
    </row>
    <row r="17" spans="1:10" ht="23.25" customHeight="1">
      <c r="A17" s="145" t="s">
        <v>25</v>
      </c>
      <c r="B17" s="53" t="s">
        <v>25</v>
      </c>
      <c r="C17" s="54"/>
      <c r="D17" s="55"/>
      <c r="E17" s="231"/>
      <c r="F17" s="232"/>
      <c r="G17" s="231"/>
      <c r="H17" s="232"/>
      <c r="I17" s="231">
        <f>SUMIF(F49:F52,A17,I49:I52)</f>
        <v>0</v>
      </c>
      <c r="J17" s="233"/>
    </row>
    <row r="18" spans="1:10" ht="23.25" customHeight="1">
      <c r="A18" s="145" t="s">
        <v>26</v>
      </c>
      <c r="B18" s="53" t="s">
        <v>26</v>
      </c>
      <c r="C18" s="54"/>
      <c r="D18" s="55"/>
      <c r="E18" s="231"/>
      <c r="F18" s="232"/>
      <c r="G18" s="231"/>
      <c r="H18" s="232"/>
      <c r="I18" s="231">
        <f>SUMIF(F49:F52,A18,I49:I52)</f>
        <v>0</v>
      </c>
      <c r="J18" s="233"/>
    </row>
    <row r="19" spans="1:10" ht="23.25" customHeight="1">
      <c r="A19" s="145" t="s">
        <v>63</v>
      </c>
      <c r="B19" s="53" t="s">
        <v>27</v>
      </c>
      <c r="C19" s="54"/>
      <c r="D19" s="55"/>
      <c r="E19" s="231"/>
      <c r="F19" s="232"/>
      <c r="G19" s="231"/>
      <c r="H19" s="232"/>
      <c r="I19" s="231">
        <f>SUMIF(F49:F52,A19,I49:I52)</f>
        <v>0</v>
      </c>
      <c r="J19" s="233"/>
    </row>
    <row r="20" spans="1:10" ht="23.25" customHeight="1">
      <c r="A20" s="145" t="s">
        <v>64</v>
      </c>
      <c r="B20" s="53" t="s">
        <v>28</v>
      </c>
      <c r="C20" s="54"/>
      <c r="D20" s="55"/>
      <c r="E20" s="231"/>
      <c r="F20" s="232"/>
      <c r="G20" s="231"/>
      <c r="H20" s="232"/>
      <c r="I20" s="231">
        <f>SUMIF(F49:F52,A20,I49:I52)</f>
        <v>0</v>
      </c>
      <c r="J20" s="233"/>
    </row>
    <row r="21" spans="1:10" ht="23.25" customHeight="1">
      <c r="A21" s="3"/>
      <c r="B21" s="70" t="s">
        <v>29</v>
      </c>
      <c r="C21" s="71"/>
      <c r="D21" s="72"/>
      <c r="E21" s="234"/>
      <c r="F21" s="256"/>
      <c r="G21" s="234"/>
      <c r="H21" s="256"/>
      <c r="I21" s="234">
        <f>SUM(I16:J20)</f>
        <v>0</v>
      </c>
      <c r="J21" s="235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/>
      <c r="B23" s="53" t="s">
        <v>12</v>
      </c>
      <c r="C23" s="54"/>
      <c r="D23" s="55"/>
      <c r="E23" s="56">
        <v>15</v>
      </c>
      <c r="F23" s="57" t="s">
        <v>0</v>
      </c>
      <c r="G23" s="229">
        <f>ZakladDPHSniVypocet</f>
        <v>0</v>
      </c>
      <c r="H23" s="230"/>
      <c r="I23" s="230"/>
      <c r="J23" s="58" t="str">
        <f t="shared" ref="J23:J28" si="0">Mena</f>
        <v>CZK</v>
      </c>
    </row>
    <row r="24" spans="1:10" ht="23.25" hidden="1" customHeight="1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27">
        <v>0</v>
      </c>
      <c r="H24" s="228"/>
      <c r="I24" s="228"/>
      <c r="J24" s="58" t="str">
        <f t="shared" si="0"/>
        <v>CZK</v>
      </c>
    </row>
    <row r="25" spans="1:10" ht="23.25" customHeight="1">
      <c r="A25" s="3"/>
      <c r="B25" s="53" t="s">
        <v>14</v>
      </c>
      <c r="C25" s="54"/>
      <c r="D25" s="55"/>
      <c r="E25" s="56">
        <v>21</v>
      </c>
      <c r="F25" s="57" t="s">
        <v>0</v>
      </c>
      <c r="G25" s="229">
        <f>I21</f>
        <v>0</v>
      </c>
      <c r="H25" s="230"/>
      <c r="I25" s="230"/>
      <c r="J25" s="58" t="str">
        <f t="shared" si="0"/>
        <v>CZK</v>
      </c>
    </row>
    <row r="26" spans="1:10" ht="23.25" hidden="1" customHeight="1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46">
        <v>1255982</v>
      </c>
      <c r="H26" s="247"/>
      <c r="I26" s="247"/>
      <c r="J26" s="52" t="str">
        <f t="shared" si="0"/>
        <v>CZK</v>
      </c>
    </row>
    <row r="27" spans="1:10" ht="23.25" customHeight="1" thickBot="1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48">
        <f>CenaCelkemBezDPH-(ZakladDPHSni+ZakladDPHZakl)</f>
        <v>0</v>
      </c>
      <c r="H27" s="248"/>
      <c r="I27" s="248"/>
      <c r="J27" s="59" t="str">
        <f t="shared" si="0"/>
        <v>CZK</v>
      </c>
    </row>
    <row r="28" spans="1:10" ht="27.75" customHeight="1" thickBot="1">
      <c r="A28" s="3">
        <f>(A27-INT(A27))*100</f>
        <v>0</v>
      </c>
      <c r="B28" s="122" t="s">
        <v>23</v>
      </c>
      <c r="C28" s="123"/>
      <c r="D28" s="123"/>
      <c r="E28" s="124"/>
      <c r="F28" s="125"/>
      <c r="G28" s="236">
        <f>IF(A28&gt;50, ROUNDUP(A27, 0), ROUNDDOWN(A27, 0))</f>
        <v>0</v>
      </c>
      <c r="H28" s="237"/>
      <c r="I28" s="237"/>
      <c r="J28" s="126" t="str">
        <f t="shared" si="0"/>
        <v>CZK</v>
      </c>
    </row>
    <row r="29" spans="1:10" ht="27.75" hidden="1" customHeight="1" thickBot="1">
      <c r="A29" s="3"/>
      <c r="B29" s="122" t="s">
        <v>35</v>
      </c>
      <c r="C29" s="127"/>
      <c r="D29" s="127"/>
      <c r="E29" s="127"/>
      <c r="F29" s="127"/>
      <c r="G29" s="236">
        <f>ZakladDPHSni+DPHSni+ZakladDPHZakl+DPHZakl+Zaokrouhleni</f>
        <v>1255982</v>
      </c>
      <c r="H29" s="236"/>
      <c r="I29" s="236"/>
      <c r="J29" s="128" t="s">
        <v>57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43251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>
      <c r="A35" s="3"/>
      <c r="B35" s="3"/>
      <c r="C35" s="4"/>
      <c r="D35" s="226" t="s">
        <v>2</v>
      </c>
      <c r="E35" s="226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>
      <c r="A39" s="94">
        <v>1</v>
      </c>
      <c r="B39" s="105" t="s">
        <v>55</v>
      </c>
      <c r="C39" s="218"/>
      <c r="D39" s="219"/>
      <c r="E39" s="219"/>
      <c r="F39" s="106">
        <f>'SO-01 1 Pol'!AE65</f>
        <v>0</v>
      </c>
      <c r="G39" s="107">
        <f>'SO-01 1 Pol'!AF65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94">
        <v>2</v>
      </c>
      <c r="B40" s="111" t="s">
        <v>45</v>
      </c>
      <c r="C40" s="220" t="s">
        <v>46</v>
      </c>
      <c r="D40" s="221"/>
      <c r="E40" s="221"/>
      <c r="F40" s="112">
        <f>'SO-01 1 Pol'!AE65</f>
        <v>0</v>
      </c>
      <c r="G40" s="113">
        <f>'SO-01 1 Pol'!AF65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>
      <c r="A41" s="94">
        <v>3</v>
      </c>
      <c r="B41" s="116" t="s">
        <v>43</v>
      </c>
      <c r="C41" s="218" t="s">
        <v>44</v>
      </c>
      <c r="D41" s="219"/>
      <c r="E41" s="219"/>
      <c r="F41" s="117">
        <f>'SO-01 1 Pol'!AE65</f>
        <v>0</v>
      </c>
      <c r="G41" s="108">
        <f>'SO-01 1 Pol'!AF65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94"/>
      <c r="B42" s="222" t="s">
        <v>56</v>
      </c>
      <c r="C42" s="223"/>
      <c r="D42" s="223"/>
      <c r="E42" s="223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>
      <c r="B46" s="129" t="s">
        <v>58</v>
      </c>
    </row>
    <row r="48" spans="1:10" ht="25.5" customHeight="1">
      <c r="A48" s="130"/>
      <c r="B48" s="133" t="s">
        <v>17</v>
      </c>
      <c r="C48" s="133" t="s">
        <v>5</v>
      </c>
      <c r="D48" s="134"/>
      <c r="E48" s="134"/>
      <c r="F48" s="135" t="s">
        <v>59</v>
      </c>
      <c r="G48" s="135"/>
      <c r="H48" s="135"/>
      <c r="I48" s="135" t="s">
        <v>29</v>
      </c>
      <c r="J48" s="135" t="s">
        <v>0</v>
      </c>
    </row>
    <row r="49" spans="1:10" ht="25.5" customHeight="1">
      <c r="A49" s="131"/>
      <c r="B49" s="136" t="s">
        <v>60</v>
      </c>
      <c r="C49" s="216" t="s">
        <v>44</v>
      </c>
      <c r="D49" s="217"/>
      <c r="E49" s="217"/>
      <c r="F49" s="143" t="s">
        <v>25</v>
      </c>
      <c r="G49" s="137"/>
      <c r="H49" s="137"/>
      <c r="I49" s="137">
        <f>'SO-01 1 Pol'!G8</f>
        <v>0</v>
      </c>
      <c r="J49" s="141" t="str">
        <f>IF(I53=0,"",I49/I53*100)</f>
        <v/>
      </c>
    </row>
    <row r="50" spans="1:10" ht="25.5" customHeight="1">
      <c r="A50" s="131"/>
      <c r="B50" s="136" t="s">
        <v>61</v>
      </c>
      <c r="C50" s="216" t="s">
        <v>62</v>
      </c>
      <c r="D50" s="217"/>
      <c r="E50" s="217"/>
      <c r="F50" s="143" t="s">
        <v>25</v>
      </c>
      <c r="G50" s="137"/>
      <c r="H50" s="137"/>
      <c r="I50" s="137">
        <f>'SO-01 1 Pol'!G28</f>
        <v>0</v>
      </c>
      <c r="J50" s="141" t="str">
        <f>IF(I53=0,"",I50/I53*100)</f>
        <v/>
      </c>
    </row>
    <row r="51" spans="1:10" ht="25.5" customHeight="1">
      <c r="A51" s="131"/>
      <c r="B51" s="196" t="s">
        <v>155</v>
      </c>
      <c r="C51" s="224" t="s">
        <v>156</v>
      </c>
      <c r="D51" s="225"/>
      <c r="E51" s="197"/>
      <c r="F51" s="143" t="s">
        <v>25</v>
      </c>
      <c r="G51" s="198"/>
      <c r="H51" s="198"/>
      <c r="I51" s="137">
        <f>'SO-01 1 Pol'!G38</f>
        <v>0</v>
      </c>
      <c r="J51" s="141" t="str">
        <f>IF(I53=0,"",I51/I53*100)</f>
        <v/>
      </c>
    </row>
    <row r="52" spans="1:10" ht="25.5" customHeight="1">
      <c r="A52" s="131"/>
      <c r="B52" s="136" t="s">
        <v>63</v>
      </c>
      <c r="C52" s="216" t="s">
        <v>27</v>
      </c>
      <c r="D52" s="217"/>
      <c r="E52" s="217"/>
      <c r="F52" s="143" t="s">
        <v>63</v>
      </c>
      <c r="G52" s="137"/>
      <c r="H52" s="137"/>
      <c r="I52" s="137">
        <f>'SO-01 1 Pol'!G54</f>
        <v>0</v>
      </c>
      <c r="J52" s="141" t="str">
        <f>IF(I53=0,"",I52/I53*100)</f>
        <v/>
      </c>
    </row>
    <row r="53" spans="1:10" ht="25.5" customHeight="1">
      <c r="A53" s="132"/>
      <c r="B53" s="138" t="s">
        <v>1</v>
      </c>
      <c r="C53" s="138"/>
      <c r="D53" s="139"/>
      <c r="E53" s="139"/>
      <c r="F53" s="144"/>
      <c r="G53" s="140"/>
      <c r="H53" s="140"/>
      <c r="I53" s="140">
        <f>SUM(I49:I52)</f>
        <v>0</v>
      </c>
      <c r="J53" s="142">
        <f>SUM(J49:J52)</f>
        <v>0</v>
      </c>
    </row>
    <row r="54" spans="1:10">
      <c r="F54" s="92"/>
      <c r="G54" s="91"/>
      <c r="H54" s="92"/>
      <c r="I54" s="91"/>
      <c r="J54" s="93"/>
    </row>
    <row r="55" spans="1:10">
      <c r="F55" s="92"/>
      <c r="G55" s="91"/>
      <c r="H55" s="92"/>
      <c r="I55" s="91"/>
      <c r="J55" s="93"/>
    </row>
    <row r="56" spans="1:10">
      <c r="F56" s="92"/>
      <c r="G56" s="91"/>
      <c r="H56" s="92"/>
      <c r="I56" s="91"/>
      <c r="J56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18:H18"/>
    <mergeCell ref="I17:J17"/>
    <mergeCell ref="I18:J18"/>
    <mergeCell ref="E18:F18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G19:H19"/>
    <mergeCell ref="G20:H20"/>
    <mergeCell ref="G29:I29"/>
    <mergeCell ref="G25:I25"/>
    <mergeCell ref="I19:J19"/>
    <mergeCell ref="G28:I28"/>
    <mergeCell ref="E2:J2"/>
    <mergeCell ref="C50:E50"/>
    <mergeCell ref="C52:E52"/>
    <mergeCell ref="C39:E39"/>
    <mergeCell ref="C40:E40"/>
    <mergeCell ref="C41:E41"/>
    <mergeCell ref="B42:E42"/>
    <mergeCell ref="C49:E49"/>
    <mergeCell ref="C51:D51"/>
    <mergeCell ref="D35:E35"/>
    <mergeCell ref="G24:I24"/>
    <mergeCell ref="G23:I23"/>
    <mergeCell ref="E19:F19"/>
    <mergeCell ref="E20:F20"/>
    <mergeCell ref="I20:J20"/>
    <mergeCell ref="I21:J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57" t="s">
        <v>6</v>
      </c>
      <c r="B1" s="257"/>
      <c r="C1" s="258"/>
      <c r="D1" s="257"/>
      <c r="E1" s="257"/>
      <c r="F1" s="257"/>
      <c r="G1" s="257"/>
    </row>
    <row r="2" spans="1:7" ht="24.95" customHeight="1">
      <c r="A2" s="74" t="s">
        <v>7</v>
      </c>
      <c r="B2" s="73"/>
      <c r="C2" s="259"/>
      <c r="D2" s="259"/>
      <c r="E2" s="259"/>
      <c r="F2" s="259"/>
      <c r="G2" s="260"/>
    </row>
    <row r="3" spans="1:7" ht="24.95" customHeight="1">
      <c r="A3" s="74" t="s">
        <v>8</v>
      </c>
      <c r="B3" s="73"/>
      <c r="C3" s="259"/>
      <c r="D3" s="259"/>
      <c r="E3" s="259"/>
      <c r="F3" s="259"/>
      <c r="G3" s="260"/>
    </row>
    <row r="4" spans="1:7" ht="24.95" customHeight="1">
      <c r="A4" s="74" t="s">
        <v>9</v>
      </c>
      <c r="B4" s="73"/>
      <c r="C4" s="259"/>
      <c r="D4" s="259"/>
      <c r="E4" s="259"/>
      <c r="F4" s="259"/>
      <c r="G4" s="260"/>
    </row>
    <row r="5" spans="1:7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6"/>
  <sheetViews>
    <sheetView tabSelected="1" zoomScale="145" zoomScaleNormal="145" workbookViewId="0">
      <pane ySplit="7" topLeftCell="A47" activePane="bottomLeft" state="frozen"/>
      <selection pane="bottomLeft" activeCell="F66" sqref="F66"/>
    </sheetView>
  </sheetViews>
  <sheetFormatPr defaultRowHeight="12.75" outlineLevelRow="1"/>
  <cols>
    <col min="1" max="1" width="3.42578125" customWidth="1"/>
    <col min="2" max="2" width="12.5703125" style="90" customWidth="1"/>
    <col min="3" max="3" width="63.28515625" style="90" customWidth="1"/>
    <col min="4" max="4" width="4.85546875" style="204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71" t="s">
        <v>65</v>
      </c>
      <c r="B1" s="271"/>
      <c r="C1" s="271"/>
      <c r="D1" s="271"/>
      <c r="E1" s="271"/>
      <c r="F1" s="271"/>
      <c r="G1" s="271"/>
      <c r="AG1" t="s">
        <v>66</v>
      </c>
    </row>
    <row r="2" spans="1:60" ht="24.95" customHeight="1">
      <c r="A2" s="146" t="s">
        <v>7</v>
      </c>
      <c r="B2" s="73" t="s">
        <v>49</v>
      </c>
      <c r="C2" s="272" t="s">
        <v>203</v>
      </c>
      <c r="D2" s="273"/>
      <c r="E2" s="273"/>
      <c r="F2" s="273"/>
      <c r="G2" s="274"/>
      <c r="AG2" t="s">
        <v>67</v>
      </c>
    </row>
    <row r="3" spans="1:60" ht="24.95" customHeight="1">
      <c r="A3" s="146" t="s">
        <v>8</v>
      </c>
      <c r="B3" s="73" t="s">
        <v>45</v>
      </c>
      <c r="C3" s="275" t="s">
        <v>46</v>
      </c>
      <c r="D3" s="276"/>
      <c r="E3" s="276"/>
      <c r="F3" s="276"/>
      <c r="G3" s="274"/>
      <c r="AC3" s="90" t="s">
        <v>67</v>
      </c>
      <c r="AG3" t="s">
        <v>68</v>
      </c>
    </row>
    <row r="4" spans="1:60" ht="24.95" customHeight="1">
      <c r="A4" s="147" t="s">
        <v>9</v>
      </c>
      <c r="B4" s="148" t="s">
        <v>43</v>
      </c>
      <c r="C4" s="277" t="s">
        <v>44</v>
      </c>
      <c r="D4" s="278"/>
      <c r="E4" s="278"/>
      <c r="F4" s="278"/>
      <c r="G4" s="279"/>
      <c r="AG4" t="s">
        <v>69</v>
      </c>
    </row>
    <row r="6" spans="1:60" ht="38.25">
      <c r="A6" s="150" t="s">
        <v>70</v>
      </c>
      <c r="B6" s="151" t="s">
        <v>71</v>
      </c>
      <c r="C6" s="151" t="s">
        <v>72</v>
      </c>
      <c r="D6" s="205" t="s">
        <v>73</v>
      </c>
      <c r="E6" s="150" t="s">
        <v>74</v>
      </c>
      <c r="F6" s="149" t="s">
        <v>75</v>
      </c>
      <c r="G6" s="150" t="s">
        <v>29</v>
      </c>
      <c r="H6" s="152" t="s">
        <v>30</v>
      </c>
      <c r="I6" s="152" t="s">
        <v>76</v>
      </c>
      <c r="J6" s="152" t="s">
        <v>31</v>
      </c>
      <c r="K6" s="152" t="s">
        <v>77</v>
      </c>
      <c r="L6" s="152" t="s">
        <v>78</v>
      </c>
      <c r="M6" s="152" t="s">
        <v>79</v>
      </c>
      <c r="N6" s="152" t="s">
        <v>80</v>
      </c>
      <c r="O6" s="152" t="s">
        <v>81</v>
      </c>
      <c r="P6" s="152" t="s">
        <v>82</v>
      </c>
      <c r="Q6" s="152" t="s">
        <v>83</v>
      </c>
      <c r="R6" s="152" t="s">
        <v>84</v>
      </c>
      <c r="S6" s="152" t="s">
        <v>85</v>
      </c>
      <c r="T6" s="152" t="s">
        <v>86</v>
      </c>
      <c r="U6" s="152" t="s">
        <v>87</v>
      </c>
      <c r="V6" s="152" t="s">
        <v>88</v>
      </c>
      <c r="W6" s="152" t="s">
        <v>89</v>
      </c>
    </row>
    <row r="7" spans="1:60" hidden="1">
      <c r="A7" s="5"/>
      <c r="B7" s="6"/>
      <c r="C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>
      <c r="A8" s="163" t="s">
        <v>90</v>
      </c>
      <c r="B8" s="164" t="s">
        <v>60</v>
      </c>
      <c r="C8" s="182" t="s">
        <v>44</v>
      </c>
      <c r="D8" s="206"/>
      <c r="E8" s="165"/>
      <c r="F8" s="166"/>
      <c r="G8" s="166">
        <f>SUMIF(AG9:AG27,"&lt;&gt;NOR",G9:G27)</f>
        <v>0</v>
      </c>
      <c r="H8" s="166"/>
      <c r="I8" s="166">
        <f>SUM(I9:I27)</f>
        <v>3678900</v>
      </c>
      <c r="J8" s="166"/>
      <c r="K8" s="166">
        <f>SUM(K9:K27)</f>
        <v>285570</v>
      </c>
      <c r="L8" s="166"/>
      <c r="M8" s="166">
        <f>SUM(M9:M27)</f>
        <v>0</v>
      </c>
      <c r="N8" s="166"/>
      <c r="O8" s="166">
        <f>SUM(O9:O27)</f>
        <v>0</v>
      </c>
      <c r="P8" s="166"/>
      <c r="Q8" s="166">
        <f>SUM(Q9:Q27)</f>
        <v>0</v>
      </c>
      <c r="R8" s="166"/>
      <c r="S8" s="166"/>
      <c r="T8" s="167"/>
      <c r="U8" s="162"/>
      <c r="V8" s="162">
        <f>SUM(V9:V27)</f>
        <v>415.79999999999995</v>
      </c>
      <c r="W8" s="162"/>
      <c r="AG8" t="s">
        <v>91</v>
      </c>
    </row>
    <row r="9" spans="1:60" outlineLevel="1">
      <c r="A9" s="168">
        <v>1</v>
      </c>
      <c r="B9" s="169" t="s">
        <v>92</v>
      </c>
      <c r="C9" s="183" t="s">
        <v>93</v>
      </c>
      <c r="D9" s="207" t="s">
        <v>94</v>
      </c>
      <c r="E9" s="170">
        <v>27</v>
      </c>
      <c r="F9" s="171"/>
      <c r="G9" s="172">
        <f>ROUND(E9*F9,2)</f>
        <v>0</v>
      </c>
      <c r="H9" s="171">
        <v>105000</v>
      </c>
      <c r="I9" s="172">
        <f>ROUND(E9*H9,2)</f>
        <v>2835000</v>
      </c>
      <c r="J9" s="171">
        <v>6500</v>
      </c>
      <c r="K9" s="172">
        <f>ROUND(E9*J9,2)</f>
        <v>175500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95</v>
      </c>
      <c r="T9" s="173" t="s">
        <v>96</v>
      </c>
      <c r="U9" s="161">
        <v>2.2000000000000002</v>
      </c>
      <c r="V9" s="161">
        <f>ROUND(E9*U9,2)</f>
        <v>59.4</v>
      </c>
      <c r="W9" s="161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97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45" outlineLevel="1">
      <c r="A10" s="159"/>
      <c r="B10" s="160"/>
      <c r="C10" s="261" t="s">
        <v>204</v>
      </c>
      <c r="D10" s="262"/>
      <c r="E10" s="262"/>
      <c r="F10" s="262"/>
      <c r="G10" s="262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98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74" t="str">
        <f>C10</f>
        <v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850 m3/h.) účinnost rekuperace až 93 procent, 230V, 50 Hz,. Rozměry jednotky v/š/h  : 2000/800/655mm. Vyhovuje ECODESIGN 2018, VDI 6022: pravé(10/0 ) provedení s volitelným dekorem zákrytu jednotky; hmotnost jednotky 215 kg.</v>
      </c>
      <c r="BB10" s="153"/>
      <c r="BC10" s="153"/>
      <c r="BD10" s="153"/>
      <c r="BE10" s="153"/>
      <c r="BF10" s="153"/>
      <c r="BG10" s="153"/>
      <c r="BH10" s="153"/>
    </row>
    <row r="11" spans="1:60" outlineLevel="1">
      <c r="A11" s="175">
        <v>2</v>
      </c>
      <c r="B11" s="176" t="s">
        <v>99</v>
      </c>
      <c r="C11" s="184" t="s">
        <v>178</v>
      </c>
      <c r="D11" s="208" t="s">
        <v>94</v>
      </c>
      <c r="E11" s="177">
        <f>E9</f>
        <v>27</v>
      </c>
      <c r="F11" s="178"/>
      <c r="G11" s="179">
        <f t="shared" ref="G11:G21" si="0">ROUND(E11*F11,2)</f>
        <v>0</v>
      </c>
      <c r="H11" s="178">
        <v>4000</v>
      </c>
      <c r="I11" s="179">
        <f t="shared" ref="I11:I21" si="1">ROUND(E11*H11,2)</f>
        <v>108000</v>
      </c>
      <c r="J11" s="178">
        <v>700</v>
      </c>
      <c r="K11" s="179">
        <f t="shared" ref="K11:K21" si="2">ROUND(E11*J11,2)</f>
        <v>18900</v>
      </c>
      <c r="L11" s="179">
        <v>21</v>
      </c>
      <c r="M11" s="179">
        <f t="shared" ref="M11:M21" si="3">G11*(1+L11/100)</f>
        <v>0</v>
      </c>
      <c r="N11" s="179">
        <v>0</v>
      </c>
      <c r="O11" s="179">
        <f t="shared" ref="O11:O21" si="4">ROUND(E11*N11,2)</f>
        <v>0</v>
      </c>
      <c r="P11" s="179">
        <v>0</v>
      </c>
      <c r="Q11" s="179">
        <f t="shared" ref="Q11:Q21" si="5">ROUND(E11*P11,2)</f>
        <v>0</v>
      </c>
      <c r="R11" s="179"/>
      <c r="S11" s="179" t="s">
        <v>95</v>
      </c>
      <c r="T11" s="180" t="s">
        <v>96</v>
      </c>
      <c r="U11" s="161">
        <v>2.2000000000000002</v>
      </c>
      <c r="V11" s="161">
        <f t="shared" ref="V11:V21" si="6">ROUND(E11*U11,2)</f>
        <v>59.4</v>
      </c>
      <c r="W11" s="161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97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>
      <c r="A12" s="175">
        <v>3</v>
      </c>
      <c r="B12" s="176" t="s">
        <v>100</v>
      </c>
      <c r="C12" s="184" t="s">
        <v>101</v>
      </c>
      <c r="D12" s="208" t="s">
        <v>94</v>
      </c>
      <c r="E12" s="177">
        <v>3</v>
      </c>
      <c r="F12" s="178"/>
      <c r="G12" s="179">
        <f t="shared" si="0"/>
        <v>0</v>
      </c>
      <c r="H12" s="178">
        <v>3500</v>
      </c>
      <c r="I12" s="179">
        <f t="shared" si="1"/>
        <v>10500</v>
      </c>
      <c r="J12" s="178">
        <v>700</v>
      </c>
      <c r="K12" s="179">
        <f t="shared" si="2"/>
        <v>2100</v>
      </c>
      <c r="L12" s="179">
        <v>21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 t="s">
        <v>95</v>
      </c>
      <c r="T12" s="180" t="s">
        <v>96</v>
      </c>
      <c r="U12" s="161">
        <v>2.2000000000000002</v>
      </c>
      <c r="V12" s="161">
        <f t="shared" si="6"/>
        <v>6.6</v>
      </c>
      <c r="W12" s="161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97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>
      <c r="A13" s="175">
        <v>4</v>
      </c>
      <c r="B13" s="176" t="s">
        <v>102</v>
      </c>
      <c r="C13" s="184" t="s">
        <v>103</v>
      </c>
      <c r="D13" s="208" t="s">
        <v>94</v>
      </c>
      <c r="E13" s="177">
        <v>24</v>
      </c>
      <c r="F13" s="178"/>
      <c r="G13" s="179">
        <f t="shared" si="0"/>
        <v>0</v>
      </c>
      <c r="H13" s="178">
        <v>3500</v>
      </c>
      <c r="I13" s="179">
        <f t="shared" si="1"/>
        <v>84000</v>
      </c>
      <c r="J13" s="178">
        <v>700</v>
      </c>
      <c r="K13" s="179">
        <f t="shared" si="2"/>
        <v>16800</v>
      </c>
      <c r="L13" s="179">
        <v>21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 t="s">
        <v>95</v>
      </c>
      <c r="T13" s="180" t="s">
        <v>96</v>
      </c>
      <c r="U13" s="161">
        <v>2.2000000000000002</v>
      </c>
      <c r="V13" s="161">
        <f t="shared" si="6"/>
        <v>52.8</v>
      </c>
      <c r="W13" s="161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97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75">
        <v>5</v>
      </c>
      <c r="B14" s="176" t="s">
        <v>104</v>
      </c>
      <c r="C14" s="184" t="s">
        <v>105</v>
      </c>
      <c r="D14" s="208" t="s">
        <v>94</v>
      </c>
      <c r="E14" s="177">
        <v>3</v>
      </c>
      <c r="F14" s="178"/>
      <c r="G14" s="179">
        <f t="shared" si="0"/>
        <v>0</v>
      </c>
      <c r="H14" s="178">
        <v>3500</v>
      </c>
      <c r="I14" s="179">
        <f t="shared" si="1"/>
        <v>10500</v>
      </c>
      <c r="J14" s="178">
        <v>500</v>
      </c>
      <c r="K14" s="179">
        <f t="shared" si="2"/>
        <v>1500</v>
      </c>
      <c r="L14" s="179">
        <v>21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95</v>
      </c>
      <c r="T14" s="180" t="s">
        <v>96</v>
      </c>
      <c r="U14" s="161">
        <v>2.2000000000000002</v>
      </c>
      <c r="V14" s="161">
        <f t="shared" si="6"/>
        <v>6.6</v>
      </c>
      <c r="W14" s="161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97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>
      <c r="A15" s="175">
        <v>6</v>
      </c>
      <c r="B15" s="176" t="s">
        <v>106</v>
      </c>
      <c r="C15" s="184" t="s">
        <v>107</v>
      </c>
      <c r="D15" s="208" t="s">
        <v>94</v>
      </c>
      <c r="E15" s="177">
        <v>24</v>
      </c>
      <c r="F15" s="178"/>
      <c r="G15" s="179">
        <f t="shared" si="0"/>
        <v>0</v>
      </c>
      <c r="H15" s="178">
        <v>7800</v>
      </c>
      <c r="I15" s="179">
        <f t="shared" si="1"/>
        <v>187200</v>
      </c>
      <c r="J15" s="178">
        <v>680</v>
      </c>
      <c r="K15" s="179">
        <f t="shared" si="2"/>
        <v>16320</v>
      </c>
      <c r="L15" s="179">
        <v>21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95</v>
      </c>
      <c r="T15" s="180" t="s">
        <v>96</v>
      </c>
      <c r="U15" s="161">
        <v>2.2000000000000002</v>
      </c>
      <c r="V15" s="161">
        <f t="shared" si="6"/>
        <v>52.8</v>
      </c>
      <c r="W15" s="161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97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>
      <c r="A16" s="175">
        <v>7</v>
      </c>
      <c r="B16" s="176" t="s">
        <v>108</v>
      </c>
      <c r="C16" s="184" t="s">
        <v>109</v>
      </c>
      <c r="D16" s="208" t="s">
        <v>94</v>
      </c>
      <c r="E16" s="177">
        <f>E9</f>
        <v>27</v>
      </c>
      <c r="F16" s="178"/>
      <c r="G16" s="179">
        <f t="shared" si="0"/>
        <v>0</v>
      </c>
      <c r="H16" s="178">
        <v>7100</v>
      </c>
      <c r="I16" s="179">
        <f t="shared" si="1"/>
        <v>191700</v>
      </c>
      <c r="J16" s="178">
        <v>600</v>
      </c>
      <c r="K16" s="179">
        <f t="shared" si="2"/>
        <v>16200</v>
      </c>
      <c r="L16" s="179">
        <v>21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95</v>
      </c>
      <c r="T16" s="180" t="s">
        <v>96</v>
      </c>
      <c r="U16" s="161">
        <v>2.2000000000000002</v>
      </c>
      <c r="V16" s="161">
        <f t="shared" si="6"/>
        <v>59.4</v>
      </c>
      <c r="W16" s="161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97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>
      <c r="A17" s="175">
        <v>8</v>
      </c>
      <c r="B17" s="176" t="s">
        <v>110</v>
      </c>
      <c r="C17" s="184" t="s">
        <v>111</v>
      </c>
      <c r="D17" s="208" t="s">
        <v>94</v>
      </c>
      <c r="E17" s="177">
        <v>3</v>
      </c>
      <c r="F17" s="178"/>
      <c r="G17" s="179">
        <f t="shared" si="0"/>
        <v>0</v>
      </c>
      <c r="H17" s="178">
        <v>1500</v>
      </c>
      <c r="I17" s="179">
        <f t="shared" si="1"/>
        <v>4500</v>
      </c>
      <c r="J17" s="178">
        <v>400</v>
      </c>
      <c r="K17" s="179">
        <f t="shared" si="2"/>
        <v>1200</v>
      </c>
      <c r="L17" s="179">
        <v>21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95</v>
      </c>
      <c r="T17" s="180" t="s">
        <v>96</v>
      </c>
      <c r="U17" s="161">
        <v>2.2000000000000002</v>
      </c>
      <c r="V17" s="161">
        <f t="shared" si="6"/>
        <v>6.6</v>
      </c>
      <c r="W17" s="161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97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>
      <c r="A18" s="175">
        <v>9</v>
      </c>
      <c r="B18" s="176" t="s">
        <v>112</v>
      </c>
      <c r="C18" s="184" t="s">
        <v>113</v>
      </c>
      <c r="D18" s="208" t="s">
        <v>94</v>
      </c>
      <c r="E18" s="177">
        <v>24</v>
      </c>
      <c r="F18" s="178"/>
      <c r="G18" s="179">
        <f t="shared" si="0"/>
        <v>0</v>
      </c>
      <c r="H18" s="178">
        <v>3000</v>
      </c>
      <c r="I18" s="179">
        <f t="shared" si="1"/>
        <v>72000</v>
      </c>
      <c r="J18" s="178">
        <v>700</v>
      </c>
      <c r="K18" s="179">
        <f t="shared" si="2"/>
        <v>16800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95</v>
      </c>
      <c r="T18" s="180" t="s">
        <v>96</v>
      </c>
      <c r="U18" s="161">
        <v>2.2000000000000002</v>
      </c>
      <c r="V18" s="161">
        <f t="shared" si="6"/>
        <v>52.8</v>
      </c>
      <c r="W18" s="161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97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>
      <c r="A19" s="175">
        <v>10</v>
      </c>
      <c r="B19" s="176" t="s">
        <v>186</v>
      </c>
      <c r="C19" s="184" t="s">
        <v>197</v>
      </c>
      <c r="D19" s="208" t="s">
        <v>158</v>
      </c>
      <c r="E19" s="177">
        <f>E11*3</f>
        <v>81</v>
      </c>
      <c r="F19" s="178"/>
      <c r="G19" s="179">
        <f t="shared" si="0"/>
        <v>0</v>
      </c>
      <c r="H19" s="178"/>
      <c r="I19" s="179"/>
      <c r="J19" s="178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61"/>
      <c r="V19" s="161"/>
      <c r="W19" s="161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>
      <c r="A20" s="175"/>
      <c r="B20" s="176"/>
      <c r="C20" s="261" t="s">
        <v>196</v>
      </c>
      <c r="D20" s="262"/>
      <c r="E20" s="262"/>
      <c r="F20" s="262"/>
      <c r="G20" s="262"/>
      <c r="H20" s="178"/>
      <c r="I20" s="179"/>
      <c r="J20" s="178"/>
      <c r="K20" s="179"/>
      <c r="L20" s="179"/>
      <c r="M20" s="179"/>
      <c r="N20" s="179"/>
      <c r="O20" s="179"/>
      <c r="P20" s="179"/>
      <c r="Q20" s="179"/>
      <c r="R20" s="179"/>
      <c r="S20" s="179"/>
      <c r="T20" s="180"/>
      <c r="U20" s="161"/>
      <c r="V20" s="161"/>
      <c r="W20" s="161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33.75" outlineLevel="1">
      <c r="A21" s="168">
        <v>11</v>
      </c>
      <c r="B21" s="169" t="s">
        <v>114</v>
      </c>
      <c r="C21" s="183" t="s">
        <v>180</v>
      </c>
      <c r="D21" s="207" t="s">
        <v>94</v>
      </c>
      <c r="E21" s="170">
        <f>E9</f>
        <v>27</v>
      </c>
      <c r="F21" s="171"/>
      <c r="G21" s="172">
        <f t="shared" si="0"/>
        <v>0</v>
      </c>
      <c r="H21" s="171">
        <v>6500</v>
      </c>
      <c r="I21" s="172">
        <f t="shared" si="1"/>
        <v>175500</v>
      </c>
      <c r="J21" s="171">
        <v>750</v>
      </c>
      <c r="K21" s="172">
        <f t="shared" si="2"/>
        <v>20250</v>
      </c>
      <c r="L21" s="172">
        <v>21</v>
      </c>
      <c r="M21" s="172">
        <f t="shared" si="3"/>
        <v>0</v>
      </c>
      <c r="N21" s="172">
        <v>0</v>
      </c>
      <c r="O21" s="172">
        <f t="shared" si="4"/>
        <v>0</v>
      </c>
      <c r="P21" s="172">
        <v>0</v>
      </c>
      <c r="Q21" s="172">
        <f t="shared" si="5"/>
        <v>0</v>
      </c>
      <c r="R21" s="172"/>
      <c r="S21" s="172" t="s">
        <v>95</v>
      </c>
      <c r="T21" s="173" t="s">
        <v>96</v>
      </c>
      <c r="U21" s="161">
        <v>2.2000000000000002</v>
      </c>
      <c r="V21" s="161">
        <f t="shared" si="6"/>
        <v>59.4</v>
      </c>
      <c r="W21" s="161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97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12.75" customHeight="1" outlineLevel="1">
      <c r="A22" s="265"/>
      <c r="B22" s="267"/>
      <c r="C22" s="261" t="s">
        <v>179</v>
      </c>
      <c r="D22" s="261"/>
      <c r="E22" s="261"/>
      <c r="F22" s="261"/>
      <c r="G22" s="2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98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11.25" customHeight="1" outlineLevel="1">
      <c r="A23" s="266"/>
      <c r="B23" s="268"/>
      <c r="C23" s="263"/>
      <c r="D23" s="263"/>
      <c r="E23" s="263"/>
      <c r="F23" s="263"/>
      <c r="G23" s="263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98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0.75" hidden="1" customHeight="1" outlineLevel="1">
      <c r="A24" s="159"/>
      <c r="B24" s="160"/>
      <c r="C24" s="263"/>
      <c r="D24" s="263"/>
      <c r="E24" s="263"/>
      <c r="F24" s="263"/>
      <c r="G24" s="263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98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12.75" hidden="1" customHeight="1" outlineLevel="1">
      <c r="A25" s="159"/>
      <c r="B25" s="160"/>
      <c r="C25" s="263"/>
      <c r="D25" s="263"/>
      <c r="E25" s="263"/>
      <c r="F25" s="263"/>
      <c r="G25" s="263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98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12.75" hidden="1" customHeight="1" outlineLevel="1">
      <c r="A26" s="159"/>
      <c r="B26" s="160"/>
      <c r="C26" s="263"/>
      <c r="D26" s="263"/>
      <c r="E26" s="263"/>
      <c r="F26" s="263"/>
      <c r="G26" s="263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98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12.75" hidden="1" customHeight="1" outlineLevel="1">
      <c r="A27" s="159"/>
      <c r="B27" s="160"/>
      <c r="C27" s="264"/>
      <c r="D27" s="264"/>
      <c r="E27" s="264"/>
      <c r="F27" s="264"/>
      <c r="G27" s="264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98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>
      <c r="A28" s="163" t="s">
        <v>90</v>
      </c>
      <c r="B28" s="164" t="s">
        <v>61</v>
      </c>
      <c r="C28" s="182" t="s">
        <v>62</v>
      </c>
      <c r="D28" s="206"/>
      <c r="E28" s="165"/>
      <c r="F28" s="166"/>
      <c r="G28" s="166">
        <f>SUMIF(AG29:AG37,"&lt;&gt;NOR",G29:G37)</f>
        <v>0</v>
      </c>
      <c r="H28" s="166"/>
      <c r="I28" s="166">
        <f>SUM(I29:I37)</f>
        <v>0</v>
      </c>
      <c r="J28" s="166"/>
      <c r="K28" s="166">
        <f>SUM(K29:K37)</f>
        <v>1204812</v>
      </c>
      <c r="L28" s="166"/>
      <c r="M28" s="166">
        <f>SUM(M29:M37)</f>
        <v>0</v>
      </c>
      <c r="N28" s="166"/>
      <c r="O28" s="166">
        <f>SUM(O29:O37)</f>
        <v>0</v>
      </c>
      <c r="P28" s="166"/>
      <c r="Q28" s="166">
        <f>SUM(Q29:Q37)</f>
        <v>0</v>
      </c>
      <c r="R28" s="166"/>
      <c r="S28" s="166"/>
      <c r="T28" s="167"/>
      <c r="U28" s="162"/>
      <c r="V28" s="162">
        <f>SUM(V29:V37)</f>
        <v>0</v>
      </c>
      <c r="W28" s="162"/>
      <c r="AG28" t="s">
        <v>91</v>
      </c>
    </row>
    <row r="29" spans="1:60" outlineLevel="1">
      <c r="A29" s="168">
        <v>12</v>
      </c>
      <c r="B29" s="169" t="s">
        <v>115</v>
      </c>
      <c r="C29" s="183" t="s">
        <v>116</v>
      </c>
      <c r="D29" s="207" t="s">
        <v>117</v>
      </c>
      <c r="E29" s="170">
        <v>24</v>
      </c>
      <c r="F29" s="171"/>
      <c r="G29" s="172">
        <f>ROUND(E29*F29,2)</f>
        <v>0</v>
      </c>
      <c r="H29" s="171">
        <v>0</v>
      </c>
      <c r="I29" s="172">
        <f>ROUND(E29*H29,2)</f>
        <v>0</v>
      </c>
      <c r="J29" s="171">
        <v>4800</v>
      </c>
      <c r="K29" s="172">
        <f>ROUND(E29*J29,2)</f>
        <v>115200</v>
      </c>
      <c r="L29" s="172">
        <v>21</v>
      </c>
      <c r="M29" s="172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2"/>
      <c r="S29" s="172" t="s">
        <v>95</v>
      </c>
      <c r="T29" s="173" t="s">
        <v>96</v>
      </c>
      <c r="U29" s="161">
        <v>0</v>
      </c>
      <c r="V29" s="161">
        <f>ROUND(E29*U29,2)</f>
        <v>0</v>
      </c>
      <c r="W29" s="161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97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>
      <c r="A30" s="159"/>
      <c r="B30" s="160"/>
      <c r="C30" s="261" t="s">
        <v>185</v>
      </c>
      <c r="D30" s="262"/>
      <c r="E30" s="262"/>
      <c r="F30" s="262"/>
      <c r="G30" s="262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98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74" t="str">
        <f>C30</f>
        <v>Posunutí cca o 0,5-1m vč potrubních napojení, vypuštění a napuštění topného systému, nové konzoly pro tělesa, stavební úpravy - odstranění starých úchytů, oprava omítek , vymalování.</v>
      </c>
      <c r="BB30" s="153"/>
      <c r="BC30" s="153"/>
      <c r="BD30" s="153"/>
      <c r="BE30" s="153"/>
      <c r="BF30" s="153"/>
      <c r="BG30" s="153"/>
      <c r="BH30" s="153"/>
    </row>
    <row r="31" spans="1:60" ht="22.5" outlineLevel="1">
      <c r="A31" s="168">
        <v>13</v>
      </c>
      <c r="B31" s="169" t="s">
        <v>118</v>
      </c>
      <c r="C31" s="183" t="s">
        <v>187</v>
      </c>
      <c r="D31" s="207" t="s">
        <v>117</v>
      </c>
      <c r="E31" s="170">
        <f>E9*2</f>
        <v>54</v>
      </c>
      <c r="F31" s="171"/>
      <c r="G31" s="172">
        <f>ROUND(E31*F31,2)</f>
        <v>0</v>
      </c>
      <c r="H31" s="171">
        <v>0</v>
      </c>
      <c r="I31" s="172">
        <f>ROUND(E31*H31,2)</f>
        <v>0</v>
      </c>
      <c r="J31" s="171">
        <v>10500</v>
      </c>
      <c r="K31" s="172">
        <f>ROUND(E31*J31,2)</f>
        <v>567000</v>
      </c>
      <c r="L31" s="172">
        <v>21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2"/>
      <c r="S31" s="172" t="s">
        <v>95</v>
      </c>
      <c r="T31" s="173" t="s">
        <v>96</v>
      </c>
      <c r="U31" s="161">
        <v>0</v>
      </c>
      <c r="V31" s="161">
        <f>ROUND(E31*U31,2)</f>
        <v>0</v>
      </c>
      <c r="W31" s="161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97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>
      <c r="A32" s="159"/>
      <c r="B32" s="160"/>
      <c r="C32" s="261" t="s">
        <v>181</v>
      </c>
      <c r="D32" s="262"/>
      <c r="E32" s="262"/>
      <c r="F32" s="262"/>
      <c r="G32" s="262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98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>
      <c r="A33" s="168">
        <v>14</v>
      </c>
      <c r="B33" s="169" t="s">
        <v>119</v>
      </c>
      <c r="C33" s="183" t="s">
        <v>184</v>
      </c>
      <c r="D33" s="207" t="s">
        <v>117</v>
      </c>
      <c r="E33" s="170">
        <f>E31</f>
        <v>54</v>
      </c>
      <c r="F33" s="171"/>
      <c r="G33" s="172">
        <f>ROUND(E33*F33,2)</f>
        <v>0</v>
      </c>
      <c r="H33" s="171">
        <v>0</v>
      </c>
      <c r="I33" s="172">
        <f>ROUND(E33*H33,2)</f>
        <v>0</v>
      </c>
      <c r="J33" s="171">
        <v>2300</v>
      </c>
      <c r="K33" s="172">
        <f>ROUND(E33*J33,2)</f>
        <v>124200</v>
      </c>
      <c r="L33" s="172">
        <v>21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2"/>
      <c r="S33" s="172" t="s">
        <v>95</v>
      </c>
      <c r="T33" s="173" t="s">
        <v>96</v>
      </c>
      <c r="U33" s="161">
        <v>0</v>
      </c>
      <c r="V33" s="161">
        <f>ROUND(E33*U33,2)</f>
        <v>0</v>
      </c>
      <c r="W33" s="161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97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12.75" customHeight="1" outlineLevel="1">
      <c r="A34" s="168">
        <v>15</v>
      </c>
      <c r="B34" s="176" t="s">
        <v>126</v>
      </c>
      <c r="C34" s="183" t="s">
        <v>182</v>
      </c>
      <c r="D34" s="207" t="s">
        <v>117</v>
      </c>
      <c r="E34" s="170">
        <f>E9</f>
        <v>27</v>
      </c>
      <c r="F34" s="171"/>
      <c r="G34" s="172">
        <f>ROUND(E34*F34,2)</f>
        <v>0</v>
      </c>
      <c r="H34" s="171">
        <v>0</v>
      </c>
      <c r="I34" s="172">
        <f>ROUND(E34*H34,2)</f>
        <v>0</v>
      </c>
      <c r="J34" s="171">
        <v>2300</v>
      </c>
      <c r="K34" s="172">
        <f>ROUND(E34*J34,2)</f>
        <v>62100</v>
      </c>
      <c r="L34" s="172">
        <v>21</v>
      </c>
      <c r="M34" s="172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2"/>
      <c r="S34" s="172" t="s">
        <v>95</v>
      </c>
      <c r="T34" s="173" t="s">
        <v>96</v>
      </c>
      <c r="U34" s="161"/>
      <c r="V34" s="161"/>
      <c r="W34" s="161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98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12.75" customHeight="1" outlineLevel="1">
      <c r="A35" s="201">
        <v>16</v>
      </c>
      <c r="B35" s="202" t="s">
        <v>120</v>
      </c>
      <c r="C35" s="203" t="s">
        <v>183</v>
      </c>
      <c r="D35" s="209" t="s">
        <v>117</v>
      </c>
      <c r="E35" s="199">
        <f>E9</f>
        <v>27</v>
      </c>
      <c r="F35" s="171"/>
      <c r="G35" s="200">
        <f>ROUND(E35*F35,2)</f>
        <v>0</v>
      </c>
      <c r="H35" s="171">
        <v>0</v>
      </c>
      <c r="I35" s="172">
        <f>ROUND(E35*H35,2)</f>
        <v>0</v>
      </c>
      <c r="J35" s="171">
        <v>6800</v>
      </c>
      <c r="K35" s="172">
        <f>ROUND(E35*J35,2)</f>
        <v>183600</v>
      </c>
      <c r="L35" s="172">
        <v>21</v>
      </c>
      <c r="M35" s="172">
        <f>G35*(1+L35/100)</f>
        <v>0</v>
      </c>
      <c r="N35" s="172">
        <v>0</v>
      </c>
      <c r="O35" s="172">
        <f>ROUND(E35*N35,2)</f>
        <v>0</v>
      </c>
      <c r="P35" s="172">
        <v>0</v>
      </c>
      <c r="Q35" s="172">
        <f>ROUND(E35*P35,2)</f>
        <v>0</v>
      </c>
      <c r="R35" s="172"/>
      <c r="S35" s="172" t="s">
        <v>95</v>
      </c>
      <c r="T35" s="173" t="s">
        <v>96</v>
      </c>
      <c r="U35" s="161"/>
      <c r="V35" s="161"/>
      <c r="W35" s="161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>
      <c r="A36" s="175">
        <v>17</v>
      </c>
      <c r="B36" s="176" t="s">
        <v>121</v>
      </c>
      <c r="C36" s="184" t="s">
        <v>122</v>
      </c>
      <c r="D36" s="208" t="s">
        <v>117</v>
      </c>
      <c r="E36" s="177">
        <f>E9</f>
        <v>27</v>
      </c>
      <c r="F36" s="178"/>
      <c r="G36" s="179">
        <f>ROUND(E36*F36,2)</f>
        <v>0</v>
      </c>
      <c r="H36" s="178">
        <v>0</v>
      </c>
      <c r="I36" s="179">
        <f>ROUND(E36*H36,2)</f>
        <v>0</v>
      </c>
      <c r="J36" s="178">
        <v>4000</v>
      </c>
      <c r="K36" s="179">
        <f>ROUND(E36*J36,2)</f>
        <v>108000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 t="s">
        <v>95</v>
      </c>
      <c r="T36" s="180" t="s">
        <v>96</v>
      </c>
      <c r="U36" s="161">
        <v>0</v>
      </c>
      <c r="V36" s="161">
        <f>ROUND(E36*U36,2)</f>
        <v>0</v>
      </c>
      <c r="W36" s="161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97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>
      <c r="A37" s="175">
        <v>18</v>
      </c>
      <c r="B37" s="176" t="s">
        <v>123</v>
      </c>
      <c r="C37" s="184" t="s">
        <v>124</v>
      </c>
      <c r="D37" s="208" t="s">
        <v>125</v>
      </c>
      <c r="E37" s="177">
        <f>(108/15)*E9</f>
        <v>194.4</v>
      </c>
      <c r="F37" s="178"/>
      <c r="G37" s="179">
        <f>ROUND(E37*F37,2)</f>
        <v>0</v>
      </c>
      <c r="H37" s="178">
        <v>0</v>
      </c>
      <c r="I37" s="179">
        <f>ROUND(E37*H37,2)</f>
        <v>0</v>
      </c>
      <c r="J37" s="178">
        <v>230</v>
      </c>
      <c r="K37" s="179">
        <f>ROUND(E37*J37,2)</f>
        <v>44712</v>
      </c>
      <c r="L37" s="179">
        <v>21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 t="s">
        <v>95</v>
      </c>
      <c r="T37" s="180" t="s">
        <v>96</v>
      </c>
      <c r="U37" s="161">
        <v>0</v>
      </c>
      <c r="V37" s="161">
        <f>ROUND(E37*U37,2)</f>
        <v>0</v>
      </c>
      <c r="W37" s="161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97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>
      <c r="A38" s="163" t="s">
        <v>90</v>
      </c>
      <c r="B38" s="164" t="s">
        <v>155</v>
      </c>
      <c r="C38" s="182" t="s">
        <v>156</v>
      </c>
      <c r="D38" s="206"/>
      <c r="E38" s="165"/>
      <c r="F38" s="166"/>
      <c r="G38" s="166">
        <f>SUMIF(AG39:AG53,"&lt;&gt;NOR",G39:G53)</f>
        <v>0</v>
      </c>
      <c r="H38" s="166"/>
      <c r="I38" s="166">
        <f>SUM(I39:I57)</f>
        <v>0</v>
      </c>
      <c r="J38" s="166"/>
      <c r="K38" s="166">
        <f>SUM(K39:K57)</f>
        <v>539610.6</v>
      </c>
      <c r="L38" s="166"/>
      <c r="M38" s="166">
        <f>SUM(M39:M57)</f>
        <v>0</v>
      </c>
      <c r="N38" s="166"/>
      <c r="O38" s="166">
        <f>SUM(O39:O57)</f>
        <v>0</v>
      </c>
      <c r="P38" s="166"/>
      <c r="Q38" s="166">
        <f>SUM(Q39:Q57)</f>
        <v>0</v>
      </c>
      <c r="R38" s="166"/>
      <c r="S38" s="166"/>
      <c r="T38" s="167"/>
      <c r="U38" s="161"/>
      <c r="V38" s="161"/>
      <c r="W38" s="161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>
      <c r="A39" s="189">
        <v>19</v>
      </c>
      <c r="B39" s="190" t="s">
        <v>173</v>
      </c>
      <c r="C39" s="191" t="s">
        <v>174</v>
      </c>
      <c r="D39" s="208" t="s">
        <v>158</v>
      </c>
      <c r="E39" s="192">
        <f>E9*60</f>
        <v>1620</v>
      </c>
      <c r="F39" s="193"/>
      <c r="G39" s="179">
        <f>ROUND(E39*F39,2)</f>
        <v>0</v>
      </c>
      <c r="H39" s="193"/>
      <c r="I39" s="194"/>
      <c r="J39" s="193"/>
      <c r="K39" s="194"/>
      <c r="L39" s="194"/>
      <c r="M39" s="194"/>
      <c r="N39" s="194"/>
      <c r="O39" s="194"/>
      <c r="P39" s="194"/>
      <c r="Q39" s="194"/>
      <c r="R39" s="194"/>
      <c r="S39" s="179" t="s">
        <v>95</v>
      </c>
      <c r="T39" s="180" t="s">
        <v>96</v>
      </c>
      <c r="U39" s="161"/>
      <c r="V39" s="161"/>
      <c r="W39" s="161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6.25" customHeight="1" outlineLevel="1">
      <c r="A40" s="189"/>
      <c r="B40" s="190"/>
      <c r="C40" s="269" t="s">
        <v>202</v>
      </c>
      <c r="D40" s="269"/>
      <c r="E40" s="269"/>
      <c r="F40" s="269"/>
      <c r="G40" s="269"/>
      <c r="H40" s="193"/>
      <c r="I40" s="194"/>
      <c r="J40" s="193"/>
      <c r="K40" s="194"/>
      <c r="L40" s="194"/>
      <c r="M40" s="194"/>
      <c r="N40" s="194"/>
      <c r="O40" s="194"/>
      <c r="P40" s="194"/>
      <c r="Q40" s="194"/>
      <c r="R40" s="194"/>
      <c r="S40" s="194"/>
      <c r="T40" s="195"/>
      <c r="U40" s="161"/>
      <c r="V40" s="161"/>
      <c r="W40" s="161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12.75" customHeight="1" outlineLevel="1">
      <c r="A41" s="189">
        <v>20</v>
      </c>
      <c r="B41" s="190" t="s">
        <v>159</v>
      </c>
      <c r="C41" s="191" t="s">
        <v>157</v>
      </c>
      <c r="D41" s="208" t="s">
        <v>158</v>
      </c>
      <c r="E41" s="192">
        <f>E9*2.5</f>
        <v>67.5</v>
      </c>
      <c r="F41" s="193"/>
      <c r="G41" s="179">
        <f>ROUND(E41*F41,2)</f>
        <v>0</v>
      </c>
      <c r="H41" s="193"/>
      <c r="I41" s="194"/>
      <c r="J41" s="193"/>
      <c r="K41" s="194"/>
      <c r="L41" s="194"/>
      <c r="M41" s="194"/>
      <c r="N41" s="194"/>
      <c r="O41" s="194"/>
      <c r="P41" s="194"/>
      <c r="Q41" s="194"/>
      <c r="R41" s="194"/>
      <c r="S41" s="179" t="s">
        <v>95</v>
      </c>
      <c r="T41" s="180" t="s">
        <v>96</v>
      </c>
      <c r="U41" s="161"/>
      <c r="V41" s="161"/>
      <c r="W41" s="161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12.75" customHeight="1" outlineLevel="1">
      <c r="A42" s="189"/>
      <c r="B42" s="190"/>
      <c r="C42" s="269" t="s">
        <v>175</v>
      </c>
      <c r="D42" s="270"/>
      <c r="E42" s="269"/>
      <c r="F42" s="269"/>
      <c r="G42" s="269"/>
      <c r="H42" s="193"/>
      <c r="I42" s="194"/>
      <c r="J42" s="193"/>
      <c r="K42" s="194"/>
      <c r="L42" s="194"/>
      <c r="M42" s="194"/>
      <c r="N42" s="194"/>
      <c r="O42" s="194"/>
      <c r="P42" s="194"/>
      <c r="Q42" s="194"/>
      <c r="R42" s="194"/>
      <c r="S42" s="194"/>
      <c r="T42" s="195"/>
      <c r="U42" s="161"/>
      <c r="V42" s="161"/>
      <c r="W42" s="161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>
      <c r="A43" s="189">
        <v>21</v>
      </c>
      <c r="B43" s="190" t="s">
        <v>176</v>
      </c>
      <c r="C43" s="191" t="s">
        <v>177</v>
      </c>
      <c r="D43" s="211" t="s">
        <v>164</v>
      </c>
      <c r="E43" s="192">
        <f>E9</f>
        <v>27</v>
      </c>
      <c r="F43" s="193"/>
      <c r="G43" s="179">
        <f>ROUND(E43*F43,2)</f>
        <v>0</v>
      </c>
      <c r="H43" s="193"/>
      <c r="I43" s="194"/>
      <c r="J43" s="193"/>
      <c r="K43" s="194"/>
      <c r="L43" s="194"/>
      <c r="M43" s="194"/>
      <c r="N43" s="194"/>
      <c r="O43" s="194"/>
      <c r="P43" s="194"/>
      <c r="Q43" s="194"/>
      <c r="R43" s="194"/>
      <c r="S43" s="179" t="s">
        <v>95</v>
      </c>
      <c r="T43" s="180" t="s">
        <v>96</v>
      </c>
      <c r="U43" s="161"/>
      <c r="V43" s="161"/>
      <c r="W43" s="161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>
      <c r="A44" s="189">
        <v>22</v>
      </c>
      <c r="B44" s="190" t="s">
        <v>161</v>
      </c>
      <c r="C44" s="191" t="s">
        <v>160</v>
      </c>
      <c r="D44" s="211" t="s">
        <v>162</v>
      </c>
      <c r="E44" s="192">
        <f>E9</f>
        <v>27</v>
      </c>
      <c r="F44" s="193"/>
      <c r="G44" s="179">
        <f>ROUND(E44*F44,2)</f>
        <v>0</v>
      </c>
      <c r="H44" s="193"/>
      <c r="I44" s="194"/>
      <c r="J44" s="193"/>
      <c r="K44" s="194"/>
      <c r="L44" s="194"/>
      <c r="M44" s="194"/>
      <c r="N44" s="194"/>
      <c r="O44" s="194"/>
      <c r="P44" s="194"/>
      <c r="Q44" s="194"/>
      <c r="R44" s="194"/>
      <c r="S44" s="179" t="s">
        <v>95</v>
      </c>
      <c r="T44" s="180" t="s">
        <v>96</v>
      </c>
      <c r="U44" s="161"/>
      <c r="V44" s="161"/>
      <c r="W44" s="161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>
      <c r="A45" s="189">
        <v>23</v>
      </c>
      <c r="B45" s="190" t="s">
        <v>169</v>
      </c>
      <c r="C45" s="191" t="s">
        <v>168</v>
      </c>
      <c r="D45" s="211" t="s">
        <v>0</v>
      </c>
      <c r="E45" s="192">
        <v>6</v>
      </c>
      <c r="F45" s="193"/>
      <c r="G45" s="179">
        <f>F45</f>
        <v>0</v>
      </c>
      <c r="H45" s="193"/>
      <c r="I45" s="194"/>
      <c r="J45" s="193"/>
      <c r="K45" s="194"/>
      <c r="L45" s="194"/>
      <c r="M45" s="194"/>
      <c r="N45" s="194"/>
      <c r="O45" s="194"/>
      <c r="P45" s="194"/>
      <c r="Q45" s="194"/>
      <c r="R45" s="194"/>
      <c r="S45" s="179" t="s">
        <v>95</v>
      </c>
      <c r="T45" s="180" t="s">
        <v>96</v>
      </c>
      <c r="U45" s="161"/>
      <c r="V45" s="161"/>
      <c r="W45" s="161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>
      <c r="A46" s="189">
        <v>24</v>
      </c>
      <c r="B46" s="190" t="s">
        <v>172</v>
      </c>
      <c r="C46" s="191" t="s">
        <v>193</v>
      </c>
      <c r="D46" s="211" t="s">
        <v>164</v>
      </c>
      <c r="E46" s="192">
        <f>E9</f>
        <v>27</v>
      </c>
      <c r="F46" s="193"/>
      <c r="G46" s="179">
        <f>ROUND(E46*F46,2)</f>
        <v>0</v>
      </c>
      <c r="H46" s="193"/>
      <c r="I46" s="194"/>
      <c r="J46" s="193"/>
      <c r="K46" s="194"/>
      <c r="L46" s="194"/>
      <c r="M46" s="194"/>
      <c r="N46" s="194"/>
      <c r="O46" s="194"/>
      <c r="P46" s="194"/>
      <c r="Q46" s="194"/>
      <c r="R46" s="194"/>
      <c r="S46" s="179" t="s">
        <v>95</v>
      </c>
      <c r="T46" s="180" t="s">
        <v>96</v>
      </c>
      <c r="U46" s="161"/>
      <c r="V46" s="161"/>
      <c r="W46" s="161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>
      <c r="A47" s="189"/>
      <c r="B47" s="190"/>
      <c r="C47" s="269" t="s">
        <v>192</v>
      </c>
      <c r="D47" s="270"/>
      <c r="E47" s="269"/>
      <c r="F47" s="269"/>
      <c r="G47" s="269"/>
      <c r="H47" s="193"/>
      <c r="I47" s="194"/>
      <c r="J47" s="193"/>
      <c r="K47" s="194"/>
      <c r="L47" s="194"/>
      <c r="M47" s="194"/>
      <c r="N47" s="194"/>
      <c r="O47" s="194"/>
      <c r="P47" s="194"/>
      <c r="Q47" s="194"/>
      <c r="R47" s="194"/>
      <c r="S47" s="179"/>
      <c r="T47" s="180"/>
      <c r="U47" s="161"/>
      <c r="V47" s="161"/>
      <c r="W47" s="161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>
      <c r="A48" s="189">
        <v>25</v>
      </c>
      <c r="B48" s="190" t="s">
        <v>198</v>
      </c>
      <c r="C48" s="191" t="s">
        <v>194</v>
      </c>
      <c r="D48" s="211" t="s">
        <v>164</v>
      </c>
      <c r="E48" s="192">
        <v>4</v>
      </c>
      <c r="F48" s="193"/>
      <c r="G48" s="179">
        <f>ROUND(E48*F48,2)</f>
        <v>0</v>
      </c>
      <c r="H48" s="193"/>
      <c r="I48" s="194"/>
      <c r="J48" s="193"/>
      <c r="K48" s="194"/>
      <c r="L48" s="194"/>
      <c r="M48" s="194"/>
      <c r="N48" s="194"/>
      <c r="O48" s="194"/>
      <c r="P48" s="194"/>
      <c r="Q48" s="194"/>
      <c r="R48" s="194"/>
      <c r="S48" s="179" t="s">
        <v>95</v>
      </c>
      <c r="T48" s="180" t="s">
        <v>96</v>
      </c>
      <c r="U48" s="161"/>
      <c r="V48" s="161"/>
      <c r="W48" s="161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>
      <c r="A49" s="189"/>
      <c r="B49" s="190"/>
      <c r="C49" s="269" t="s">
        <v>195</v>
      </c>
      <c r="D49" s="270"/>
      <c r="E49" s="269"/>
      <c r="F49" s="269"/>
      <c r="G49" s="269"/>
      <c r="H49" s="193"/>
      <c r="I49" s="194"/>
      <c r="J49" s="193"/>
      <c r="K49" s="194"/>
      <c r="L49" s="194"/>
      <c r="M49" s="194"/>
      <c r="N49" s="194"/>
      <c r="O49" s="194"/>
      <c r="P49" s="194"/>
      <c r="Q49" s="194"/>
      <c r="R49" s="194"/>
      <c r="S49" s="179"/>
      <c r="T49" s="180"/>
      <c r="U49" s="161"/>
      <c r="V49" s="161"/>
      <c r="W49" s="161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>
      <c r="A50" s="189">
        <v>26</v>
      </c>
      <c r="B50" s="190" t="s">
        <v>199</v>
      </c>
      <c r="C50" s="191" t="s">
        <v>163</v>
      </c>
      <c r="D50" s="211" t="s">
        <v>164</v>
      </c>
      <c r="E50" s="192">
        <f>E44</f>
        <v>27</v>
      </c>
      <c r="F50" s="193"/>
      <c r="G50" s="179">
        <f>ROUND(E50*F50,2)</f>
        <v>0</v>
      </c>
      <c r="H50" s="193"/>
      <c r="I50" s="194"/>
      <c r="J50" s="193"/>
      <c r="K50" s="194"/>
      <c r="L50" s="194"/>
      <c r="M50" s="194"/>
      <c r="N50" s="194"/>
      <c r="O50" s="194"/>
      <c r="P50" s="194"/>
      <c r="Q50" s="194"/>
      <c r="R50" s="194"/>
      <c r="S50" s="179" t="s">
        <v>95</v>
      </c>
      <c r="T50" s="180" t="s">
        <v>96</v>
      </c>
      <c r="U50" s="161"/>
      <c r="V50" s="161"/>
      <c r="W50" s="161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>
      <c r="A51" s="189">
        <v>27</v>
      </c>
      <c r="B51" s="190" t="s">
        <v>170</v>
      </c>
      <c r="C51" s="191" t="s">
        <v>191</v>
      </c>
      <c r="D51" s="211" t="s">
        <v>165</v>
      </c>
      <c r="E51" s="192">
        <f>E44*6</f>
        <v>162</v>
      </c>
      <c r="F51" s="193"/>
      <c r="G51" s="179">
        <f>ROUND(E51*F51,2)</f>
        <v>0</v>
      </c>
      <c r="H51" s="193"/>
      <c r="I51" s="194"/>
      <c r="J51" s="193"/>
      <c r="K51" s="194"/>
      <c r="L51" s="194"/>
      <c r="M51" s="194"/>
      <c r="N51" s="194"/>
      <c r="O51" s="194"/>
      <c r="P51" s="194"/>
      <c r="Q51" s="194"/>
      <c r="R51" s="194"/>
      <c r="S51" s="179" t="s">
        <v>95</v>
      </c>
      <c r="T51" s="180" t="s">
        <v>96</v>
      </c>
      <c r="U51" s="161"/>
      <c r="V51" s="161"/>
      <c r="W51" s="161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>
      <c r="A52" s="189">
        <v>28</v>
      </c>
      <c r="B52" s="190" t="s">
        <v>171</v>
      </c>
      <c r="C52" s="191" t="s">
        <v>166</v>
      </c>
      <c r="D52" s="211" t="s">
        <v>165</v>
      </c>
      <c r="E52" s="192">
        <f>E44*1.5</f>
        <v>40.5</v>
      </c>
      <c r="F52" s="193"/>
      <c r="G52" s="179">
        <f>ROUND(E52*F52,2)</f>
        <v>0</v>
      </c>
      <c r="H52" s="193"/>
      <c r="I52" s="194"/>
      <c r="J52" s="193"/>
      <c r="K52" s="194"/>
      <c r="L52" s="194"/>
      <c r="M52" s="194"/>
      <c r="N52" s="194"/>
      <c r="O52" s="194"/>
      <c r="P52" s="194"/>
      <c r="Q52" s="194"/>
      <c r="R52" s="194"/>
      <c r="S52" s="179" t="s">
        <v>95</v>
      </c>
      <c r="T52" s="180" t="s">
        <v>96</v>
      </c>
      <c r="U52" s="161"/>
      <c r="V52" s="161"/>
      <c r="W52" s="161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>
      <c r="A53" s="189">
        <v>29</v>
      </c>
      <c r="B53" s="190" t="s">
        <v>172</v>
      </c>
      <c r="C53" s="191" t="s">
        <v>167</v>
      </c>
      <c r="D53" s="211" t="s">
        <v>165</v>
      </c>
      <c r="E53" s="192">
        <v>6</v>
      </c>
      <c r="F53" s="193"/>
      <c r="G53" s="179">
        <f>ROUND(E53*F53,2)</f>
        <v>0</v>
      </c>
      <c r="H53" s="193"/>
      <c r="I53" s="194"/>
      <c r="J53" s="193"/>
      <c r="K53" s="194"/>
      <c r="L53" s="194"/>
      <c r="M53" s="194"/>
      <c r="N53" s="194"/>
      <c r="O53" s="194"/>
      <c r="P53" s="194"/>
      <c r="Q53" s="194"/>
      <c r="R53" s="194"/>
      <c r="S53" s="179" t="s">
        <v>95</v>
      </c>
      <c r="T53" s="180" t="s">
        <v>96</v>
      </c>
      <c r="U53" s="161"/>
      <c r="V53" s="161"/>
      <c r="W53" s="161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>
      <c r="A54" s="163" t="s">
        <v>90</v>
      </c>
      <c r="B54" s="164" t="s">
        <v>63</v>
      </c>
      <c r="C54" s="182" t="s">
        <v>27</v>
      </c>
      <c r="D54" s="206"/>
      <c r="E54" s="165"/>
      <c r="F54" s="166"/>
      <c r="G54" s="166">
        <f>SUMIF(AG55:AG63,"&lt;&gt;NOR",G55:G63)</f>
        <v>0</v>
      </c>
      <c r="H54" s="166"/>
      <c r="I54" s="166">
        <f>SUM(I55:I63)</f>
        <v>0</v>
      </c>
      <c r="J54" s="166"/>
      <c r="K54" s="166">
        <f>SUM(K55:K63)</f>
        <v>364590.92</v>
      </c>
      <c r="L54" s="166"/>
      <c r="M54" s="166">
        <f>SUM(M55:M63)</f>
        <v>0</v>
      </c>
      <c r="N54" s="166"/>
      <c r="O54" s="166">
        <f>SUM(O55:O63)</f>
        <v>0</v>
      </c>
      <c r="P54" s="166"/>
      <c r="Q54" s="166">
        <f>SUM(Q55:Q63)</f>
        <v>0</v>
      </c>
      <c r="R54" s="166"/>
      <c r="S54" s="166"/>
      <c r="T54" s="167"/>
      <c r="U54" s="162"/>
      <c r="V54" s="162">
        <f>SUM(V55:V63)</f>
        <v>0</v>
      </c>
      <c r="W54" s="162"/>
      <c r="AG54" t="s">
        <v>91</v>
      </c>
    </row>
    <row r="55" spans="1:60" outlineLevel="1">
      <c r="A55" s="175">
        <v>30</v>
      </c>
      <c r="B55" s="176" t="s">
        <v>127</v>
      </c>
      <c r="C55" s="184" t="s">
        <v>128</v>
      </c>
      <c r="D55" s="208" t="s">
        <v>129</v>
      </c>
      <c r="E55" s="177">
        <v>1</v>
      </c>
      <c r="F55" s="178"/>
      <c r="G55" s="179">
        <f>ROUND(E55*F55,2)</f>
        <v>0</v>
      </c>
      <c r="H55" s="178">
        <v>0</v>
      </c>
      <c r="I55" s="179">
        <f>ROUND(E55*H55,2)</f>
        <v>0</v>
      </c>
      <c r="J55" s="178">
        <v>40000</v>
      </c>
      <c r="K55" s="179">
        <f>ROUND(E55*J55,2)</f>
        <v>40000</v>
      </c>
      <c r="L55" s="179">
        <v>21</v>
      </c>
      <c r="M55" s="179">
        <f>G55*(1+L55/100)</f>
        <v>0</v>
      </c>
      <c r="N55" s="179">
        <v>0</v>
      </c>
      <c r="O55" s="179">
        <f>ROUND(E55*N55,2)</f>
        <v>0</v>
      </c>
      <c r="P55" s="179">
        <v>0</v>
      </c>
      <c r="Q55" s="179">
        <f>ROUND(E55*P55,2)</f>
        <v>0</v>
      </c>
      <c r="R55" s="179"/>
      <c r="S55" s="179" t="s">
        <v>95</v>
      </c>
      <c r="T55" s="180" t="s">
        <v>96</v>
      </c>
      <c r="U55" s="161">
        <v>0</v>
      </c>
      <c r="V55" s="161">
        <f>ROUND(E55*U55,2)</f>
        <v>0</v>
      </c>
      <c r="W55" s="161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130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>
      <c r="A56" s="168">
        <v>31</v>
      </c>
      <c r="B56" s="169" t="s">
        <v>131</v>
      </c>
      <c r="C56" s="183" t="s">
        <v>132</v>
      </c>
      <c r="D56" s="207" t="s">
        <v>133</v>
      </c>
      <c r="E56" s="170">
        <v>1</v>
      </c>
      <c r="F56" s="171"/>
      <c r="G56" s="172">
        <f>ROUND(E56*F56,2)</f>
        <v>0</v>
      </c>
      <c r="H56" s="171">
        <v>0</v>
      </c>
      <c r="I56" s="172">
        <f>ROUND(E56*H56,2)</f>
        <v>0</v>
      </c>
      <c r="J56" s="171">
        <v>135019.68</v>
      </c>
      <c r="K56" s="172">
        <f>ROUND(E56*J56,2)</f>
        <v>135019.68</v>
      </c>
      <c r="L56" s="172">
        <v>21</v>
      </c>
      <c r="M56" s="172">
        <f>G56*(1+L56/100)</f>
        <v>0</v>
      </c>
      <c r="N56" s="172">
        <v>0</v>
      </c>
      <c r="O56" s="172">
        <f>ROUND(E56*N56,2)</f>
        <v>0</v>
      </c>
      <c r="P56" s="172">
        <v>0</v>
      </c>
      <c r="Q56" s="172">
        <f>ROUND(E56*P56,2)</f>
        <v>0</v>
      </c>
      <c r="R56" s="172"/>
      <c r="S56" s="172" t="s">
        <v>134</v>
      </c>
      <c r="T56" s="173" t="s">
        <v>96</v>
      </c>
      <c r="U56" s="161">
        <v>0</v>
      </c>
      <c r="V56" s="161">
        <f>ROUND(E56*U56,2)</f>
        <v>0</v>
      </c>
      <c r="W56" s="161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135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>
      <c r="A57" s="159"/>
      <c r="B57" s="160"/>
      <c r="C57" s="261" t="s">
        <v>136</v>
      </c>
      <c r="D57" s="262"/>
      <c r="E57" s="262"/>
      <c r="F57" s="262"/>
      <c r="G57" s="262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98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68">
        <v>32</v>
      </c>
      <c r="B58" s="169" t="s">
        <v>200</v>
      </c>
      <c r="C58" s="184" t="s">
        <v>188</v>
      </c>
      <c r="D58" s="208" t="s">
        <v>165</v>
      </c>
      <c r="E58" s="177">
        <f>E9*1.5</f>
        <v>40.5</v>
      </c>
      <c r="F58" s="178"/>
      <c r="G58" s="179">
        <f>ROUND(E58*F58,2)</f>
        <v>0</v>
      </c>
      <c r="H58" s="178">
        <v>0</v>
      </c>
      <c r="I58" s="179">
        <f>ROUND(E58*H58,2)</f>
        <v>0</v>
      </c>
      <c r="J58" s="178">
        <v>230</v>
      </c>
      <c r="K58" s="179">
        <f>ROUND(E58*J58,2)</f>
        <v>9315</v>
      </c>
      <c r="L58" s="179">
        <v>21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 t="s">
        <v>95</v>
      </c>
      <c r="T58" s="180" t="s">
        <v>96</v>
      </c>
      <c r="U58" s="161"/>
      <c r="V58" s="161"/>
      <c r="W58" s="161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>
      <c r="A59" s="168">
        <v>33</v>
      </c>
      <c r="B59" s="169" t="s">
        <v>201</v>
      </c>
      <c r="C59" s="184" t="s">
        <v>189</v>
      </c>
      <c r="D59" s="208" t="s">
        <v>129</v>
      </c>
      <c r="E59" s="177">
        <v>1</v>
      </c>
      <c r="F59" s="178"/>
      <c r="G59" s="179">
        <f>ROUND(E59*F59,2)</f>
        <v>0</v>
      </c>
      <c r="H59" s="178">
        <v>0</v>
      </c>
      <c r="I59" s="179">
        <f>ROUND(E59*H59,2)</f>
        <v>0</v>
      </c>
      <c r="J59" s="178">
        <v>230</v>
      </c>
      <c r="K59" s="179">
        <f>ROUND(E59*J59,2)</f>
        <v>230</v>
      </c>
      <c r="L59" s="179">
        <v>21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/>
      <c r="S59" s="179" t="s">
        <v>95</v>
      </c>
      <c r="T59" s="180" t="s">
        <v>96</v>
      </c>
      <c r="U59" s="161"/>
      <c r="V59" s="161"/>
      <c r="W59" s="161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>
      <c r="A60" s="168">
        <v>34</v>
      </c>
      <c r="B60" s="169" t="s">
        <v>137</v>
      </c>
      <c r="C60" s="183" t="s">
        <v>138</v>
      </c>
      <c r="D60" s="207" t="s">
        <v>133</v>
      </c>
      <c r="E60" s="170">
        <v>1</v>
      </c>
      <c r="F60" s="171"/>
      <c r="G60" s="172">
        <f>ROUND(E60*F60,2)</f>
        <v>0</v>
      </c>
      <c r="H60" s="171">
        <v>0</v>
      </c>
      <c r="I60" s="172">
        <f>ROUND(E60*H60,2)</f>
        <v>0</v>
      </c>
      <c r="J60" s="171">
        <v>84387.3</v>
      </c>
      <c r="K60" s="172">
        <f>ROUND(E60*J60,2)</f>
        <v>84387.3</v>
      </c>
      <c r="L60" s="172">
        <v>21</v>
      </c>
      <c r="M60" s="172">
        <f>G60*(1+L60/100)</f>
        <v>0</v>
      </c>
      <c r="N60" s="172">
        <v>0</v>
      </c>
      <c r="O60" s="172">
        <f>ROUND(E60*N60,2)</f>
        <v>0</v>
      </c>
      <c r="P60" s="172">
        <v>0</v>
      </c>
      <c r="Q60" s="172">
        <f>ROUND(E60*P60,2)</f>
        <v>0</v>
      </c>
      <c r="R60" s="172"/>
      <c r="S60" s="172" t="s">
        <v>134</v>
      </c>
      <c r="T60" s="173" t="s">
        <v>96</v>
      </c>
      <c r="U60" s="161">
        <v>0</v>
      </c>
      <c r="V60" s="161">
        <f>ROUND(E60*U60,2)</f>
        <v>0</v>
      </c>
      <c r="W60" s="161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139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>
      <c r="A61" s="159"/>
      <c r="B61" s="160"/>
      <c r="C61" s="261" t="s">
        <v>190</v>
      </c>
      <c r="D61" s="262"/>
      <c r="E61" s="262"/>
      <c r="F61" s="262"/>
      <c r="G61" s="262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98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74" t="str">
        <f>C61</f>
        <v>Náklady na ztížené provádění stavebních prací v důsledku nepřerušeného provozu na staveništi nebo v případech nepřerušeného provozu v objektech v nichž se stavební práce provádí (během školního roku mimo vyučování - o víkendech, odpoledne, o svátcích)</v>
      </c>
      <c r="BB61" s="153"/>
      <c r="BC61" s="153"/>
      <c r="BD61" s="153"/>
      <c r="BE61" s="153"/>
      <c r="BF61" s="153"/>
      <c r="BG61" s="153"/>
      <c r="BH61" s="153"/>
    </row>
    <row r="62" spans="1:60" outlineLevel="1">
      <c r="A62" s="168">
        <v>35</v>
      </c>
      <c r="B62" s="169" t="s">
        <v>140</v>
      </c>
      <c r="C62" s="183" t="s">
        <v>141</v>
      </c>
      <c r="D62" s="207" t="s">
        <v>133</v>
      </c>
      <c r="E62" s="170">
        <v>1</v>
      </c>
      <c r="F62" s="171"/>
      <c r="G62" s="172">
        <f>ROUND(E62*F62,2)</f>
        <v>0</v>
      </c>
      <c r="H62" s="171">
        <v>0</v>
      </c>
      <c r="I62" s="172">
        <f>ROUND(E62*H62,2)</f>
        <v>0</v>
      </c>
      <c r="J62" s="171">
        <v>95638.94</v>
      </c>
      <c r="K62" s="172">
        <f>ROUND(E62*J62,2)</f>
        <v>95638.94</v>
      </c>
      <c r="L62" s="172">
        <v>21</v>
      </c>
      <c r="M62" s="172">
        <f>G62*(1+L62/100)</f>
        <v>0</v>
      </c>
      <c r="N62" s="172">
        <v>0</v>
      </c>
      <c r="O62" s="172">
        <f>ROUND(E62*N62,2)</f>
        <v>0</v>
      </c>
      <c r="P62" s="172">
        <v>0</v>
      </c>
      <c r="Q62" s="172">
        <f>ROUND(E62*P62,2)</f>
        <v>0</v>
      </c>
      <c r="R62" s="172"/>
      <c r="S62" s="172" t="s">
        <v>134</v>
      </c>
      <c r="T62" s="173" t="s">
        <v>96</v>
      </c>
      <c r="U62" s="161">
        <v>0</v>
      </c>
      <c r="V62" s="161">
        <f>ROUND(E62*U62,2)</f>
        <v>0</v>
      </c>
      <c r="W62" s="161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135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>
      <c r="A63" s="159"/>
      <c r="B63" s="160"/>
      <c r="C63" s="261" t="s">
        <v>142</v>
      </c>
      <c r="D63" s="262"/>
      <c r="E63" s="262"/>
      <c r="F63" s="262"/>
      <c r="G63" s="262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98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>
      <c r="A64" s="5"/>
      <c r="B64" s="6"/>
      <c r="C64" s="18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>
      <c r="A65" s="156"/>
      <c r="B65" s="157" t="s">
        <v>29</v>
      </c>
      <c r="C65" s="186"/>
      <c r="D65" s="210"/>
      <c r="E65" s="158"/>
      <c r="F65" s="158"/>
      <c r="G65" s="181">
        <f>G8+G28+G54+G38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143</v>
      </c>
    </row>
    <row r="66" spans="1:33">
      <c r="C66" s="187"/>
      <c r="AG66" t="s">
        <v>144</v>
      </c>
    </row>
  </sheetData>
  <mergeCells count="18">
    <mergeCell ref="A1:G1"/>
    <mergeCell ref="C2:G2"/>
    <mergeCell ref="C3:G3"/>
    <mergeCell ref="C4:G4"/>
    <mergeCell ref="C10:G10"/>
    <mergeCell ref="C49:G49"/>
    <mergeCell ref="C61:G61"/>
    <mergeCell ref="C63:G63"/>
    <mergeCell ref="C30:G30"/>
    <mergeCell ref="C32:G32"/>
    <mergeCell ref="C57:G57"/>
    <mergeCell ref="C40:G40"/>
    <mergeCell ref="C42:G42"/>
    <mergeCell ref="C20:G20"/>
    <mergeCell ref="C22:G27"/>
    <mergeCell ref="A22:A23"/>
    <mergeCell ref="B22:B23"/>
    <mergeCell ref="C47:G4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Tatik</dc:creator>
  <cp:lastModifiedBy>pavla</cp:lastModifiedBy>
  <cp:lastPrinted>2018-05-31T10:17:11Z</cp:lastPrinted>
  <dcterms:created xsi:type="dcterms:W3CDTF">2009-04-08T07:15:50Z</dcterms:created>
  <dcterms:modified xsi:type="dcterms:W3CDTF">2018-05-31T10:17:15Z</dcterms:modified>
</cp:coreProperties>
</file>