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090" windowHeight="12885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<sst xmlns="http://schemas.openxmlformats.org/spreadsheetml/2006/main" count="284" uniqueCount="203">
  <si>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</si>
  <si>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</si>
  <si>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</si>
  <si>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</si>
  <si>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</si>
  <si>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</si>
  <si>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</si>
  <si>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</si>
  <si>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</si>
  <si>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</si>
  <si>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</si>
  <si>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</si>
  <si>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</si>
  <si>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61</t>
  </si>
  <si>
    <t>63</t>
  </si>
  <si>
    <t>Poznámka:</t>
  </si>
  <si>
    <t>Objekt</t>
  </si>
  <si>
    <t>Kód</t>
  </si>
  <si>
    <t>612401391RT2</t>
  </si>
  <si>
    <t>612401962R00</t>
  </si>
  <si>
    <t>612403399RT2</t>
  </si>
  <si>
    <t>631311121R00</t>
  </si>
  <si>
    <t>632451441R00</t>
  </si>
  <si>
    <t>632921411R00</t>
  </si>
  <si>
    <t>722</t>
  </si>
  <si>
    <t>722130802R00</t>
  </si>
  <si>
    <t>722130801R00</t>
  </si>
  <si>
    <t>722130515R00</t>
  </si>
  <si>
    <t>722172313R00</t>
  </si>
  <si>
    <t>722172311R00</t>
  </si>
  <si>
    <t>722172331R00</t>
  </si>
  <si>
    <t>722174212R00</t>
  </si>
  <si>
    <t>722174214R00</t>
  </si>
  <si>
    <t>722181211RT7</t>
  </si>
  <si>
    <t>722181211RU1</t>
  </si>
  <si>
    <t>722181212RT7</t>
  </si>
  <si>
    <t>722202412R00</t>
  </si>
  <si>
    <t>722202524R00</t>
  </si>
  <si>
    <t>722220111R00</t>
  </si>
  <si>
    <t>722220861R00</t>
  </si>
  <si>
    <t>722220851R00</t>
  </si>
  <si>
    <t>722235112R00</t>
  </si>
  <si>
    <t>722260813R00</t>
  </si>
  <si>
    <t>722260923R00</t>
  </si>
  <si>
    <t>722262211R00</t>
  </si>
  <si>
    <t>722264312R00</t>
  </si>
  <si>
    <t>722290822R00</t>
  </si>
  <si>
    <t>722280106R00</t>
  </si>
  <si>
    <t>725</t>
  </si>
  <si>
    <t>725810811R00</t>
  </si>
  <si>
    <t>725210821R00</t>
  </si>
  <si>
    <t>725210914R00</t>
  </si>
  <si>
    <t>725210923R00</t>
  </si>
  <si>
    <t>725210982R00</t>
  </si>
  <si>
    <t>725210983R00</t>
  </si>
  <si>
    <t>725210984R00</t>
  </si>
  <si>
    <t>725210985R00</t>
  </si>
  <si>
    <t>725530823R00</t>
  </si>
  <si>
    <t>725530921R00</t>
  </si>
  <si>
    <t>725825114RT0</t>
  </si>
  <si>
    <t>725825111RT0</t>
  </si>
  <si>
    <t>725835113RT1</t>
  </si>
  <si>
    <t>725845111RT1</t>
  </si>
  <si>
    <t>725839203R00</t>
  </si>
  <si>
    <t>725829201R00</t>
  </si>
  <si>
    <t>725590811R00</t>
  </si>
  <si>
    <t>733</t>
  </si>
  <si>
    <t>733110806R00</t>
  </si>
  <si>
    <t>781</t>
  </si>
  <si>
    <t>781101111R00</t>
  </si>
  <si>
    <t>781230121R00</t>
  </si>
  <si>
    <t>781419701R00</t>
  </si>
  <si>
    <t>781419705RT2</t>
  </si>
  <si>
    <t>96</t>
  </si>
  <si>
    <t>965042221RT2</t>
  </si>
  <si>
    <t>969011121R00</t>
  </si>
  <si>
    <t>97</t>
  </si>
  <si>
    <t>971028561R00</t>
  </si>
  <si>
    <t>S</t>
  </si>
  <si>
    <t>979094111R00</t>
  </si>
  <si>
    <t>979981101R00</t>
  </si>
  <si>
    <t>979990106R00</t>
  </si>
  <si>
    <t>rekonstrukce stoupaček vadoinstalace</t>
  </si>
  <si>
    <t>Zkrácený popis</t>
  </si>
  <si>
    <t>Rozměry</t>
  </si>
  <si>
    <t>Úprava povrchů vnitřní</t>
  </si>
  <si>
    <t>Omítka malých ploch vnitřních stěn do 1 m2</t>
  </si>
  <si>
    <t>Příplatek za práci v omez. prostoru, omítka hladká</t>
  </si>
  <si>
    <t>Hrubá výplň rýh ve stěnách maltou</t>
  </si>
  <si>
    <t>Podlahy a podlahové konstrukce</t>
  </si>
  <si>
    <t>Doplnění mazanin betonem do 1 m2, do tl. 8 cm</t>
  </si>
  <si>
    <t>Doplnění potěru v ploše do 1 m2, tl.30-40 mm</t>
  </si>
  <si>
    <t>Dlažba z dlaždic betonových do MC 10, tl. 33 mm</t>
  </si>
  <si>
    <t>Demontáž potrubí ocelových závitových DN 25</t>
  </si>
  <si>
    <t>Potrubí z PPR Instaplast, studená, D 32/4,4 mm</t>
  </si>
  <si>
    <t>Potrubí z PPR Instaplast, studená, D 20/2,8 mm</t>
  </si>
  <si>
    <t>Potrubí z PPR Instaplast, teplá, D 20/3,4 mm</t>
  </si>
  <si>
    <t>Montáž potrubí z plastů rovné polyfúz. svař. DN 20</t>
  </si>
  <si>
    <t>Montáž potrubí z plastů rovné polyfúz. svař. DN 32</t>
  </si>
  <si>
    <t>Sestavení plastového rozvodu vody DN 20</t>
  </si>
  <si>
    <t>Izolace návleková MIRELON PRO tl. stěny 6 mm</t>
  </si>
  <si>
    <t>Izolace návleková MIRELON PRO tl. stěny 9 mm</t>
  </si>
  <si>
    <t>Kohout kulový nerozebíratelný PP-R INSTAPLAST D 20</t>
  </si>
  <si>
    <t>Ventil přímý s výpustí PP-R INSTAPLAST D 32x1"</t>
  </si>
  <si>
    <t>Nástěnka K 247, pro výtokový ventil G 1/2</t>
  </si>
  <si>
    <t>Demontáž armatur s dvěma závity G 3/4</t>
  </si>
  <si>
    <t>Demontáž armatur s jedním závitem G 3/4</t>
  </si>
  <si>
    <t>Kohout kulový, vnitř.-vnitř.z. IVAR PERFECTA DN 20</t>
  </si>
  <si>
    <t>Demontáž vodoměrů závitových G 1</t>
  </si>
  <si>
    <t>Zpětná montáž vodoměrů závitových G 1</t>
  </si>
  <si>
    <t>Vodoměry do 30°C, závitové G 3/4 MN-QN 2,5XN.EBH</t>
  </si>
  <si>
    <t>Vodoměr bytový SV Enbra EV DN 15x110 mm, Qn 1,5</t>
  </si>
  <si>
    <t>Přesun vybouraných hmot - vodovody, H 6 - 12 m</t>
  </si>
  <si>
    <t>Tlaková zkouška vodovodního potrubí DN 32</t>
  </si>
  <si>
    <t>Demontáž ventilu výtokového nástěnného</t>
  </si>
  <si>
    <t>Demontáž umyvadel bez výtokových armatur</t>
  </si>
  <si>
    <t>Zpětná montáž umyvadla bez výtok.armatur</t>
  </si>
  <si>
    <t>Výměna konzoly</t>
  </si>
  <si>
    <t>Odmontování zápachové uzávěrky</t>
  </si>
  <si>
    <t>Zpětná montáž zápachové uzávěrky</t>
  </si>
  <si>
    <t>Odmontování rohového ventilu G 1/2</t>
  </si>
  <si>
    <t>Zpětná montáž rohového ventilu G 1/2, růžice</t>
  </si>
  <si>
    <t>Demontáž, zásobník elektrický tlakový  80 l</t>
  </si>
  <si>
    <t>Zpětná montáž zásobníků tlakových  80 l</t>
  </si>
  <si>
    <t>Baterie dřezová nástěnná ruční</t>
  </si>
  <si>
    <t>Baterie umyvadlová nástěnná ruční</t>
  </si>
  <si>
    <t>Baterie vanová nástěnná ruční, vč. příslušenstvím</t>
  </si>
  <si>
    <t>Baterie sprchová nástěnná ruční, bez příslušenství</t>
  </si>
  <si>
    <t>Montáž baterie vanové nástěnné G 1/2</t>
  </si>
  <si>
    <t>Montáž baterie umyv.a dřezové nástěnné chromové</t>
  </si>
  <si>
    <t>Přesun vybour.hmot, zařizovací předměty H 6 m</t>
  </si>
  <si>
    <t>Demontáž potrubí ocelového závitového do DN 15-32</t>
  </si>
  <si>
    <t>Vyrovnání podkladu maltou ze SMS tl. do 7 mm</t>
  </si>
  <si>
    <t>Obkládání stěn vnitř.keram. do tmele do 300x300 mm,včetně mater.</t>
  </si>
  <si>
    <t>Příplatek za práci v omezeném prostoru</t>
  </si>
  <si>
    <t>Příplatek za spárovací hmotu - plošně</t>
  </si>
  <si>
    <t>Bourání mazanin betonových tl. nad 10 cm, pl. 1 m2</t>
  </si>
  <si>
    <t>Vybourání vodovod., plynového vedení DN do 52 mm</t>
  </si>
  <si>
    <t>Vybourání otvorů zeď smíš. pl. 1 m2, tl. 60 cm</t>
  </si>
  <si>
    <t>Nakládání nebo překládání vybouraných hmot</t>
  </si>
  <si>
    <t>Kontejner, suť bez příměsí, odvoz a likvidace, 3 t</t>
  </si>
  <si>
    <t>Poplatek za skládku suti - cihelné výrobky</t>
  </si>
  <si>
    <t>Doba výstavby:</t>
  </si>
  <si>
    <t>Začátek výstavby:</t>
  </si>
  <si>
    <t>Konec výstavby:</t>
  </si>
  <si>
    <t>Zpracováno dne:</t>
  </si>
  <si>
    <t>M.j.</t>
  </si>
  <si>
    <t>kus</t>
  </si>
  <si>
    <t>m2</t>
  </si>
  <si>
    <t>m3</t>
  </si>
  <si>
    <t>m</t>
  </si>
  <si>
    <t>t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</si>
  <si>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</si>
  <si>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</si>
  <si>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</si>
  <si>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</si>
  <si>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</si>
  <si>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</si>
  <si>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</si>
  <si>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</si>
  <si>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</si>
  <si>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</si>
  <si>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</si>
  <si>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</si>
  <si>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</si>
  <si>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</si>
  <si>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</si>
  <si>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</si>
  <si>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</si>
  <si>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</si>
  <si>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</si>
  <si>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</si>
  <si>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</si>
  <si>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</si>
  <si>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</si>
  <si>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</si>
  <si>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</si>
  <si>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</si>
  <si>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900      RT1</t>
  </si>
  <si>
    <t>hod</t>
  </si>
  <si>
    <t>97403113AR00</t>
  </si>
  <si>
    <t>97403125AR00</t>
  </si>
  <si>
    <t>Vysekání rýh ve zdi cihelné 5 x 10 cm, včetně zapravení a výmalby</t>
  </si>
  <si>
    <t>Vysekání rýh zeď cihelná u stropu 10 x 30 cm, , včetně zapravení a výmalby</t>
  </si>
  <si>
    <t>784</t>
  </si>
  <si>
    <t>784452271RTX</t>
  </si>
  <si>
    <t>Malba směsí tekutou 2x, 1barva, místnost do 3,8 m Primalex Standard</t>
  </si>
  <si>
    <t>komple</t>
  </si>
  <si>
    <t>Hzs - nezmeřitelné práce   čl.17-1a Práce v tarifní třídě 4, ověření tras přívodního potrubí</t>
  </si>
  <si>
    <t>72598012AR00</t>
  </si>
  <si>
    <t>722001</t>
  </si>
  <si>
    <t>Oprava vodoměrné šachty vyspravení dna,oprava stěn,nátěr poklopu</t>
  </si>
  <si>
    <t>D+MTŽ skříňka na vodoměr, dvířka z plastu, 200 x 300 mm, včetně montáže, zapravení</t>
  </si>
  <si>
    <t>Znojmo,Horní Česká 26, 66902</t>
  </si>
  <si>
    <t>mb</t>
  </si>
  <si>
    <t>bm</t>
  </si>
  <si>
    <t>Potrubí z PPR Instaplast, studená, D 32/4,4 mm, zavěšené pod stropem 1.PP (včetně uchycení)</t>
  </si>
  <si>
    <t>Potrubí z PPR Instaplast, studená, D 16/2,2 mm</t>
  </si>
  <si>
    <t>Potrubí z PPR Instaplast, teplá, D 16/2,2 mm</t>
  </si>
  <si>
    <t>Montáž potrubí z plastů rovné polyfúz. svař. DN 16</t>
  </si>
  <si>
    <t>Demontáž potrubí ocelových závitových DN 32</t>
  </si>
  <si>
    <t>Znojmo,město 5 bytů</t>
  </si>
  <si>
    <t>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</si>
</sst>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33" borderId="14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4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1" fillId="33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Font="1" applyBorder="1" applyAlignment="1">
      <alignment vertical="center"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right" vertical="center"/>
      <protection/>
    </xf>
    <xf numFmtId="49" fontId="1" fillId="33" borderId="25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4" fillId="0" borderId="27" xfId="0" applyNumberFormat="1" applyFont="1" applyFill="1" applyBorder="1" applyAlignment="1" applyProtection="1">
      <alignment horizontal="left" vertical="center"/>
      <protection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9" fontId="4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left" vertical="center"/>
      <protection/>
    </xf>
    <xf numFmtId="0" fontId="3" fillId="33" borderId="14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Chybně" xfId="37"/>
    <cellStyle name="Kontrolní buňka" xfId="38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1"/>
  <sheetViews>
    <sheetView tabSelected="1" zoomScale="85" zoomScaleNormal="85" zoomScalePageLayoutView="0" workbookViewId="0" topLeftCell="A1">
      <selection activeCell="K19" sqref="K19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6.7109375" style="0" customWidth="1"/>
    <col min="5" max="5" width="6.42187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2.75">
      <c r="A2" s="69" t="s">
        <v>1</v>
      </c>
      <c r="B2" s="70"/>
      <c r="C2" s="70"/>
      <c r="D2" s="71" t="s">
        <v>193</v>
      </c>
      <c r="E2" s="72" t="s">
        <v>142</v>
      </c>
      <c r="F2" s="70"/>
      <c r="G2" s="72"/>
      <c r="H2" s="70"/>
      <c r="I2" s="73" t="s">
        <v>159</v>
      </c>
      <c r="J2" s="73"/>
      <c r="K2" s="70"/>
      <c r="L2" s="70"/>
      <c r="M2" s="74"/>
      <c r="N2" s="19"/>
    </row>
    <row r="3" spans="1:14" ht="12.75">
      <c r="A3" s="66"/>
      <c r="B3" s="48"/>
      <c r="C3" s="48"/>
      <c r="D3" s="53"/>
      <c r="E3" s="48"/>
      <c r="F3" s="48"/>
      <c r="G3" s="48"/>
      <c r="H3" s="48"/>
      <c r="I3" s="48"/>
      <c r="J3" s="48"/>
      <c r="K3" s="48"/>
      <c r="L3" s="48"/>
      <c r="M3" s="64"/>
      <c r="N3" s="19"/>
    </row>
    <row r="4" spans="1:14" ht="12.75">
      <c r="A4" s="59" t="s">
        <v>2</v>
      </c>
      <c r="B4" s="48"/>
      <c r="C4" s="48"/>
      <c r="D4" s="47" t="s">
        <v>82</v>
      </c>
      <c r="E4" s="62" t="s">
        <v>143</v>
      </c>
      <c r="F4" s="48"/>
      <c r="G4" s="63"/>
      <c r="H4" s="48"/>
      <c r="I4" s="47" t="s">
        <v>160</v>
      </c>
      <c r="J4" s="47"/>
      <c r="K4" s="48"/>
      <c r="L4" s="48"/>
      <c r="M4" s="64"/>
      <c r="N4" s="19"/>
    </row>
    <row r="5" spans="1:14" ht="12.75">
      <c r="A5" s="6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64"/>
      <c r="N5" s="19"/>
    </row>
    <row r="6" spans="1:14" ht="12.75">
      <c r="A6" s="59" t="s">
        <v>3</v>
      </c>
      <c r="B6" s="48"/>
      <c r="C6" s="48"/>
      <c r="D6" s="47" t="s">
        <v>201</v>
      </c>
      <c r="E6" s="62" t="s">
        <v>144</v>
      </c>
      <c r="F6" s="48"/>
      <c r="G6" s="48"/>
      <c r="H6" s="48"/>
      <c r="I6" s="47" t="s">
        <v>161</v>
      </c>
      <c r="J6" s="47"/>
      <c r="K6" s="48"/>
      <c r="L6" s="48"/>
      <c r="M6" s="64"/>
      <c r="N6" s="19"/>
    </row>
    <row r="7" spans="1:14" ht="12.75">
      <c r="A7" s="66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4"/>
      <c r="N7" s="19"/>
    </row>
    <row r="8" spans="1:14" ht="12.75">
      <c r="A8" s="59" t="s">
        <v>4</v>
      </c>
      <c r="B8" s="48"/>
      <c r="C8" s="48"/>
      <c r="D8" s="47"/>
      <c r="E8" s="62" t="s">
        <v>145</v>
      </c>
      <c r="F8" s="48"/>
      <c r="G8" s="63"/>
      <c r="H8" s="48"/>
      <c r="I8" s="47" t="s">
        <v>162</v>
      </c>
      <c r="J8" s="47"/>
      <c r="K8" s="48"/>
      <c r="L8" s="48"/>
      <c r="M8" s="64"/>
      <c r="N8" s="19"/>
    </row>
    <row r="9" spans="1:14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5"/>
      <c r="N9" s="19"/>
    </row>
    <row r="10" spans="1:13" ht="12.75">
      <c r="A10" s="1" t="s">
        <v>5</v>
      </c>
      <c r="B10" s="5" t="s">
        <v>16</v>
      </c>
      <c r="C10" s="5" t="s">
        <v>17</v>
      </c>
      <c r="D10" s="5" t="s">
        <v>83</v>
      </c>
      <c r="E10" s="5" t="s">
        <v>146</v>
      </c>
      <c r="F10" s="10" t="s">
        <v>153</v>
      </c>
      <c r="G10" s="12" t="s">
        <v>154</v>
      </c>
      <c r="H10" s="54" t="s">
        <v>156</v>
      </c>
      <c r="I10" s="55"/>
      <c r="J10" s="56"/>
      <c r="K10" s="54" t="s">
        <v>165</v>
      </c>
      <c r="L10" s="56"/>
      <c r="M10" s="32"/>
    </row>
    <row r="11" spans="1:23" ht="13.5" thickBot="1">
      <c r="A11" s="2" t="s">
        <v>6</v>
      </c>
      <c r="B11" s="6" t="s">
        <v>6</v>
      </c>
      <c r="C11" s="6" t="s">
        <v>6</v>
      </c>
      <c r="D11" s="9" t="s">
        <v>84</v>
      </c>
      <c r="E11" s="6" t="s">
        <v>6</v>
      </c>
      <c r="F11" s="6" t="s">
        <v>6</v>
      </c>
      <c r="G11" s="13" t="s">
        <v>155</v>
      </c>
      <c r="H11" s="14" t="s">
        <v>157</v>
      </c>
      <c r="I11" s="15" t="s">
        <v>163</v>
      </c>
      <c r="J11" s="16" t="s">
        <v>164</v>
      </c>
      <c r="K11" s="14" t="s">
        <v>154</v>
      </c>
      <c r="L11" s="16" t="s">
        <v>164</v>
      </c>
      <c r="M11" s="33"/>
      <c r="O11" s="18" t="s">
        <v>166</v>
      </c>
      <c r="P11" s="18" t="s">
        <v>167</v>
      </c>
      <c r="Q11" s="18" t="s">
        <v>171</v>
      </c>
      <c r="R11" s="18" t="s">
        <v>172</v>
      </c>
      <c r="S11" s="18" t="s">
        <v>173</v>
      </c>
      <c r="T11" s="18" t="s">
        <v>174</v>
      </c>
      <c r="U11" s="18" t="s">
        <v>175</v>
      </c>
      <c r="V11" s="18" t="s">
        <v>176</v>
      </c>
      <c r="W11" s="18" t="s">
        <v>177</v>
      </c>
    </row>
    <row r="12" spans="1:36" ht="12.75">
      <c r="A12" s="34"/>
      <c r="B12" s="7"/>
      <c r="C12" s="7" t="s">
        <v>13</v>
      </c>
      <c r="D12" s="57" t="s">
        <v>85</v>
      </c>
      <c r="E12" s="58"/>
      <c r="F12" s="58"/>
      <c r="G12" s="58"/>
      <c r="H12" s="21">
        <f>SUM(H13:H15)</f>
        <v>0</v>
      </c>
      <c r="I12" s="21">
        <f>SUM(I13:I15)</f>
        <v>0</v>
      </c>
      <c r="J12" s="21">
        <f>H12+I12</f>
        <v>0</v>
      </c>
      <c r="K12" s="17"/>
      <c r="L12" s="21">
        <f>SUM(L13:L15)</f>
        <v>4.0895600000000005</v>
      </c>
      <c r="M12" s="35"/>
      <c r="O12" s="22">
        <f>IF(P12="PR",J12,SUM(N13:N15))</f>
        <v>0</v>
      </c>
      <c r="P12" s="18" t="s">
        <v>168</v>
      </c>
      <c r="Q12" s="22">
        <f>IF(P12="HS",H12,0)</f>
        <v>0</v>
      </c>
      <c r="R12" s="22">
        <f>IF(P12="HS",I12-O12,0)</f>
        <v>0</v>
      </c>
      <c r="S12" s="22">
        <f>IF(P12="PS",H12,0)</f>
        <v>0</v>
      </c>
      <c r="T12" s="22">
        <f>IF(P12="PS",I12-O12,0)</f>
        <v>0</v>
      </c>
      <c r="U12" s="22">
        <f>IF(P12="MP",H12,0)</f>
        <v>0</v>
      </c>
      <c r="V12" s="22">
        <f>IF(P12="MP",I12-O12,0)</f>
        <v>0</v>
      </c>
      <c r="W12" s="22">
        <f>IF(P12="OM",H12,0)</f>
        <v>0</v>
      </c>
      <c r="X12" s="18"/>
      <c r="AH12" s="22">
        <f>SUM(Y13:Y15)</f>
        <v>0</v>
      </c>
      <c r="AI12" s="22">
        <f>SUM(Z13:Z15)</f>
        <v>0</v>
      </c>
      <c r="AJ12" s="22">
        <f>SUM(AA13:AA15)</f>
        <v>0</v>
      </c>
    </row>
    <row r="13" spans="1:31" ht="12.75">
      <c r="A13" s="36" t="s">
        <v>7</v>
      </c>
      <c r="B13" s="3"/>
      <c r="C13" s="3" t="s">
        <v>18</v>
      </c>
      <c r="D13" s="3" t="s">
        <v>86</v>
      </c>
      <c r="E13" s="3" t="s">
        <v>194</v>
      </c>
      <c r="F13" s="11">
        <v>76</v>
      </c>
      <c r="G13" s="11">
        <v>0</v>
      </c>
      <c r="H13" s="11">
        <f>ROUND(F13*AD13,2)</f>
        <v>0</v>
      </c>
      <c r="I13" s="11">
        <f>J13-H13</f>
        <v>0</v>
      </c>
      <c r="J13" s="11">
        <f>ROUND(F13*G13,2)</f>
        <v>0</v>
      </c>
      <c r="K13" s="11">
        <v>0.03781</v>
      </c>
      <c r="L13" s="11">
        <f>F13*K13</f>
        <v>2.8735600000000003</v>
      </c>
      <c r="M13" s="37"/>
      <c r="N13" s="11">
        <f>IF(M13="5",I13,0)</f>
        <v>0</v>
      </c>
      <c r="Y13" s="11">
        <f>IF(AC13=0,J13,0)</f>
        <v>0</v>
      </c>
      <c r="Z13" s="11">
        <f>IF(AC13=15,J13,0)</f>
        <v>0</v>
      </c>
      <c r="AA13" s="11">
        <f>IF(AC13=21,J13,0)</f>
        <v>0</v>
      </c>
      <c r="AC13" s="20">
        <v>15</v>
      </c>
      <c r="AD13" s="20">
        <f>G13*0.332748538011696</f>
        <v>0</v>
      </c>
      <c r="AE13" s="20">
        <f>G13*(1-0.332748538011696)</f>
        <v>0</v>
      </c>
    </row>
    <row r="14" spans="1:31" ht="12.75">
      <c r="A14" s="36" t="s">
        <v>8</v>
      </c>
      <c r="B14" s="3"/>
      <c r="C14" s="3" t="s">
        <v>19</v>
      </c>
      <c r="D14" s="3" t="s">
        <v>87</v>
      </c>
      <c r="E14" s="3" t="s">
        <v>148</v>
      </c>
      <c r="F14" s="11">
        <v>19</v>
      </c>
      <c r="G14" s="11">
        <v>0</v>
      </c>
      <c r="H14" s="11">
        <f>ROUND(F14*AD14,2)</f>
        <v>0</v>
      </c>
      <c r="I14" s="11">
        <f>J14-H14</f>
        <v>0</v>
      </c>
      <c r="J14" s="11">
        <f>ROUND(F14*G14,2)</f>
        <v>0</v>
      </c>
      <c r="K14" s="11">
        <v>0</v>
      </c>
      <c r="L14" s="11">
        <f>F14*K14</f>
        <v>0</v>
      </c>
      <c r="M14" s="37"/>
      <c r="N14" s="11">
        <f>IF(M14="5",I14,0)</f>
        <v>0</v>
      </c>
      <c r="Y14" s="11">
        <f>IF(AC14=0,J14,0)</f>
        <v>0</v>
      </c>
      <c r="Z14" s="11">
        <f>IF(AC14=15,J14,0)</f>
        <v>0</v>
      </c>
      <c r="AA14" s="11">
        <f>IF(AC14=21,J14,0)</f>
        <v>0</v>
      </c>
      <c r="AC14" s="20">
        <v>15</v>
      </c>
      <c r="AD14" s="20">
        <f>G14*0</f>
        <v>0</v>
      </c>
      <c r="AE14" s="20">
        <f>G14*(1-0)</f>
        <v>0</v>
      </c>
    </row>
    <row r="15" spans="1:31" ht="12.75">
      <c r="A15" s="36" t="s">
        <v>9</v>
      </c>
      <c r="B15" s="3"/>
      <c r="C15" s="3" t="s">
        <v>20</v>
      </c>
      <c r="D15" s="3" t="s">
        <v>88</v>
      </c>
      <c r="E15" s="3" t="s">
        <v>148</v>
      </c>
      <c r="F15" s="11">
        <v>19</v>
      </c>
      <c r="G15" s="11">
        <v>0</v>
      </c>
      <c r="H15" s="11">
        <f>ROUND(F15*AD15,2)</f>
        <v>0</v>
      </c>
      <c r="I15" s="11">
        <f>J15-H15</f>
        <v>0</v>
      </c>
      <c r="J15" s="11">
        <f>ROUND(F15*G15,2)</f>
        <v>0</v>
      </c>
      <c r="K15" s="11">
        <v>0.064</v>
      </c>
      <c r="L15" s="11">
        <f>F15*K15</f>
        <v>1.216</v>
      </c>
      <c r="M15" s="37"/>
      <c r="N15" s="11">
        <f>IF(M15="5",I15,0)</f>
        <v>0</v>
      </c>
      <c r="Y15" s="11">
        <f>IF(AC15=0,J15,0)</f>
        <v>0</v>
      </c>
      <c r="Z15" s="11">
        <f>IF(AC15=15,J15,0)</f>
        <v>0</v>
      </c>
      <c r="AA15" s="11">
        <f>IF(AC15=21,J15,0)</f>
        <v>0</v>
      </c>
      <c r="AC15" s="20">
        <v>15</v>
      </c>
      <c r="AD15" s="20">
        <f>G15*0.492171581769437</f>
        <v>0</v>
      </c>
      <c r="AE15" s="20">
        <f>G15*(1-0.492171581769437)</f>
        <v>0</v>
      </c>
    </row>
    <row r="16" spans="1:36" ht="12.75">
      <c r="A16" s="38"/>
      <c r="B16" s="8"/>
      <c r="C16" s="8" t="s">
        <v>14</v>
      </c>
      <c r="D16" s="51" t="s">
        <v>89</v>
      </c>
      <c r="E16" s="50"/>
      <c r="F16" s="50"/>
      <c r="G16" s="50"/>
      <c r="H16" s="22">
        <f>SUM(H17:H19)</f>
        <v>0</v>
      </c>
      <c r="I16" s="22">
        <f>SUM(I17:I19)</f>
        <v>0</v>
      </c>
      <c r="J16" s="22">
        <f>H16+I16</f>
        <v>0</v>
      </c>
      <c r="K16" s="18"/>
      <c r="L16" s="22">
        <f>SUM(L17:L19)</f>
        <v>11.82803</v>
      </c>
      <c r="M16" s="35"/>
      <c r="O16" s="22">
        <f>IF(P16="PR",J16,SUM(N17:N19))</f>
        <v>0</v>
      </c>
      <c r="P16" s="18" t="s">
        <v>168</v>
      </c>
      <c r="Q16" s="22">
        <f>IF(P16="HS",H16,0)</f>
        <v>0</v>
      </c>
      <c r="R16" s="22">
        <f>IF(P16="HS",I16-O16,0)</f>
        <v>0</v>
      </c>
      <c r="S16" s="22">
        <f>IF(P16="PS",H16,0)</f>
        <v>0</v>
      </c>
      <c r="T16" s="22">
        <f>IF(P16="PS",I16-O16,0)</f>
        <v>0</v>
      </c>
      <c r="U16" s="22">
        <f>IF(P16="MP",H16,0)</f>
        <v>0</v>
      </c>
      <c r="V16" s="22">
        <f>IF(P16="MP",I16-O16,0)</f>
        <v>0</v>
      </c>
      <c r="W16" s="22">
        <f>IF(P16="OM",H16,0)</f>
        <v>0</v>
      </c>
      <c r="X16" s="18"/>
      <c r="AH16" s="22">
        <f>SUM(Y17:Y19)</f>
        <v>0</v>
      </c>
      <c r="AI16" s="22">
        <f>SUM(Z17:Z19)</f>
        <v>0</v>
      </c>
      <c r="AJ16" s="22">
        <f>SUM(AA17:AA19)</f>
        <v>0</v>
      </c>
    </row>
    <row r="17" spans="1:31" ht="12.75">
      <c r="A17" s="36" t="s">
        <v>10</v>
      </c>
      <c r="B17" s="3"/>
      <c r="C17" s="3" t="s">
        <v>21</v>
      </c>
      <c r="D17" s="3" t="s">
        <v>90</v>
      </c>
      <c r="E17" s="3" t="s">
        <v>149</v>
      </c>
      <c r="F17" s="11">
        <v>2</v>
      </c>
      <c r="G17" s="11">
        <v>0</v>
      </c>
      <c r="H17" s="11">
        <f>ROUND(F17*AD17,2)</f>
        <v>0</v>
      </c>
      <c r="I17" s="11">
        <f>J17-H17</f>
        <v>0</v>
      </c>
      <c r="J17" s="11">
        <f>ROUND(F17*G17,2)</f>
        <v>0</v>
      </c>
      <c r="K17" s="11">
        <v>2.5</v>
      </c>
      <c r="L17" s="11">
        <f>F17*K17</f>
        <v>5</v>
      </c>
      <c r="M17" s="37"/>
      <c r="N17" s="11">
        <f>IF(M17="5",I17,0)</f>
        <v>0</v>
      </c>
      <c r="Y17" s="11">
        <f>IF(AC17=0,J17,0)</f>
        <v>0</v>
      </c>
      <c r="Z17" s="11">
        <f>IF(AC17=15,J17,0)</f>
        <v>0</v>
      </c>
      <c r="AA17" s="11">
        <f>IF(AC17=21,J17,0)</f>
        <v>0</v>
      </c>
      <c r="AC17" s="20">
        <v>15</v>
      </c>
      <c r="AD17" s="20">
        <f>G17*0.601696180112172</f>
        <v>0</v>
      </c>
      <c r="AE17" s="20">
        <f>G17*(1-0.601696180112172)</f>
        <v>0</v>
      </c>
    </row>
    <row r="18" spans="1:31" ht="12.75">
      <c r="A18" s="36" t="s">
        <v>11</v>
      </c>
      <c r="B18" s="3"/>
      <c r="C18" s="3" t="s">
        <v>22</v>
      </c>
      <c r="D18" s="3" t="s">
        <v>91</v>
      </c>
      <c r="E18" s="3" t="s">
        <v>148</v>
      </c>
      <c r="F18" s="11">
        <v>19</v>
      </c>
      <c r="G18" s="11">
        <v>0</v>
      </c>
      <c r="H18" s="11">
        <f>ROUND(F18*AD18,2)</f>
        <v>0</v>
      </c>
      <c r="I18" s="11">
        <f>J18-H18</f>
        <v>0</v>
      </c>
      <c r="J18" s="11">
        <f>ROUND(F18*G18,2)</f>
        <v>0</v>
      </c>
      <c r="K18" s="11">
        <v>0.09182</v>
      </c>
      <c r="L18" s="11">
        <f>F18*K18</f>
        <v>1.74458</v>
      </c>
      <c r="M18" s="37"/>
      <c r="N18" s="11">
        <f>IF(M18="5",I18,0)</f>
        <v>0</v>
      </c>
      <c r="Y18" s="11">
        <f>IF(AC18=0,J18,0)</f>
        <v>0</v>
      </c>
      <c r="Z18" s="11">
        <f>IF(AC18=15,J18,0)</f>
        <v>0</v>
      </c>
      <c r="AA18" s="11">
        <f>IF(AC18=21,J18,0)</f>
        <v>0</v>
      </c>
      <c r="AC18" s="20">
        <v>15</v>
      </c>
      <c r="AD18" s="20">
        <f>G18*0.396268412438625</f>
        <v>0</v>
      </c>
      <c r="AE18" s="20">
        <f>G18*(1-0.396268412438625)</f>
        <v>0</v>
      </c>
    </row>
    <row r="19" spans="1:31" ht="12.75">
      <c r="A19" s="36" t="s">
        <v>12</v>
      </c>
      <c r="B19" s="3"/>
      <c r="C19" s="3" t="s">
        <v>23</v>
      </c>
      <c r="D19" s="3" t="s">
        <v>92</v>
      </c>
      <c r="E19" s="3" t="s">
        <v>148</v>
      </c>
      <c r="F19" s="11">
        <v>19</v>
      </c>
      <c r="G19" s="11">
        <v>0</v>
      </c>
      <c r="H19" s="11">
        <f>ROUND(F19*AD19,2)</f>
        <v>0</v>
      </c>
      <c r="I19" s="11">
        <f>J19-H19</f>
        <v>0</v>
      </c>
      <c r="J19" s="11">
        <f>ROUND(F19*G19,2)</f>
        <v>0</v>
      </c>
      <c r="K19" s="11">
        <v>0.26755</v>
      </c>
      <c r="L19" s="11">
        <f>F19*K19</f>
        <v>5.08345</v>
      </c>
      <c r="M19" s="37"/>
      <c r="N19" s="11">
        <f>IF(M19="5",I19,0)</f>
        <v>0</v>
      </c>
      <c r="Y19" s="11">
        <f>IF(AC19=0,J19,0)</f>
        <v>0</v>
      </c>
      <c r="Z19" s="11">
        <f>IF(AC19=15,J19,0)</f>
        <v>0</v>
      </c>
      <c r="AA19" s="11">
        <f>IF(AC19=21,J19,0)</f>
        <v>0</v>
      </c>
      <c r="AC19" s="20">
        <v>15</v>
      </c>
      <c r="AD19" s="20">
        <f>G19*0.716487889273356</f>
        <v>0</v>
      </c>
      <c r="AE19" s="20">
        <f>G19*(1-0.716487889273356)</f>
        <v>0</v>
      </c>
    </row>
    <row r="20" spans="1:36" ht="12.75">
      <c r="A20" s="38"/>
      <c r="B20" s="8"/>
      <c r="C20" s="8" t="s">
        <v>24</v>
      </c>
      <c r="D20" s="51" t="s">
        <v>202</v>
      </c>
      <c r="E20" s="50"/>
      <c r="F20" s="50"/>
      <c r="G20" s="50"/>
      <c r="H20" s="22">
        <f>SUM(H22:H48)</f>
        <v>0</v>
      </c>
      <c r="I20" s="22">
        <f>SUM(I22:I48)</f>
        <v>0</v>
      </c>
      <c r="J20" s="22">
        <f>SUM(J21:J48)</f>
        <v>0</v>
      </c>
      <c r="K20" s="18"/>
      <c r="L20" s="22">
        <f>SUM(L22:L48)</f>
        <v>1.2677499999999997</v>
      </c>
      <c r="M20" s="35"/>
      <c r="O20" s="22">
        <f>IF(P20="PR",J20,SUM(N22:N48))</f>
        <v>0</v>
      </c>
      <c r="P20" s="18" t="s">
        <v>169</v>
      </c>
      <c r="Q20" s="22">
        <f>IF(P20="HS",H20,0)</f>
        <v>0</v>
      </c>
      <c r="R20" s="22">
        <f>IF(P20="HS",I20-O20,0)</f>
        <v>0</v>
      </c>
      <c r="S20" s="22">
        <f>IF(P20="PS",H20,0)</f>
        <v>0</v>
      </c>
      <c r="T20" s="22">
        <f>IF(P20="PS",I20-O20,0)</f>
        <v>0</v>
      </c>
      <c r="U20" s="22">
        <f>IF(P20="MP",H20,0)</f>
        <v>0</v>
      </c>
      <c r="V20" s="22">
        <f>IF(P20="MP",I20-O20,0)</f>
        <v>0</v>
      </c>
      <c r="W20" s="22">
        <f>IF(P20="OM",H20,0)</f>
        <v>0</v>
      </c>
      <c r="X20" s="18"/>
      <c r="AH20" s="22">
        <f>SUM(Y22:Y48)</f>
        <v>0</v>
      </c>
      <c r="AI20" s="22">
        <f>SUM(Z22:Z48)</f>
        <v>0</v>
      </c>
      <c r="AJ20" s="22">
        <f>SUM(AA22:AA48)</f>
        <v>0</v>
      </c>
    </row>
    <row r="21" spans="1:36" ht="25.5">
      <c r="A21" s="39"/>
      <c r="B21" s="24"/>
      <c r="C21" s="3" t="s">
        <v>190</v>
      </c>
      <c r="D21" s="30" t="s">
        <v>191</v>
      </c>
      <c r="E21" s="3" t="s">
        <v>152</v>
      </c>
      <c r="F21" s="11">
        <v>1</v>
      </c>
      <c r="G21" s="11">
        <v>0</v>
      </c>
      <c r="H21" s="11">
        <v>0.00497</v>
      </c>
      <c r="I21" s="11">
        <v>0.00497</v>
      </c>
      <c r="J21" s="11">
        <f>+F21*G21</f>
        <v>0</v>
      </c>
      <c r="K21" s="11">
        <v>0.00497</v>
      </c>
      <c r="L21" s="11">
        <v>0.00497</v>
      </c>
      <c r="M21" s="35"/>
      <c r="O21" s="22"/>
      <c r="P21" s="18"/>
      <c r="Q21" s="22"/>
      <c r="R21" s="22"/>
      <c r="S21" s="22"/>
      <c r="T21" s="22"/>
      <c r="U21" s="22"/>
      <c r="V21" s="22"/>
      <c r="W21" s="22"/>
      <c r="X21" s="18"/>
      <c r="AH21" s="22"/>
      <c r="AI21" s="22"/>
      <c r="AJ21" s="22"/>
    </row>
    <row r="22" spans="1:31" ht="12.75">
      <c r="A22" s="40">
        <v>7</v>
      </c>
      <c r="B22" s="3"/>
      <c r="C22" s="3" t="s">
        <v>25</v>
      </c>
      <c r="D22" s="3" t="s">
        <v>200</v>
      </c>
      <c r="E22" s="3" t="s">
        <v>150</v>
      </c>
      <c r="F22" s="11">
        <v>37</v>
      </c>
      <c r="G22" s="11">
        <v>0</v>
      </c>
      <c r="H22" s="11">
        <f aca="true" t="shared" si="0" ref="H22:H48">ROUND(F22*AD22,2)</f>
        <v>0</v>
      </c>
      <c r="I22" s="11">
        <f aca="true" t="shared" si="1" ref="I22:I48">J22-H22</f>
        <v>0</v>
      </c>
      <c r="J22" s="11">
        <f aca="true" t="shared" si="2" ref="J22:J48">ROUND(F22*G22,2)</f>
        <v>0</v>
      </c>
      <c r="K22" s="11">
        <v>0.00497</v>
      </c>
      <c r="L22" s="11">
        <f aca="true" t="shared" si="3" ref="L22:L48">F22*K22</f>
        <v>0.18389</v>
      </c>
      <c r="M22" s="37"/>
      <c r="N22" s="11">
        <f aca="true" t="shared" si="4" ref="N22:N48">IF(M22="5",I22,0)</f>
        <v>0</v>
      </c>
      <c r="Y22" s="11">
        <f aca="true" t="shared" si="5" ref="Y22:Y48">IF(AC22=0,J22,0)</f>
        <v>0</v>
      </c>
      <c r="Z22" s="11">
        <f aca="true" t="shared" si="6" ref="Z22:Z48">IF(AC22=15,J22,0)</f>
        <v>0</v>
      </c>
      <c r="AA22" s="11">
        <f aca="true" t="shared" si="7" ref="AA22:AA48">IF(AC22=21,J22,0)</f>
        <v>0</v>
      </c>
      <c r="AC22" s="20">
        <v>15</v>
      </c>
      <c r="AD22" s="20">
        <f>G22*0</f>
        <v>0</v>
      </c>
      <c r="AE22" s="20">
        <f>G22*(1-0)</f>
        <v>0</v>
      </c>
    </row>
    <row r="23" spans="1:31" ht="12.75">
      <c r="A23" s="40">
        <v>8</v>
      </c>
      <c r="B23" s="3"/>
      <c r="C23" s="3" t="s">
        <v>26</v>
      </c>
      <c r="D23" s="3" t="s">
        <v>93</v>
      </c>
      <c r="E23" s="3" t="s">
        <v>150</v>
      </c>
      <c r="F23" s="11">
        <v>120</v>
      </c>
      <c r="G23" s="11">
        <v>0</v>
      </c>
      <c r="H23" s="11">
        <f t="shared" si="0"/>
        <v>0</v>
      </c>
      <c r="I23" s="11">
        <f t="shared" si="1"/>
        <v>0</v>
      </c>
      <c r="J23" s="11">
        <f t="shared" si="2"/>
        <v>0</v>
      </c>
      <c r="K23" s="11">
        <v>0.00213</v>
      </c>
      <c r="L23" s="11">
        <f t="shared" si="3"/>
        <v>0.2556</v>
      </c>
      <c r="M23" s="37"/>
      <c r="N23" s="11">
        <f t="shared" si="4"/>
        <v>0</v>
      </c>
      <c r="Y23" s="11">
        <f t="shared" si="5"/>
        <v>0</v>
      </c>
      <c r="Z23" s="11">
        <f t="shared" si="6"/>
        <v>0</v>
      </c>
      <c r="AA23" s="11">
        <f t="shared" si="7"/>
        <v>0</v>
      </c>
      <c r="AC23" s="20">
        <v>15</v>
      </c>
      <c r="AD23" s="20">
        <f>G23*0</f>
        <v>0</v>
      </c>
      <c r="AE23" s="20">
        <f>G23*(1-0)</f>
        <v>0</v>
      </c>
    </row>
    <row r="24" spans="1:31" ht="28.5" customHeight="1">
      <c r="A24" s="40">
        <v>9</v>
      </c>
      <c r="B24" s="3"/>
      <c r="C24" s="3" t="s">
        <v>27</v>
      </c>
      <c r="D24" s="25" t="s">
        <v>196</v>
      </c>
      <c r="E24" s="3" t="s">
        <v>195</v>
      </c>
      <c r="F24" s="11">
        <v>8</v>
      </c>
      <c r="G24" s="11">
        <v>0</v>
      </c>
      <c r="H24" s="11">
        <f t="shared" si="0"/>
        <v>0</v>
      </c>
      <c r="I24" s="11">
        <f t="shared" si="1"/>
        <v>0</v>
      </c>
      <c r="J24" s="11">
        <f t="shared" si="2"/>
        <v>0</v>
      </c>
      <c r="K24" s="11">
        <v>0.00466</v>
      </c>
      <c r="L24" s="11">
        <f t="shared" si="3"/>
        <v>0.03728</v>
      </c>
      <c r="M24" s="37"/>
      <c r="N24" s="11">
        <f t="shared" si="4"/>
        <v>0</v>
      </c>
      <c r="Y24" s="11">
        <f t="shared" si="5"/>
        <v>0</v>
      </c>
      <c r="Z24" s="11">
        <f t="shared" si="6"/>
        <v>0</v>
      </c>
      <c r="AA24" s="11">
        <f t="shared" si="7"/>
        <v>0</v>
      </c>
      <c r="AC24" s="20">
        <v>15</v>
      </c>
      <c r="AD24" s="20">
        <f>G24*0.775655364413189</f>
        <v>0</v>
      </c>
      <c r="AE24" s="20">
        <f>G24*(1-0.775655364413189)</f>
        <v>0</v>
      </c>
    </row>
    <row r="25" spans="1:31" ht="12.75">
      <c r="A25" s="40">
        <v>10</v>
      </c>
      <c r="B25" s="3"/>
      <c r="C25" s="3" t="s">
        <v>28</v>
      </c>
      <c r="D25" s="3" t="s">
        <v>94</v>
      </c>
      <c r="E25" s="3" t="s">
        <v>150</v>
      </c>
      <c r="F25" s="11">
        <v>58</v>
      </c>
      <c r="G25" s="11">
        <v>0</v>
      </c>
      <c r="H25" s="11">
        <f t="shared" si="0"/>
        <v>0</v>
      </c>
      <c r="I25" s="11">
        <f t="shared" si="1"/>
        <v>0</v>
      </c>
      <c r="J25" s="11">
        <f t="shared" si="2"/>
        <v>0</v>
      </c>
      <c r="K25" s="11">
        <v>0.00535</v>
      </c>
      <c r="L25" s="11">
        <f t="shared" si="3"/>
        <v>0.31029999999999996</v>
      </c>
      <c r="M25" s="37"/>
      <c r="N25" s="11">
        <f t="shared" si="4"/>
        <v>0</v>
      </c>
      <c r="Y25" s="11">
        <f t="shared" si="5"/>
        <v>0</v>
      </c>
      <c r="Z25" s="11">
        <f t="shared" si="6"/>
        <v>0</v>
      </c>
      <c r="AA25" s="11">
        <f t="shared" si="7"/>
        <v>0</v>
      </c>
      <c r="AC25" s="20">
        <v>15</v>
      </c>
      <c r="AD25" s="20">
        <f>G25*0.450576900202212</f>
        <v>0</v>
      </c>
      <c r="AE25" s="20">
        <f>G25*(1-0.450576900202212)</f>
        <v>0</v>
      </c>
    </row>
    <row r="26" spans="1:31" ht="12.75">
      <c r="A26" s="40">
        <v>11</v>
      </c>
      <c r="B26" s="3"/>
      <c r="C26" s="3" t="s">
        <v>29</v>
      </c>
      <c r="D26" s="3" t="s">
        <v>95</v>
      </c>
      <c r="E26" s="3" t="s">
        <v>150</v>
      </c>
      <c r="F26" s="11">
        <v>11</v>
      </c>
      <c r="G26" s="11">
        <v>0</v>
      </c>
      <c r="H26" s="11">
        <f t="shared" si="0"/>
        <v>0</v>
      </c>
      <c r="I26" s="11">
        <f t="shared" si="1"/>
        <v>0</v>
      </c>
      <c r="J26" s="11">
        <f t="shared" si="2"/>
        <v>0</v>
      </c>
      <c r="K26" s="11">
        <v>0.00398</v>
      </c>
      <c r="L26" s="11">
        <f t="shared" si="3"/>
        <v>0.04378</v>
      </c>
      <c r="M26" s="37"/>
      <c r="N26" s="11">
        <f t="shared" si="4"/>
        <v>0</v>
      </c>
      <c r="Y26" s="11">
        <f t="shared" si="5"/>
        <v>0</v>
      </c>
      <c r="Z26" s="11">
        <f t="shared" si="6"/>
        <v>0</v>
      </c>
      <c r="AA26" s="11">
        <f t="shared" si="7"/>
        <v>0</v>
      </c>
      <c r="AC26" s="20">
        <v>15</v>
      </c>
      <c r="AD26" s="20">
        <f>G26*0.380176510522743</f>
        <v>0</v>
      </c>
      <c r="AE26" s="20">
        <f>G26*(1-0.380176510522743)</f>
        <v>0</v>
      </c>
    </row>
    <row r="27" spans="1:31" ht="12.75">
      <c r="A27" s="40">
        <v>12</v>
      </c>
      <c r="B27" s="3"/>
      <c r="C27" s="3" t="s">
        <v>29</v>
      </c>
      <c r="D27" s="3" t="s">
        <v>197</v>
      </c>
      <c r="E27" s="3" t="s">
        <v>150</v>
      </c>
      <c r="F27" s="11">
        <v>35</v>
      </c>
      <c r="G27" s="11">
        <v>0</v>
      </c>
      <c r="H27" s="11">
        <f t="shared" si="0"/>
        <v>0</v>
      </c>
      <c r="I27" s="11">
        <f>J27-H27</f>
        <v>0</v>
      </c>
      <c r="J27" s="11">
        <f>ROUND(F27*G27,2)</f>
        <v>0</v>
      </c>
      <c r="K27" s="11">
        <v>0.00398</v>
      </c>
      <c r="L27" s="11">
        <f>F27*K27</f>
        <v>0.1393</v>
      </c>
      <c r="M27" s="37"/>
      <c r="N27" s="11">
        <f t="shared" si="4"/>
        <v>0</v>
      </c>
      <c r="Y27" s="11">
        <f t="shared" si="5"/>
        <v>0</v>
      </c>
      <c r="Z27" s="11">
        <f t="shared" si="6"/>
        <v>0</v>
      </c>
      <c r="AA27" s="11">
        <f t="shared" si="7"/>
        <v>0</v>
      </c>
      <c r="AC27" s="20">
        <v>15</v>
      </c>
      <c r="AD27" s="20">
        <f>G27*0.380176510522743</f>
        <v>0</v>
      </c>
      <c r="AE27" s="20">
        <f>G27*(1-0.380176510522743)</f>
        <v>0</v>
      </c>
    </row>
    <row r="28" spans="1:31" ht="12.75">
      <c r="A28" s="40">
        <v>13</v>
      </c>
      <c r="B28" s="3"/>
      <c r="C28" s="3" t="s">
        <v>30</v>
      </c>
      <c r="D28" s="3" t="s">
        <v>96</v>
      </c>
      <c r="E28" s="3" t="s">
        <v>150</v>
      </c>
      <c r="F28" s="11">
        <v>3</v>
      </c>
      <c r="G28" s="11">
        <v>0</v>
      </c>
      <c r="H28" s="11">
        <f t="shared" si="0"/>
        <v>0</v>
      </c>
      <c r="I28" s="11">
        <f t="shared" si="1"/>
        <v>0</v>
      </c>
      <c r="J28" s="11">
        <f t="shared" si="2"/>
        <v>0</v>
      </c>
      <c r="K28" s="11">
        <v>0.00401</v>
      </c>
      <c r="L28" s="11">
        <f t="shared" si="3"/>
        <v>0.012029999999999999</v>
      </c>
      <c r="M28" s="37"/>
      <c r="N28" s="11">
        <f t="shared" si="4"/>
        <v>0</v>
      </c>
      <c r="Y28" s="11">
        <f t="shared" si="5"/>
        <v>0</v>
      </c>
      <c r="Z28" s="11">
        <f t="shared" si="6"/>
        <v>0</v>
      </c>
      <c r="AA28" s="11">
        <f t="shared" si="7"/>
        <v>0</v>
      </c>
      <c r="AC28" s="20">
        <v>15</v>
      </c>
      <c r="AD28" s="20">
        <f>G28*0.250158013544018</f>
        <v>0</v>
      </c>
      <c r="AE28" s="20">
        <f>G28*(1-0.250158013544018)</f>
        <v>0</v>
      </c>
    </row>
    <row r="29" spans="1:31" ht="12.75">
      <c r="A29" s="40">
        <v>14</v>
      </c>
      <c r="B29" s="3"/>
      <c r="C29" s="3" t="s">
        <v>29</v>
      </c>
      <c r="D29" s="3" t="s">
        <v>198</v>
      </c>
      <c r="E29" s="3" t="s">
        <v>150</v>
      </c>
      <c r="F29" s="11">
        <v>46</v>
      </c>
      <c r="G29" s="11">
        <v>0</v>
      </c>
      <c r="H29" s="11">
        <f t="shared" si="0"/>
        <v>0</v>
      </c>
      <c r="I29" s="11">
        <f t="shared" si="1"/>
        <v>0</v>
      </c>
      <c r="J29" s="11">
        <f t="shared" si="2"/>
        <v>0</v>
      </c>
      <c r="K29" s="11">
        <v>0.00398</v>
      </c>
      <c r="L29" s="11">
        <f t="shared" si="3"/>
        <v>0.18308</v>
      </c>
      <c r="M29" s="37"/>
      <c r="N29" s="11">
        <f t="shared" si="4"/>
        <v>0</v>
      </c>
      <c r="Y29" s="11">
        <f t="shared" si="5"/>
        <v>0</v>
      </c>
      <c r="Z29" s="11">
        <f t="shared" si="6"/>
        <v>0</v>
      </c>
      <c r="AA29" s="11">
        <f t="shared" si="7"/>
        <v>0</v>
      </c>
      <c r="AC29" s="20">
        <v>15</v>
      </c>
      <c r="AD29" s="20">
        <f>G29*0.380176510522743</f>
        <v>0</v>
      </c>
      <c r="AE29" s="20">
        <f>G29*(1-0.380176510522743)</f>
        <v>0</v>
      </c>
    </row>
    <row r="30" spans="1:31" ht="12.75">
      <c r="A30" s="40">
        <v>15</v>
      </c>
      <c r="B30" s="3"/>
      <c r="C30" s="3" t="s">
        <v>31</v>
      </c>
      <c r="D30" s="3" t="s">
        <v>98</v>
      </c>
      <c r="E30" s="3" t="s">
        <v>150</v>
      </c>
      <c r="F30" s="11">
        <v>58</v>
      </c>
      <c r="G30" s="11">
        <v>0</v>
      </c>
      <c r="H30" s="11">
        <f t="shared" si="0"/>
        <v>0</v>
      </c>
      <c r="I30" s="11">
        <f t="shared" si="1"/>
        <v>0</v>
      </c>
      <c r="J30" s="11">
        <f t="shared" si="2"/>
        <v>0</v>
      </c>
      <c r="K30" s="11">
        <v>0.00028</v>
      </c>
      <c r="L30" s="11">
        <f t="shared" si="3"/>
        <v>0.016239999999999997</v>
      </c>
      <c r="M30" s="37"/>
      <c r="N30" s="11">
        <f t="shared" si="4"/>
        <v>0</v>
      </c>
      <c r="Y30" s="11">
        <f t="shared" si="5"/>
        <v>0</v>
      </c>
      <c r="Z30" s="11">
        <f t="shared" si="6"/>
        <v>0</v>
      </c>
      <c r="AA30" s="11">
        <f t="shared" si="7"/>
        <v>0</v>
      </c>
      <c r="AC30" s="20">
        <v>15</v>
      </c>
      <c r="AD30" s="20">
        <f>G30*0.11478102189781</f>
        <v>0</v>
      </c>
      <c r="AE30" s="20">
        <f>G30*(1-0.11478102189781)</f>
        <v>0</v>
      </c>
    </row>
    <row r="31" spans="1:31" ht="12.75">
      <c r="A31" s="40">
        <v>16</v>
      </c>
      <c r="B31" s="3"/>
      <c r="C31" s="3" t="s">
        <v>32</v>
      </c>
      <c r="D31" s="3" t="s">
        <v>97</v>
      </c>
      <c r="E31" s="3" t="s">
        <v>150</v>
      </c>
      <c r="F31" s="11">
        <v>14</v>
      </c>
      <c r="G31" s="11">
        <v>0</v>
      </c>
      <c r="H31" s="11">
        <f t="shared" si="0"/>
        <v>0</v>
      </c>
      <c r="I31" s="11">
        <f t="shared" si="1"/>
        <v>0</v>
      </c>
      <c r="J31" s="11">
        <f t="shared" si="2"/>
        <v>0</v>
      </c>
      <c r="K31" s="11">
        <v>0.00028</v>
      </c>
      <c r="L31" s="11">
        <f t="shared" si="3"/>
        <v>0.00392</v>
      </c>
      <c r="M31" s="37"/>
      <c r="N31" s="11">
        <f t="shared" si="4"/>
        <v>0</v>
      </c>
      <c r="Y31" s="11">
        <f t="shared" si="5"/>
        <v>0</v>
      </c>
      <c r="Z31" s="11">
        <f t="shared" si="6"/>
        <v>0</v>
      </c>
      <c r="AA31" s="11">
        <f t="shared" si="7"/>
        <v>0</v>
      </c>
      <c r="AC31" s="20">
        <v>15</v>
      </c>
      <c r="AD31" s="20">
        <f>G31*0.0944586274215348</f>
        <v>0</v>
      </c>
      <c r="AE31" s="20">
        <f>G31*(1-0.0944586274215348)</f>
        <v>0</v>
      </c>
    </row>
    <row r="32" spans="1:31" ht="12.75">
      <c r="A32" s="40">
        <v>16</v>
      </c>
      <c r="B32" s="3"/>
      <c r="C32" s="3" t="s">
        <v>32</v>
      </c>
      <c r="D32" s="3" t="s">
        <v>199</v>
      </c>
      <c r="E32" s="3" t="s">
        <v>150</v>
      </c>
      <c r="F32" s="11">
        <v>81</v>
      </c>
      <c r="G32" s="11">
        <v>0</v>
      </c>
      <c r="H32" s="11">
        <f t="shared" si="0"/>
        <v>0</v>
      </c>
      <c r="I32" s="11">
        <f>J32-H32</f>
        <v>0</v>
      </c>
      <c r="J32" s="11">
        <f>ROUND(F32*G32,2)</f>
        <v>0</v>
      </c>
      <c r="K32" s="11">
        <v>0.00028</v>
      </c>
      <c r="L32" s="11">
        <f>F32*K32</f>
        <v>0.02268</v>
      </c>
      <c r="M32" s="37"/>
      <c r="N32" s="11">
        <f t="shared" si="4"/>
        <v>0</v>
      </c>
      <c r="Y32" s="11">
        <f t="shared" si="5"/>
        <v>0</v>
      </c>
      <c r="Z32" s="11">
        <f t="shared" si="6"/>
        <v>0</v>
      </c>
      <c r="AA32" s="11">
        <f t="shared" si="7"/>
        <v>0</v>
      </c>
      <c r="AC32" s="20">
        <v>15</v>
      </c>
      <c r="AD32" s="20">
        <f>G32*0.0944586274215348</f>
        <v>0</v>
      </c>
      <c r="AE32" s="20">
        <f>G32*(1-0.0944586274215348)</f>
        <v>0</v>
      </c>
    </row>
    <row r="33" spans="1:31" ht="12.75">
      <c r="A33" s="40">
        <v>16</v>
      </c>
      <c r="B33" s="3"/>
      <c r="C33" s="3" t="s">
        <v>32</v>
      </c>
      <c r="D33" s="3" t="s">
        <v>99</v>
      </c>
      <c r="E33" s="3" t="s">
        <v>150</v>
      </c>
      <c r="F33" s="11">
        <v>30</v>
      </c>
      <c r="G33" s="11">
        <v>0</v>
      </c>
      <c r="H33" s="11">
        <f t="shared" si="0"/>
        <v>0</v>
      </c>
      <c r="I33" s="11">
        <f>J33-H33</f>
        <v>0</v>
      </c>
      <c r="J33" s="11">
        <f>ROUND(F33*G33,2)</f>
        <v>0</v>
      </c>
      <c r="K33" s="11">
        <v>0.00028</v>
      </c>
      <c r="L33" s="11">
        <f>F33*K33</f>
        <v>0.0084</v>
      </c>
      <c r="M33" s="37"/>
      <c r="N33" s="11">
        <f t="shared" si="4"/>
        <v>0</v>
      </c>
      <c r="Y33" s="11">
        <f t="shared" si="5"/>
        <v>0</v>
      </c>
      <c r="Z33" s="11">
        <f t="shared" si="6"/>
        <v>0</v>
      </c>
      <c r="AA33" s="11">
        <f t="shared" si="7"/>
        <v>0</v>
      </c>
      <c r="AC33" s="20">
        <v>15</v>
      </c>
      <c r="AD33" s="20">
        <f>G33*0.0944586274215348</f>
        <v>0</v>
      </c>
      <c r="AE33" s="20">
        <f>G33*(1-0.0944586274215348)</f>
        <v>0</v>
      </c>
    </row>
    <row r="34" spans="1:31" ht="12.75">
      <c r="A34" s="40">
        <v>19</v>
      </c>
      <c r="B34" s="3"/>
      <c r="C34" s="3" t="s">
        <v>33</v>
      </c>
      <c r="D34" s="3" t="s">
        <v>100</v>
      </c>
      <c r="E34" s="3" t="s">
        <v>150</v>
      </c>
      <c r="F34" s="11">
        <v>58</v>
      </c>
      <c r="G34" s="11">
        <v>0</v>
      </c>
      <c r="H34" s="11">
        <f t="shared" si="0"/>
        <v>0</v>
      </c>
      <c r="I34" s="11">
        <f t="shared" si="1"/>
        <v>0</v>
      </c>
      <c r="J34" s="11">
        <f t="shared" si="2"/>
        <v>0</v>
      </c>
      <c r="K34" s="11">
        <v>2E-05</v>
      </c>
      <c r="L34" s="11">
        <f t="shared" si="3"/>
        <v>0.00116</v>
      </c>
      <c r="M34" s="37"/>
      <c r="N34" s="11">
        <f t="shared" si="4"/>
        <v>0</v>
      </c>
      <c r="Y34" s="11">
        <f t="shared" si="5"/>
        <v>0</v>
      </c>
      <c r="Z34" s="11">
        <f t="shared" si="6"/>
        <v>0</v>
      </c>
      <c r="AA34" s="11">
        <f t="shared" si="7"/>
        <v>0</v>
      </c>
      <c r="AC34" s="20">
        <v>15</v>
      </c>
      <c r="AD34" s="20">
        <f>G34*0.287</f>
        <v>0</v>
      </c>
      <c r="AE34" s="20">
        <f>G34*(1-0.287)</f>
        <v>0</v>
      </c>
    </row>
    <row r="35" spans="1:31" ht="12.75">
      <c r="A35" s="40">
        <v>20</v>
      </c>
      <c r="B35" s="3"/>
      <c r="C35" s="3" t="s">
        <v>34</v>
      </c>
      <c r="D35" s="3" t="s">
        <v>100</v>
      </c>
      <c r="E35" s="3" t="s">
        <v>150</v>
      </c>
      <c r="F35" s="11">
        <v>46</v>
      </c>
      <c r="G35" s="11">
        <v>0</v>
      </c>
      <c r="H35" s="11">
        <f t="shared" si="0"/>
        <v>0</v>
      </c>
      <c r="I35" s="11">
        <f t="shared" si="1"/>
        <v>0</v>
      </c>
      <c r="J35" s="11">
        <f t="shared" si="2"/>
        <v>0</v>
      </c>
      <c r="K35" s="11">
        <v>5E-05</v>
      </c>
      <c r="L35" s="11">
        <f t="shared" si="3"/>
        <v>0.0023</v>
      </c>
      <c r="M35" s="37"/>
      <c r="N35" s="11">
        <f t="shared" si="4"/>
        <v>0</v>
      </c>
      <c r="Y35" s="11">
        <f t="shared" si="5"/>
        <v>0</v>
      </c>
      <c r="Z35" s="11">
        <f t="shared" si="6"/>
        <v>0</v>
      </c>
      <c r="AA35" s="11">
        <f t="shared" si="7"/>
        <v>0</v>
      </c>
      <c r="AC35" s="20">
        <v>15</v>
      </c>
      <c r="AD35" s="20">
        <f>G35*0.406993407853253</f>
        <v>0</v>
      </c>
      <c r="AE35" s="20">
        <f>G35*(1-0.406993407853253)</f>
        <v>0</v>
      </c>
    </row>
    <row r="36" spans="1:31" ht="12.75">
      <c r="A36" s="40">
        <v>21</v>
      </c>
      <c r="B36" s="3"/>
      <c r="C36" s="3" t="s">
        <v>35</v>
      </c>
      <c r="D36" s="3" t="s">
        <v>101</v>
      </c>
      <c r="E36" s="3" t="s">
        <v>150</v>
      </c>
      <c r="F36" s="11">
        <v>49</v>
      </c>
      <c r="G36" s="11">
        <v>0</v>
      </c>
      <c r="H36" s="11">
        <f t="shared" si="0"/>
        <v>0</v>
      </c>
      <c r="I36" s="11">
        <f t="shared" si="1"/>
        <v>0</v>
      </c>
      <c r="J36" s="11">
        <f t="shared" si="2"/>
        <v>0</v>
      </c>
      <c r="K36" s="11">
        <v>3E-05</v>
      </c>
      <c r="L36" s="11">
        <f t="shared" si="3"/>
        <v>0.00147</v>
      </c>
      <c r="M36" s="37"/>
      <c r="N36" s="11">
        <f t="shared" si="4"/>
        <v>0</v>
      </c>
      <c r="Y36" s="11">
        <f t="shared" si="5"/>
        <v>0</v>
      </c>
      <c r="Z36" s="11">
        <f t="shared" si="6"/>
        <v>0</v>
      </c>
      <c r="AA36" s="11">
        <f t="shared" si="7"/>
        <v>0</v>
      </c>
      <c r="AC36" s="20">
        <v>15</v>
      </c>
      <c r="AD36" s="20">
        <f>G36*0.370546737213404</f>
        <v>0</v>
      </c>
      <c r="AE36" s="20">
        <f>G36*(1-0.370546737213404)</f>
        <v>0</v>
      </c>
    </row>
    <row r="37" spans="1:31" ht="12.75">
      <c r="A37" s="40">
        <v>23</v>
      </c>
      <c r="B37" s="3"/>
      <c r="C37" s="3" t="s">
        <v>36</v>
      </c>
      <c r="D37" s="3" t="s">
        <v>102</v>
      </c>
      <c r="E37" s="3" t="s">
        <v>147</v>
      </c>
      <c r="F37" s="11">
        <v>5</v>
      </c>
      <c r="G37" s="11">
        <v>0</v>
      </c>
      <c r="H37" s="11">
        <f t="shared" si="0"/>
        <v>0</v>
      </c>
      <c r="I37" s="11">
        <f t="shared" si="1"/>
        <v>0</v>
      </c>
      <c r="J37" s="11">
        <f t="shared" si="2"/>
        <v>0</v>
      </c>
      <c r="K37" s="11">
        <v>0.00012</v>
      </c>
      <c r="L37" s="11">
        <f t="shared" si="3"/>
        <v>0.0006000000000000001</v>
      </c>
      <c r="M37" s="37"/>
      <c r="N37" s="11">
        <f t="shared" si="4"/>
        <v>0</v>
      </c>
      <c r="Y37" s="11">
        <f t="shared" si="5"/>
        <v>0</v>
      </c>
      <c r="Z37" s="11">
        <f t="shared" si="6"/>
        <v>0</v>
      </c>
      <c r="AA37" s="11">
        <f t="shared" si="7"/>
        <v>0</v>
      </c>
      <c r="AC37" s="20">
        <v>15</v>
      </c>
      <c r="AD37" s="20">
        <f>G37*0.671533180778032</f>
        <v>0</v>
      </c>
      <c r="AE37" s="20">
        <f>G37*(1-0.671533180778032)</f>
        <v>0</v>
      </c>
    </row>
    <row r="38" spans="1:31" ht="12.75">
      <c r="A38" s="40">
        <v>24</v>
      </c>
      <c r="B38" s="3"/>
      <c r="C38" s="3" t="s">
        <v>37</v>
      </c>
      <c r="D38" s="3" t="s">
        <v>103</v>
      </c>
      <c r="E38" s="3" t="s">
        <v>147</v>
      </c>
      <c r="F38" s="11">
        <v>1</v>
      </c>
      <c r="G38" s="11">
        <v>0</v>
      </c>
      <c r="H38" s="11">
        <f t="shared" si="0"/>
        <v>0</v>
      </c>
      <c r="I38" s="11">
        <f t="shared" si="1"/>
        <v>0</v>
      </c>
      <c r="J38" s="11">
        <f t="shared" si="2"/>
        <v>0</v>
      </c>
      <c r="K38" s="11">
        <v>0.0004</v>
      </c>
      <c r="L38" s="11">
        <f t="shared" si="3"/>
        <v>0.0004</v>
      </c>
      <c r="M38" s="37"/>
      <c r="N38" s="11">
        <f t="shared" si="4"/>
        <v>0</v>
      </c>
      <c r="Y38" s="11">
        <f t="shared" si="5"/>
        <v>0</v>
      </c>
      <c r="Z38" s="11">
        <f t="shared" si="6"/>
        <v>0</v>
      </c>
      <c r="AA38" s="11">
        <f t="shared" si="7"/>
        <v>0</v>
      </c>
      <c r="AC38" s="20">
        <v>15</v>
      </c>
      <c r="AD38" s="20">
        <f>G38*0.815019841269841</f>
        <v>0</v>
      </c>
      <c r="AE38" s="20">
        <f>G38*(1-0.815019841269841)</f>
        <v>0</v>
      </c>
    </row>
    <row r="39" spans="1:31" ht="12.75">
      <c r="A39" s="40">
        <v>25</v>
      </c>
      <c r="B39" s="3"/>
      <c r="C39" s="3" t="s">
        <v>38</v>
      </c>
      <c r="D39" s="3" t="s">
        <v>104</v>
      </c>
      <c r="E39" s="3" t="s">
        <v>147</v>
      </c>
      <c r="F39" s="11">
        <v>1</v>
      </c>
      <c r="G39" s="11">
        <v>0</v>
      </c>
      <c r="H39" s="11">
        <f t="shared" si="0"/>
        <v>0</v>
      </c>
      <c r="I39" s="11">
        <f t="shared" si="1"/>
        <v>0</v>
      </c>
      <c r="J39" s="11">
        <f t="shared" si="2"/>
        <v>0</v>
      </c>
      <c r="K39" s="11">
        <v>0.00063</v>
      </c>
      <c r="L39" s="11">
        <f t="shared" si="3"/>
        <v>0.00063</v>
      </c>
      <c r="M39" s="37"/>
      <c r="N39" s="11">
        <f t="shared" si="4"/>
        <v>0</v>
      </c>
      <c r="Y39" s="11">
        <f t="shared" si="5"/>
        <v>0</v>
      </c>
      <c r="Z39" s="11">
        <f t="shared" si="6"/>
        <v>0</v>
      </c>
      <c r="AA39" s="11">
        <f t="shared" si="7"/>
        <v>0</v>
      </c>
      <c r="AC39" s="20">
        <v>15</v>
      </c>
      <c r="AD39" s="20">
        <f>G39*0.531538896924722</f>
        <v>0</v>
      </c>
      <c r="AE39" s="20">
        <f>G39*(1-0.531538896924722)</f>
        <v>0</v>
      </c>
    </row>
    <row r="40" spans="1:31" ht="12.75">
      <c r="A40" s="40">
        <v>26</v>
      </c>
      <c r="B40" s="3"/>
      <c r="C40" s="3" t="s">
        <v>39</v>
      </c>
      <c r="D40" s="3" t="s">
        <v>105</v>
      </c>
      <c r="E40" s="3" t="s">
        <v>147</v>
      </c>
      <c r="F40" s="11">
        <v>2</v>
      </c>
      <c r="G40" s="11">
        <v>0</v>
      </c>
      <c r="H40" s="11">
        <f t="shared" si="0"/>
        <v>0</v>
      </c>
      <c r="I40" s="11">
        <f t="shared" si="1"/>
        <v>0</v>
      </c>
      <c r="J40" s="11">
        <f t="shared" si="2"/>
        <v>0</v>
      </c>
      <c r="K40" s="11">
        <v>0.00053</v>
      </c>
      <c r="L40" s="11">
        <f t="shared" si="3"/>
        <v>0.00106</v>
      </c>
      <c r="M40" s="37"/>
      <c r="N40" s="11">
        <f t="shared" si="4"/>
        <v>0</v>
      </c>
      <c r="Y40" s="11">
        <f t="shared" si="5"/>
        <v>0</v>
      </c>
      <c r="Z40" s="11">
        <f t="shared" si="6"/>
        <v>0</v>
      </c>
      <c r="AA40" s="11">
        <f t="shared" si="7"/>
        <v>0</v>
      </c>
      <c r="AC40" s="20">
        <v>15</v>
      </c>
      <c r="AD40" s="20">
        <f>G40*0</f>
        <v>0</v>
      </c>
      <c r="AE40" s="20">
        <f>G40*(1-0)</f>
        <v>0</v>
      </c>
    </row>
    <row r="41" spans="1:31" ht="12.75">
      <c r="A41" s="40">
        <v>27</v>
      </c>
      <c r="B41" s="3"/>
      <c r="C41" s="3" t="s">
        <v>40</v>
      </c>
      <c r="D41" s="3" t="s">
        <v>106</v>
      </c>
      <c r="E41" s="3" t="s">
        <v>147</v>
      </c>
      <c r="F41" s="11">
        <v>2</v>
      </c>
      <c r="G41" s="11">
        <v>0</v>
      </c>
      <c r="H41" s="11">
        <f t="shared" si="0"/>
        <v>0</v>
      </c>
      <c r="I41" s="11">
        <f t="shared" si="1"/>
        <v>0</v>
      </c>
      <c r="J41" s="11">
        <f t="shared" si="2"/>
        <v>0</v>
      </c>
      <c r="K41" s="11">
        <v>0.00069</v>
      </c>
      <c r="L41" s="11">
        <f t="shared" si="3"/>
        <v>0.00138</v>
      </c>
      <c r="M41" s="37"/>
      <c r="N41" s="11">
        <f t="shared" si="4"/>
        <v>0</v>
      </c>
      <c r="Y41" s="11">
        <f t="shared" si="5"/>
        <v>0</v>
      </c>
      <c r="Z41" s="11">
        <f t="shared" si="6"/>
        <v>0</v>
      </c>
      <c r="AA41" s="11">
        <f t="shared" si="7"/>
        <v>0</v>
      </c>
      <c r="AC41" s="20">
        <v>15</v>
      </c>
      <c r="AD41" s="20">
        <f>G41*0</f>
        <v>0</v>
      </c>
      <c r="AE41" s="20">
        <f>G41*(1-0)</f>
        <v>0</v>
      </c>
    </row>
    <row r="42" spans="1:31" ht="12.75">
      <c r="A42" s="40">
        <v>28</v>
      </c>
      <c r="B42" s="3"/>
      <c r="C42" s="3" t="s">
        <v>41</v>
      </c>
      <c r="D42" s="3" t="s">
        <v>107</v>
      </c>
      <c r="E42" s="3" t="s">
        <v>147</v>
      </c>
      <c r="F42" s="11">
        <v>2</v>
      </c>
      <c r="G42" s="11">
        <v>0</v>
      </c>
      <c r="H42" s="11">
        <f t="shared" si="0"/>
        <v>0</v>
      </c>
      <c r="I42" s="11">
        <f t="shared" si="1"/>
        <v>0</v>
      </c>
      <c r="J42" s="11">
        <f t="shared" si="2"/>
        <v>0</v>
      </c>
      <c r="K42" s="11">
        <v>0.0002</v>
      </c>
      <c r="L42" s="11">
        <f t="shared" si="3"/>
        <v>0.0004</v>
      </c>
      <c r="M42" s="37"/>
      <c r="N42" s="11">
        <f t="shared" si="4"/>
        <v>0</v>
      </c>
      <c r="Y42" s="11">
        <f t="shared" si="5"/>
        <v>0</v>
      </c>
      <c r="Z42" s="11">
        <f t="shared" si="6"/>
        <v>0</v>
      </c>
      <c r="AA42" s="11">
        <f t="shared" si="7"/>
        <v>0</v>
      </c>
      <c r="AC42" s="20">
        <v>15</v>
      </c>
      <c r="AD42" s="20">
        <f>G42*0.674716049382716</f>
        <v>0</v>
      </c>
      <c r="AE42" s="20">
        <f>G42*(1-0.674716049382716)</f>
        <v>0</v>
      </c>
    </row>
    <row r="43" spans="1:31" ht="12.75">
      <c r="A43" s="40">
        <v>29</v>
      </c>
      <c r="B43" s="3"/>
      <c r="C43" s="3" t="s">
        <v>42</v>
      </c>
      <c r="D43" s="3" t="s">
        <v>108</v>
      </c>
      <c r="E43" s="3" t="s">
        <v>147</v>
      </c>
      <c r="F43" s="11">
        <v>1</v>
      </c>
      <c r="G43" s="11">
        <v>0</v>
      </c>
      <c r="H43" s="11">
        <f t="shared" si="0"/>
        <v>0</v>
      </c>
      <c r="I43" s="11">
        <f t="shared" si="1"/>
        <v>0</v>
      </c>
      <c r="J43" s="11">
        <f t="shared" si="2"/>
        <v>0</v>
      </c>
      <c r="K43" s="11">
        <v>0.00722</v>
      </c>
      <c r="L43" s="11">
        <f t="shared" si="3"/>
        <v>0.00722</v>
      </c>
      <c r="M43" s="37"/>
      <c r="N43" s="11">
        <f t="shared" si="4"/>
        <v>0</v>
      </c>
      <c r="Y43" s="11">
        <f t="shared" si="5"/>
        <v>0</v>
      </c>
      <c r="Z43" s="11">
        <f t="shared" si="6"/>
        <v>0</v>
      </c>
      <c r="AA43" s="11">
        <f t="shared" si="7"/>
        <v>0</v>
      </c>
      <c r="AC43" s="20">
        <v>15</v>
      </c>
      <c r="AD43" s="20">
        <f>G43*0</f>
        <v>0</v>
      </c>
      <c r="AE43" s="20">
        <f>G43*(1-0)</f>
        <v>0</v>
      </c>
    </row>
    <row r="44" spans="1:31" ht="12.75">
      <c r="A44" s="40">
        <v>30</v>
      </c>
      <c r="B44" s="3"/>
      <c r="C44" s="3" t="s">
        <v>43</v>
      </c>
      <c r="D44" s="3" t="s">
        <v>109</v>
      </c>
      <c r="E44" s="3" t="s">
        <v>147</v>
      </c>
      <c r="F44" s="11">
        <v>1</v>
      </c>
      <c r="G44" s="11">
        <v>0</v>
      </c>
      <c r="H44" s="11">
        <f t="shared" si="0"/>
        <v>0</v>
      </c>
      <c r="I44" s="11">
        <f t="shared" si="1"/>
        <v>0</v>
      </c>
      <c r="J44" s="11">
        <f t="shared" si="2"/>
        <v>0</v>
      </c>
      <c r="K44" s="11">
        <v>3E-05</v>
      </c>
      <c r="L44" s="11">
        <f t="shared" si="3"/>
        <v>3E-05</v>
      </c>
      <c r="M44" s="37"/>
      <c r="N44" s="11">
        <f t="shared" si="4"/>
        <v>0</v>
      </c>
      <c r="Y44" s="11">
        <f t="shared" si="5"/>
        <v>0</v>
      </c>
      <c r="Z44" s="11">
        <f t="shared" si="6"/>
        <v>0</v>
      </c>
      <c r="AA44" s="11">
        <f t="shared" si="7"/>
        <v>0</v>
      </c>
      <c r="AC44" s="20">
        <v>15</v>
      </c>
      <c r="AD44" s="20">
        <f>G44*0.607697501688049</f>
        <v>0</v>
      </c>
      <c r="AE44" s="20">
        <f>G44*(1-0.607697501688049)</f>
        <v>0</v>
      </c>
    </row>
    <row r="45" spans="1:31" ht="12.75">
      <c r="A45" s="40">
        <v>31</v>
      </c>
      <c r="B45" s="3"/>
      <c r="C45" s="3" t="s">
        <v>44</v>
      </c>
      <c r="D45" s="3" t="s">
        <v>110</v>
      </c>
      <c r="E45" s="3" t="s">
        <v>147</v>
      </c>
      <c r="F45" s="11">
        <v>5</v>
      </c>
      <c r="G45" s="11">
        <v>0</v>
      </c>
      <c r="H45" s="11">
        <f t="shared" si="0"/>
        <v>0</v>
      </c>
      <c r="I45" s="11">
        <f t="shared" si="1"/>
        <v>0</v>
      </c>
      <c r="J45" s="11">
        <f t="shared" si="2"/>
        <v>0</v>
      </c>
      <c r="K45" s="11">
        <v>0.00478</v>
      </c>
      <c r="L45" s="11">
        <f t="shared" si="3"/>
        <v>0.0239</v>
      </c>
      <c r="M45" s="37"/>
      <c r="N45" s="11">
        <f t="shared" si="4"/>
        <v>0</v>
      </c>
      <c r="Y45" s="11">
        <f t="shared" si="5"/>
        <v>0</v>
      </c>
      <c r="Z45" s="11">
        <f t="shared" si="6"/>
        <v>0</v>
      </c>
      <c r="AA45" s="11">
        <f t="shared" si="7"/>
        <v>0</v>
      </c>
      <c r="AC45" s="20">
        <v>15</v>
      </c>
      <c r="AD45" s="20">
        <f>G45*0.893294425815479</f>
        <v>0</v>
      </c>
      <c r="AE45" s="20">
        <f>G45*(1-0.893294425815479)</f>
        <v>0</v>
      </c>
    </row>
    <row r="46" spans="1:31" ht="12.75">
      <c r="A46" s="40">
        <v>32</v>
      </c>
      <c r="B46" s="3"/>
      <c r="C46" s="3" t="s">
        <v>45</v>
      </c>
      <c r="D46" s="3" t="s">
        <v>111</v>
      </c>
      <c r="E46" s="3" t="s">
        <v>147</v>
      </c>
      <c r="F46" s="11">
        <v>5</v>
      </c>
      <c r="G46" s="11">
        <v>0</v>
      </c>
      <c r="H46" s="11">
        <f t="shared" si="0"/>
        <v>0</v>
      </c>
      <c r="I46" s="11">
        <f t="shared" si="1"/>
        <v>0</v>
      </c>
      <c r="J46" s="11">
        <f t="shared" si="2"/>
        <v>0</v>
      </c>
      <c r="K46" s="11">
        <v>0.00214</v>
      </c>
      <c r="L46" s="11">
        <f t="shared" si="3"/>
        <v>0.0107</v>
      </c>
      <c r="M46" s="37"/>
      <c r="N46" s="11">
        <f t="shared" si="4"/>
        <v>0</v>
      </c>
      <c r="Y46" s="11">
        <f t="shared" si="5"/>
        <v>0</v>
      </c>
      <c r="Z46" s="11">
        <f t="shared" si="6"/>
        <v>0</v>
      </c>
      <c r="AA46" s="11">
        <f t="shared" si="7"/>
        <v>0</v>
      </c>
      <c r="AC46" s="20">
        <v>15</v>
      </c>
      <c r="AD46" s="20">
        <f>G46*0.810620969935519</f>
        <v>0</v>
      </c>
      <c r="AE46" s="20">
        <f>G46*(1-0.810620969935519)</f>
        <v>0</v>
      </c>
    </row>
    <row r="47" spans="1:31" ht="12.75">
      <c r="A47" s="40">
        <v>33</v>
      </c>
      <c r="B47" s="3"/>
      <c r="C47" s="3" t="s">
        <v>46</v>
      </c>
      <c r="D47" s="3" t="s">
        <v>112</v>
      </c>
      <c r="E47" s="3" t="s">
        <v>151</v>
      </c>
      <c r="F47" s="11">
        <v>0.1</v>
      </c>
      <c r="G47" s="11">
        <v>0</v>
      </c>
      <c r="H47" s="11">
        <f t="shared" si="0"/>
        <v>0</v>
      </c>
      <c r="I47" s="11">
        <f t="shared" si="1"/>
        <v>0</v>
      </c>
      <c r="J47" s="11">
        <f t="shared" si="2"/>
        <v>0</v>
      </c>
      <c r="K47" s="11">
        <v>0</v>
      </c>
      <c r="L47" s="11">
        <f t="shared" si="3"/>
        <v>0</v>
      </c>
      <c r="M47" s="37"/>
      <c r="N47" s="11">
        <f t="shared" si="4"/>
        <v>0</v>
      </c>
      <c r="Y47" s="11">
        <f t="shared" si="5"/>
        <v>0</v>
      </c>
      <c r="Z47" s="11">
        <f t="shared" si="6"/>
        <v>0</v>
      </c>
      <c r="AA47" s="11">
        <f t="shared" si="7"/>
        <v>0</v>
      </c>
      <c r="AC47" s="20">
        <v>15</v>
      </c>
      <c r="AD47" s="20">
        <f>G47*0</f>
        <v>0</v>
      </c>
      <c r="AE47" s="20">
        <f>G47*(1-0)</f>
        <v>0</v>
      </c>
    </row>
    <row r="48" spans="1:31" ht="12.75">
      <c r="A48" s="40">
        <v>34</v>
      </c>
      <c r="B48" s="3"/>
      <c r="C48" s="3" t="s">
        <v>47</v>
      </c>
      <c r="D48" s="28" t="s">
        <v>113</v>
      </c>
      <c r="E48" s="3" t="s">
        <v>150</v>
      </c>
      <c r="F48" s="11">
        <v>58</v>
      </c>
      <c r="G48" s="11">
        <v>0</v>
      </c>
      <c r="H48" s="11">
        <f t="shared" si="0"/>
        <v>0</v>
      </c>
      <c r="I48" s="11">
        <f t="shared" si="1"/>
        <v>0</v>
      </c>
      <c r="J48" s="11">
        <f t="shared" si="2"/>
        <v>0</v>
      </c>
      <c r="K48" s="11">
        <v>0</v>
      </c>
      <c r="L48" s="11">
        <f t="shared" si="3"/>
        <v>0</v>
      </c>
      <c r="M48" s="37"/>
      <c r="N48" s="11">
        <f t="shared" si="4"/>
        <v>0</v>
      </c>
      <c r="Y48" s="11">
        <f t="shared" si="5"/>
        <v>0</v>
      </c>
      <c r="Z48" s="11">
        <f t="shared" si="6"/>
        <v>0</v>
      </c>
      <c r="AA48" s="11">
        <f t="shared" si="7"/>
        <v>0</v>
      </c>
      <c r="AC48" s="20">
        <v>15</v>
      </c>
      <c r="AD48" s="20">
        <f>G48*0.00284185891006352</f>
        <v>0</v>
      </c>
      <c r="AE48" s="20">
        <f>G48*(1-0.00284185891006352)</f>
        <v>0</v>
      </c>
    </row>
    <row r="49" spans="1:36" ht="12.75">
      <c r="A49" s="38"/>
      <c r="B49" s="8"/>
      <c r="C49" s="8" t="s">
        <v>48</v>
      </c>
      <c r="D49" s="51" t="s">
        <v>202</v>
      </c>
      <c r="E49" s="50"/>
      <c r="F49" s="50"/>
      <c r="G49" s="50"/>
      <c r="H49" s="22">
        <f>SUM(H50:H67)</f>
        <v>0</v>
      </c>
      <c r="I49" s="22">
        <f>SUM(I50:I67)</f>
        <v>0</v>
      </c>
      <c r="J49" s="22">
        <f>H49+I49</f>
        <v>0</v>
      </c>
      <c r="K49" s="18"/>
      <c r="L49" s="22">
        <f>SUM(L50:L67)</f>
        <v>1.2512099999999997</v>
      </c>
      <c r="M49" s="35"/>
      <c r="O49" s="22">
        <f>IF(P49="PR",J49,SUM(N50:N67))</f>
        <v>0</v>
      </c>
      <c r="P49" s="18" t="s">
        <v>169</v>
      </c>
      <c r="Q49" s="22">
        <f>IF(P49="HS",H49,0)</f>
        <v>0</v>
      </c>
      <c r="R49" s="22">
        <f>IF(P49="HS",I49-O49,0)</f>
        <v>0</v>
      </c>
      <c r="S49" s="22">
        <f>IF(P49="PS",H49,0)</f>
        <v>0</v>
      </c>
      <c r="T49" s="22">
        <f>IF(P49="PS",I49-O49,0)</f>
        <v>0</v>
      </c>
      <c r="U49" s="22">
        <f>IF(P49="MP",H49,0)</f>
        <v>0</v>
      </c>
      <c r="V49" s="22">
        <f>IF(P49="MP",I49-O49,0)</f>
        <v>0</v>
      </c>
      <c r="W49" s="22">
        <f>IF(P49="OM",H49,0)</f>
        <v>0</v>
      </c>
      <c r="X49" s="18"/>
      <c r="AH49" s="22">
        <f>SUM(Y50:Y67)</f>
        <v>0</v>
      </c>
      <c r="AI49" s="22">
        <f>SUM(Z50:Z67)</f>
        <v>0</v>
      </c>
      <c r="AJ49" s="22">
        <f>SUM(AA50:AA67)</f>
        <v>0</v>
      </c>
    </row>
    <row r="50" spans="1:31" ht="12.75">
      <c r="A50" s="40">
        <v>35</v>
      </c>
      <c r="B50" s="3"/>
      <c r="C50" s="3" t="s">
        <v>49</v>
      </c>
      <c r="D50" s="3" t="s">
        <v>114</v>
      </c>
      <c r="E50" s="3" t="s">
        <v>147</v>
      </c>
      <c r="F50" s="11">
        <v>5</v>
      </c>
      <c r="G50" s="11">
        <v>0</v>
      </c>
      <c r="H50" s="11">
        <f aca="true" t="shared" si="8" ref="H50:H67">ROUND(F50*AD50,2)</f>
        <v>0</v>
      </c>
      <c r="I50" s="11">
        <f aca="true" t="shared" si="9" ref="I50:I67">J50-H50</f>
        <v>0</v>
      </c>
      <c r="J50" s="11">
        <f aca="true" t="shared" si="10" ref="J50:J67">ROUND(F50*G50,2)</f>
        <v>0</v>
      </c>
      <c r="K50" s="11">
        <v>0.00049</v>
      </c>
      <c r="L50" s="11">
        <f aca="true" t="shared" si="11" ref="L50:L67">F50*K50</f>
        <v>0.00245</v>
      </c>
      <c r="M50" s="37"/>
      <c r="N50" s="11">
        <f aca="true" t="shared" si="12" ref="N50:N67">IF(M50="5",I50,0)</f>
        <v>0</v>
      </c>
      <c r="Y50" s="11">
        <f aca="true" t="shared" si="13" ref="Y50:Y67">IF(AC50=0,J50,0)</f>
        <v>0</v>
      </c>
      <c r="Z50" s="11">
        <f aca="true" t="shared" si="14" ref="Z50:Z67">IF(AC50=15,J50,0)</f>
        <v>0</v>
      </c>
      <c r="AA50" s="11">
        <f aca="true" t="shared" si="15" ref="AA50:AA67">IF(AC50=21,J50,0)</f>
        <v>0</v>
      </c>
      <c r="AC50" s="20">
        <v>15</v>
      </c>
      <c r="AD50" s="20">
        <f>G50*0</f>
        <v>0</v>
      </c>
      <c r="AE50" s="20">
        <f>G50*(1-0)</f>
        <v>0</v>
      </c>
    </row>
    <row r="51" spans="1:31" ht="12.75">
      <c r="A51" s="40">
        <v>36</v>
      </c>
      <c r="B51" s="3"/>
      <c r="C51" s="3" t="s">
        <v>50</v>
      </c>
      <c r="D51" s="3" t="s">
        <v>115</v>
      </c>
      <c r="E51" s="3" t="s">
        <v>152</v>
      </c>
      <c r="F51" s="11">
        <v>7</v>
      </c>
      <c r="G51" s="11">
        <v>0</v>
      </c>
      <c r="H51" s="11">
        <f t="shared" si="8"/>
        <v>0</v>
      </c>
      <c r="I51" s="11">
        <f t="shared" si="9"/>
        <v>0</v>
      </c>
      <c r="J51" s="11">
        <f t="shared" si="10"/>
        <v>0</v>
      </c>
      <c r="K51" s="11">
        <v>0.01946</v>
      </c>
      <c r="L51" s="11">
        <f t="shared" si="11"/>
        <v>0.13622</v>
      </c>
      <c r="M51" s="37"/>
      <c r="N51" s="11">
        <f t="shared" si="12"/>
        <v>0</v>
      </c>
      <c r="Y51" s="11">
        <f t="shared" si="13"/>
        <v>0</v>
      </c>
      <c r="Z51" s="11">
        <f t="shared" si="14"/>
        <v>0</v>
      </c>
      <c r="AA51" s="11">
        <f t="shared" si="15"/>
        <v>0</v>
      </c>
      <c r="AC51" s="20">
        <v>15</v>
      </c>
      <c r="AD51" s="20">
        <f>G51*0</f>
        <v>0</v>
      </c>
      <c r="AE51" s="20">
        <f>G51*(1-0)</f>
        <v>0</v>
      </c>
    </row>
    <row r="52" spans="1:31" ht="12.75">
      <c r="A52" s="40">
        <v>37</v>
      </c>
      <c r="B52" s="3"/>
      <c r="C52" s="3" t="s">
        <v>51</v>
      </c>
      <c r="D52" s="3" t="s">
        <v>116</v>
      </c>
      <c r="E52" s="3" t="s">
        <v>147</v>
      </c>
      <c r="F52" s="11">
        <v>7</v>
      </c>
      <c r="G52" s="11">
        <v>0</v>
      </c>
      <c r="H52" s="11">
        <f t="shared" si="8"/>
        <v>0</v>
      </c>
      <c r="I52" s="11">
        <f t="shared" si="9"/>
        <v>0</v>
      </c>
      <c r="J52" s="11">
        <f t="shared" si="10"/>
        <v>0</v>
      </c>
      <c r="K52" s="11">
        <v>3E-05</v>
      </c>
      <c r="L52" s="11">
        <f t="shared" si="11"/>
        <v>0.00021</v>
      </c>
      <c r="M52" s="37"/>
      <c r="N52" s="11">
        <f t="shared" si="12"/>
        <v>0</v>
      </c>
      <c r="Y52" s="11">
        <f t="shared" si="13"/>
        <v>0</v>
      </c>
      <c r="Z52" s="11">
        <f t="shared" si="14"/>
        <v>0</v>
      </c>
      <c r="AA52" s="11">
        <f t="shared" si="15"/>
        <v>0</v>
      </c>
      <c r="AC52" s="20">
        <v>15</v>
      </c>
      <c r="AD52" s="20">
        <f>G52*0.0319209039548023</f>
        <v>0</v>
      </c>
      <c r="AE52" s="20">
        <f>G52*(1-0.0319209039548023)</f>
        <v>0</v>
      </c>
    </row>
    <row r="53" spans="1:31" ht="12.75">
      <c r="A53" s="40">
        <v>38</v>
      </c>
      <c r="B53" s="3"/>
      <c r="C53" s="3" t="s">
        <v>52</v>
      </c>
      <c r="D53" s="3" t="s">
        <v>117</v>
      </c>
      <c r="E53" s="3" t="s">
        <v>147</v>
      </c>
      <c r="F53" s="11">
        <v>7</v>
      </c>
      <c r="G53" s="11">
        <v>0</v>
      </c>
      <c r="H53" s="11">
        <f t="shared" si="8"/>
        <v>0</v>
      </c>
      <c r="I53" s="11">
        <f t="shared" si="9"/>
        <v>0</v>
      </c>
      <c r="J53" s="11">
        <f t="shared" si="10"/>
        <v>0</v>
      </c>
      <c r="K53" s="11">
        <v>0.00093</v>
      </c>
      <c r="L53" s="11">
        <f t="shared" si="11"/>
        <v>0.00651</v>
      </c>
      <c r="M53" s="37"/>
      <c r="N53" s="11">
        <f t="shared" si="12"/>
        <v>0</v>
      </c>
      <c r="Y53" s="11">
        <f t="shared" si="13"/>
        <v>0</v>
      </c>
      <c r="Z53" s="11">
        <f t="shared" si="14"/>
        <v>0</v>
      </c>
      <c r="AA53" s="11">
        <f t="shared" si="15"/>
        <v>0</v>
      </c>
      <c r="AC53" s="20">
        <v>15</v>
      </c>
      <c r="AD53" s="20">
        <f>G53*0.824309978768577</f>
        <v>0</v>
      </c>
      <c r="AE53" s="20">
        <f>G53*(1-0.824309978768577)</f>
        <v>0</v>
      </c>
    </row>
    <row r="54" spans="1:31" ht="12.75">
      <c r="A54" s="40">
        <v>39</v>
      </c>
      <c r="B54" s="3"/>
      <c r="C54" s="3" t="s">
        <v>53</v>
      </c>
      <c r="D54" s="3" t="s">
        <v>118</v>
      </c>
      <c r="E54" s="3" t="s">
        <v>147</v>
      </c>
      <c r="F54" s="11">
        <v>7</v>
      </c>
      <c r="G54" s="11">
        <v>0</v>
      </c>
      <c r="H54" s="11">
        <f t="shared" si="8"/>
        <v>0</v>
      </c>
      <c r="I54" s="11">
        <f t="shared" si="9"/>
        <v>0</v>
      </c>
      <c r="J54" s="11">
        <f t="shared" si="10"/>
        <v>0</v>
      </c>
      <c r="K54" s="11">
        <v>0</v>
      </c>
      <c r="L54" s="11">
        <f t="shared" si="11"/>
        <v>0</v>
      </c>
      <c r="M54" s="37"/>
      <c r="N54" s="11">
        <f t="shared" si="12"/>
        <v>0</v>
      </c>
      <c r="Y54" s="11">
        <f t="shared" si="13"/>
        <v>0</v>
      </c>
      <c r="Z54" s="11">
        <f t="shared" si="14"/>
        <v>0</v>
      </c>
      <c r="AA54" s="11">
        <f t="shared" si="15"/>
        <v>0</v>
      </c>
      <c r="AC54" s="20">
        <v>15</v>
      </c>
      <c r="AD54" s="20">
        <f>G54*0</f>
        <v>0</v>
      </c>
      <c r="AE54" s="20">
        <f>G54*(1-0)</f>
        <v>0</v>
      </c>
    </row>
    <row r="55" spans="1:31" ht="12.75">
      <c r="A55" s="40">
        <v>40</v>
      </c>
      <c r="B55" s="3"/>
      <c r="C55" s="3" t="s">
        <v>54</v>
      </c>
      <c r="D55" s="3" t="s">
        <v>119</v>
      </c>
      <c r="E55" s="3" t="s">
        <v>147</v>
      </c>
      <c r="F55" s="11">
        <v>7</v>
      </c>
      <c r="G55" s="11">
        <v>0</v>
      </c>
      <c r="H55" s="11">
        <f t="shared" si="8"/>
        <v>0</v>
      </c>
      <c r="I55" s="11">
        <f t="shared" si="9"/>
        <v>0</v>
      </c>
      <c r="J55" s="11">
        <f t="shared" si="10"/>
        <v>0</v>
      </c>
      <c r="K55" s="11">
        <v>2E-05</v>
      </c>
      <c r="L55" s="11">
        <f t="shared" si="11"/>
        <v>0.00014000000000000001</v>
      </c>
      <c r="M55" s="37"/>
      <c r="N55" s="11">
        <f t="shared" si="12"/>
        <v>0</v>
      </c>
      <c r="Y55" s="11">
        <f t="shared" si="13"/>
        <v>0</v>
      </c>
      <c r="Z55" s="11">
        <f t="shared" si="14"/>
        <v>0</v>
      </c>
      <c r="AA55" s="11">
        <f t="shared" si="15"/>
        <v>0</v>
      </c>
      <c r="AC55" s="20">
        <v>15</v>
      </c>
      <c r="AD55" s="20">
        <f>G55*0.0523345305284761</f>
        <v>0</v>
      </c>
      <c r="AE55" s="20">
        <f>G55*(1-0.0523345305284761)</f>
        <v>0</v>
      </c>
    </row>
    <row r="56" spans="1:31" ht="12.75">
      <c r="A56" s="40">
        <v>41</v>
      </c>
      <c r="B56" s="3"/>
      <c r="C56" s="3" t="s">
        <v>55</v>
      </c>
      <c r="D56" s="3" t="s">
        <v>120</v>
      </c>
      <c r="E56" s="3" t="s">
        <v>147</v>
      </c>
      <c r="F56" s="11">
        <v>7</v>
      </c>
      <c r="G56" s="11">
        <v>0</v>
      </c>
      <c r="H56" s="11">
        <f t="shared" si="8"/>
        <v>0</v>
      </c>
      <c r="I56" s="11">
        <f t="shared" si="9"/>
        <v>0</v>
      </c>
      <c r="J56" s="11">
        <f t="shared" si="10"/>
        <v>0</v>
      </c>
      <c r="K56" s="11">
        <v>0</v>
      </c>
      <c r="L56" s="11">
        <f t="shared" si="11"/>
        <v>0</v>
      </c>
      <c r="M56" s="37"/>
      <c r="N56" s="11">
        <f t="shared" si="12"/>
        <v>0</v>
      </c>
      <c r="Y56" s="11">
        <f t="shared" si="13"/>
        <v>0</v>
      </c>
      <c r="Z56" s="11">
        <f t="shared" si="14"/>
        <v>0</v>
      </c>
      <c r="AA56" s="11">
        <f t="shared" si="15"/>
        <v>0</v>
      </c>
      <c r="AC56" s="20">
        <v>15</v>
      </c>
      <c r="AD56" s="20">
        <f>G56*0</f>
        <v>0</v>
      </c>
      <c r="AE56" s="20">
        <f>G56*(1-0)</f>
        <v>0</v>
      </c>
    </row>
    <row r="57" spans="1:31" ht="12.75">
      <c r="A57" s="40">
        <v>42</v>
      </c>
      <c r="B57" s="3"/>
      <c r="C57" s="3" t="s">
        <v>56</v>
      </c>
      <c r="D57" s="3" t="s">
        <v>121</v>
      </c>
      <c r="E57" s="3" t="s">
        <v>147</v>
      </c>
      <c r="F57" s="11">
        <v>7</v>
      </c>
      <c r="G57" s="11">
        <v>0</v>
      </c>
      <c r="H57" s="11">
        <f t="shared" si="8"/>
        <v>0</v>
      </c>
      <c r="I57" s="11">
        <f t="shared" si="9"/>
        <v>0</v>
      </c>
      <c r="J57" s="11">
        <f t="shared" si="10"/>
        <v>0</v>
      </c>
      <c r="K57" s="11">
        <v>1E-05</v>
      </c>
      <c r="L57" s="11">
        <f t="shared" si="11"/>
        <v>7.000000000000001E-05</v>
      </c>
      <c r="M57" s="37"/>
      <c r="N57" s="11">
        <f t="shared" si="12"/>
        <v>0</v>
      </c>
      <c r="Y57" s="11">
        <f t="shared" si="13"/>
        <v>0</v>
      </c>
      <c r="Z57" s="11">
        <f t="shared" si="14"/>
        <v>0</v>
      </c>
      <c r="AA57" s="11">
        <f t="shared" si="15"/>
        <v>0</v>
      </c>
      <c r="AC57" s="20">
        <v>15</v>
      </c>
      <c r="AD57" s="20">
        <f>G57*0.59050622587135</f>
        <v>0</v>
      </c>
      <c r="AE57" s="20">
        <f>G57*(1-0.59050622587135)</f>
        <v>0</v>
      </c>
    </row>
    <row r="58" spans="1:31" ht="12.75">
      <c r="A58" s="40">
        <v>43</v>
      </c>
      <c r="B58" s="3"/>
      <c r="C58" s="3" t="s">
        <v>57</v>
      </c>
      <c r="D58" s="3" t="s">
        <v>122</v>
      </c>
      <c r="E58" s="3" t="s">
        <v>152</v>
      </c>
      <c r="F58" s="11">
        <v>7</v>
      </c>
      <c r="G58" s="11">
        <v>0</v>
      </c>
      <c r="H58" s="11">
        <f t="shared" si="8"/>
        <v>0</v>
      </c>
      <c r="I58" s="11">
        <f t="shared" si="9"/>
        <v>0</v>
      </c>
      <c r="J58" s="11">
        <f t="shared" si="10"/>
        <v>0</v>
      </c>
      <c r="K58" s="11">
        <v>0.155</v>
      </c>
      <c r="L58" s="11">
        <f t="shared" si="11"/>
        <v>1.085</v>
      </c>
      <c r="M58" s="37"/>
      <c r="N58" s="11">
        <f t="shared" si="12"/>
        <v>0</v>
      </c>
      <c r="Y58" s="11">
        <f t="shared" si="13"/>
        <v>0</v>
      </c>
      <c r="Z58" s="11">
        <f t="shared" si="14"/>
        <v>0</v>
      </c>
      <c r="AA58" s="11">
        <f t="shared" si="15"/>
        <v>0</v>
      </c>
      <c r="AC58" s="20">
        <v>15</v>
      </c>
      <c r="AD58" s="20">
        <f>G58*0</f>
        <v>0</v>
      </c>
      <c r="AE58" s="20">
        <f>G58*(1-0)</f>
        <v>0</v>
      </c>
    </row>
    <row r="59" spans="1:31" ht="12.75">
      <c r="A59" s="40">
        <v>44</v>
      </c>
      <c r="B59" s="3"/>
      <c r="C59" s="3" t="s">
        <v>58</v>
      </c>
      <c r="D59" s="3" t="s">
        <v>123</v>
      </c>
      <c r="E59" s="3" t="s">
        <v>147</v>
      </c>
      <c r="F59" s="11">
        <v>7</v>
      </c>
      <c r="G59" s="11">
        <v>0</v>
      </c>
      <c r="H59" s="11">
        <f t="shared" si="8"/>
        <v>0</v>
      </c>
      <c r="I59" s="11">
        <f t="shared" si="9"/>
        <v>0</v>
      </c>
      <c r="J59" s="11">
        <f t="shared" si="10"/>
        <v>0</v>
      </c>
      <c r="K59" s="11">
        <v>0.00012</v>
      </c>
      <c r="L59" s="11">
        <f t="shared" si="11"/>
        <v>0.00084</v>
      </c>
      <c r="M59" s="37"/>
      <c r="N59" s="11">
        <f t="shared" si="12"/>
        <v>0</v>
      </c>
      <c r="Y59" s="11">
        <f t="shared" si="13"/>
        <v>0</v>
      </c>
      <c r="Z59" s="11">
        <f t="shared" si="14"/>
        <v>0</v>
      </c>
      <c r="AA59" s="11">
        <f t="shared" si="15"/>
        <v>0</v>
      </c>
      <c r="AC59" s="20">
        <v>15</v>
      </c>
      <c r="AD59" s="20">
        <f>G59*0.00939267015706806</f>
        <v>0</v>
      </c>
      <c r="AE59" s="20">
        <f>G59*(1-0.00939267015706806)</f>
        <v>0</v>
      </c>
    </row>
    <row r="60" spans="1:31" ht="12.75">
      <c r="A60" s="40">
        <v>46</v>
      </c>
      <c r="B60" s="3"/>
      <c r="C60" s="3" t="s">
        <v>59</v>
      </c>
      <c r="D60" s="3" t="s">
        <v>124</v>
      </c>
      <c r="E60" s="3" t="s">
        <v>147</v>
      </c>
      <c r="F60" s="11">
        <v>5</v>
      </c>
      <c r="G60" s="11">
        <v>0</v>
      </c>
      <c r="H60" s="11">
        <f t="shared" si="8"/>
        <v>0</v>
      </c>
      <c r="I60" s="11">
        <f t="shared" si="9"/>
        <v>0</v>
      </c>
      <c r="J60" s="11">
        <f t="shared" si="10"/>
        <v>0</v>
      </c>
      <c r="K60" s="11">
        <v>0.00132</v>
      </c>
      <c r="L60" s="11">
        <f t="shared" si="11"/>
        <v>0.0066</v>
      </c>
      <c r="M60" s="37"/>
      <c r="N60" s="11">
        <f t="shared" si="12"/>
        <v>0</v>
      </c>
      <c r="Y60" s="11">
        <f t="shared" si="13"/>
        <v>0</v>
      </c>
      <c r="Z60" s="11">
        <f t="shared" si="14"/>
        <v>0</v>
      </c>
      <c r="AA60" s="11">
        <f t="shared" si="15"/>
        <v>0</v>
      </c>
      <c r="AC60" s="20">
        <v>15</v>
      </c>
      <c r="AD60" s="20">
        <f>G60*0.865719275538337</f>
        <v>0</v>
      </c>
      <c r="AE60" s="20">
        <f>G60*(1-0.865719275538337)</f>
        <v>0</v>
      </c>
    </row>
    <row r="61" spans="1:31" ht="12.75">
      <c r="A61" s="40">
        <v>47</v>
      </c>
      <c r="B61" s="3"/>
      <c r="C61" s="3" t="s">
        <v>60</v>
      </c>
      <c r="D61" s="3" t="s">
        <v>125</v>
      </c>
      <c r="E61" s="3" t="s">
        <v>147</v>
      </c>
      <c r="F61" s="11">
        <v>7</v>
      </c>
      <c r="G61" s="11">
        <v>0</v>
      </c>
      <c r="H61" s="11">
        <f t="shared" si="8"/>
        <v>0</v>
      </c>
      <c r="I61" s="11">
        <f t="shared" si="9"/>
        <v>0</v>
      </c>
      <c r="J61" s="11">
        <f t="shared" si="10"/>
        <v>0</v>
      </c>
      <c r="K61" s="11">
        <v>0.00012</v>
      </c>
      <c r="L61" s="11">
        <f t="shared" si="11"/>
        <v>0.00084</v>
      </c>
      <c r="M61" s="37"/>
      <c r="N61" s="11">
        <f t="shared" si="12"/>
        <v>0</v>
      </c>
      <c r="Y61" s="11">
        <f t="shared" si="13"/>
        <v>0</v>
      </c>
      <c r="Z61" s="11">
        <f t="shared" si="14"/>
        <v>0</v>
      </c>
      <c r="AA61" s="11">
        <f t="shared" si="15"/>
        <v>0</v>
      </c>
      <c r="AC61" s="20">
        <v>15</v>
      </c>
      <c r="AD61" s="20">
        <f>G61*0.902025213290988</f>
        <v>0</v>
      </c>
      <c r="AE61" s="20">
        <f>G61*(1-0.902025213290988)</f>
        <v>0</v>
      </c>
    </row>
    <row r="62" spans="1:31" ht="12.75">
      <c r="A62" s="40">
        <v>48</v>
      </c>
      <c r="B62" s="3"/>
      <c r="C62" s="3" t="s">
        <v>61</v>
      </c>
      <c r="D62" s="3" t="s">
        <v>126</v>
      </c>
      <c r="E62" s="3" t="s">
        <v>152</v>
      </c>
      <c r="F62" s="11">
        <v>3</v>
      </c>
      <c r="G62" s="11">
        <v>0</v>
      </c>
      <c r="H62" s="11">
        <f t="shared" si="8"/>
        <v>0</v>
      </c>
      <c r="I62" s="11">
        <f t="shared" si="9"/>
        <v>0</v>
      </c>
      <c r="J62" s="11">
        <f t="shared" si="10"/>
        <v>0</v>
      </c>
      <c r="K62" s="11">
        <v>0.00153</v>
      </c>
      <c r="L62" s="11">
        <f t="shared" si="11"/>
        <v>0.0045899999999999995</v>
      </c>
      <c r="M62" s="37"/>
      <c r="N62" s="11">
        <f t="shared" si="12"/>
        <v>0</v>
      </c>
      <c r="Y62" s="11">
        <f t="shared" si="13"/>
        <v>0</v>
      </c>
      <c r="Z62" s="11">
        <f t="shared" si="14"/>
        <v>0</v>
      </c>
      <c r="AA62" s="11">
        <f t="shared" si="15"/>
        <v>0</v>
      </c>
      <c r="AC62" s="20">
        <v>15</v>
      </c>
      <c r="AD62" s="20">
        <f>G62*0.928415224913495</f>
        <v>0</v>
      </c>
      <c r="AE62" s="20">
        <f>G62*(1-0.928415224913495)</f>
        <v>0</v>
      </c>
    </row>
    <row r="63" spans="1:31" ht="12.75">
      <c r="A63" s="40">
        <v>49</v>
      </c>
      <c r="B63" s="3"/>
      <c r="C63" s="3" t="s">
        <v>62</v>
      </c>
      <c r="D63" s="3" t="s">
        <v>127</v>
      </c>
      <c r="E63" s="3" t="s">
        <v>147</v>
      </c>
      <c r="F63" s="11">
        <v>2</v>
      </c>
      <c r="G63" s="11">
        <v>0</v>
      </c>
      <c r="H63" s="11">
        <f t="shared" si="8"/>
        <v>0</v>
      </c>
      <c r="I63" s="11">
        <f t="shared" si="9"/>
        <v>0</v>
      </c>
      <c r="J63" s="11">
        <f t="shared" si="10"/>
        <v>0</v>
      </c>
      <c r="K63" s="11">
        <v>0.00152</v>
      </c>
      <c r="L63" s="11">
        <f t="shared" si="11"/>
        <v>0.00304</v>
      </c>
      <c r="M63" s="37"/>
      <c r="N63" s="11">
        <f t="shared" si="12"/>
        <v>0</v>
      </c>
      <c r="Y63" s="11">
        <f t="shared" si="13"/>
        <v>0</v>
      </c>
      <c r="Z63" s="11">
        <f t="shared" si="14"/>
        <v>0</v>
      </c>
      <c r="AA63" s="11">
        <f t="shared" si="15"/>
        <v>0</v>
      </c>
      <c r="AC63" s="20">
        <v>15</v>
      </c>
      <c r="AD63" s="20">
        <f>G63*0.893754266211604</f>
        <v>0</v>
      </c>
      <c r="AE63" s="20">
        <f>G63*(1-0.893754266211604)</f>
        <v>0</v>
      </c>
    </row>
    <row r="64" spans="1:31" ht="12.75">
      <c r="A64" s="40">
        <v>50</v>
      </c>
      <c r="B64" s="3"/>
      <c r="C64" s="3" t="s">
        <v>63</v>
      </c>
      <c r="D64" s="3" t="s">
        <v>128</v>
      </c>
      <c r="E64" s="3" t="s">
        <v>152</v>
      </c>
      <c r="F64" s="11">
        <v>3</v>
      </c>
      <c r="G64" s="11">
        <v>0</v>
      </c>
      <c r="H64" s="11">
        <f t="shared" si="8"/>
        <v>0</v>
      </c>
      <c r="I64" s="11">
        <f t="shared" si="9"/>
        <v>0</v>
      </c>
      <c r="J64" s="11">
        <f t="shared" si="10"/>
        <v>0</v>
      </c>
      <c r="K64" s="11">
        <v>0.00012</v>
      </c>
      <c r="L64" s="11">
        <f t="shared" si="11"/>
        <v>0.00036</v>
      </c>
      <c r="M64" s="37"/>
      <c r="N64" s="11">
        <f t="shared" si="12"/>
        <v>0</v>
      </c>
      <c r="Y64" s="11">
        <f t="shared" si="13"/>
        <v>0</v>
      </c>
      <c r="Z64" s="11">
        <f t="shared" si="14"/>
        <v>0</v>
      </c>
      <c r="AA64" s="11">
        <f t="shared" si="15"/>
        <v>0</v>
      </c>
      <c r="AC64" s="20">
        <v>15</v>
      </c>
      <c r="AD64" s="20">
        <f>G64*0.259020676607054</f>
        <v>0</v>
      </c>
      <c r="AE64" s="20">
        <f>G64*(1-0.259020676607054)</f>
        <v>0</v>
      </c>
    </row>
    <row r="65" spans="1:31" ht="12.75">
      <c r="A65" s="40">
        <v>51</v>
      </c>
      <c r="B65" s="3"/>
      <c r="C65" s="3" t="s">
        <v>64</v>
      </c>
      <c r="D65" s="3" t="s">
        <v>129</v>
      </c>
      <c r="E65" s="3" t="s">
        <v>147</v>
      </c>
      <c r="F65" s="11">
        <v>7</v>
      </c>
      <c r="G65" s="11">
        <v>0</v>
      </c>
      <c r="H65" s="11">
        <f t="shared" si="8"/>
        <v>0</v>
      </c>
      <c r="I65" s="11">
        <f t="shared" si="9"/>
        <v>0</v>
      </c>
      <c r="J65" s="11">
        <f t="shared" si="10"/>
        <v>0</v>
      </c>
      <c r="K65" s="11">
        <v>0.00012</v>
      </c>
      <c r="L65" s="11">
        <f t="shared" si="11"/>
        <v>0.00084</v>
      </c>
      <c r="M65" s="37"/>
      <c r="N65" s="11">
        <f t="shared" si="12"/>
        <v>0</v>
      </c>
      <c r="Y65" s="11">
        <f t="shared" si="13"/>
        <v>0</v>
      </c>
      <c r="Z65" s="11">
        <f t="shared" si="14"/>
        <v>0</v>
      </c>
      <c r="AA65" s="11">
        <f t="shared" si="15"/>
        <v>0</v>
      </c>
      <c r="AC65" s="20">
        <v>15</v>
      </c>
      <c r="AD65" s="20">
        <f>G65*0.275106454236639</f>
        <v>0</v>
      </c>
      <c r="AE65" s="20">
        <f>G65*(1-0.275106454236639)</f>
        <v>0</v>
      </c>
    </row>
    <row r="66" spans="1:31" ht="25.5">
      <c r="A66" s="40">
        <v>52</v>
      </c>
      <c r="B66" s="3"/>
      <c r="C66" s="28" t="s">
        <v>189</v>
      </c>
      <c r="D66" s="30" t="s">
        <v>192</v>
      </c>
      <c r="E66" s="3" t="s">
        <v>147</v>
      </c>
      <c r="F66" s="11">
        <v>5</v>
      </c>
      <c r="G66" s="11">
        <v>0</v>
      </c>
      <c r="H66" s="11">
        <f t="shared" si="8"/>
        <v>0</v>
      </c>
      <c r="I66" s="11">
        <f t="shared" si="9"/>
        <v>0</v>
      </c>
      <c r="J66" s="11">
        <f t="shared" si="10"/>
        <v>0</v>
      </c>
      <c r="K66" s="11">
        <v>0.0007</v>
      </c>
      <c r="L66" s="11">
        <f t="shared" si="11"/>
        <v>0.0035</v>
      </c>
      <c r="M66" s="37"/>
      <c r="N66" s="11">
        <f t="shared" si="12"/>
        <v>0</v>
      </c>
      <c r="Y66" s="11">
        <f t="shared" si="13"/>
        <v>0</v>
      </c>
      <c r="Z66" s="11">
        <f t="shared" si="14"/>
        <v>0</v>
      </c>
      <c r="AA66" s="11">
        <f t="shared" si="15"/>
        <v>0</v>
      </c>
      <c r="AC66" s="20">
        <v>15</v>
      </c>
      <c r="AD66" s="20">
        <f>G66*0.657884832517877</f>
        <v>0</v>
      </c>
      <c r="AE66" s="20">
        <f>G66*(1-0.657884832517877)</f>
        <v>0</v>
      </c>
    </row>
    <row r="67" spans="1:31" ht="12.75">
      <c r="A67" s="40">
        <v>53</v>
      </c>
      <c r="B67" s="3"/>
      <c r="C67" s="3" t="s">
        <v>65</v>
      </c>
      <c r="D67" s="3" t="s">
        <v>130</v>
      </c>
      <c r="E67" s="3" t="s">
        <v>151</v>
      </c>
      <c r="F67" s="11">
        <v>0.1</v>
      </c>
      <c r="G67" s="11">
        <v>0</v>
      </c>
      <c r="H67" s="11">
        <f t="shared" si="8"/>
        <v>0</v>
      </c>
      <c r="I67" s="11">
        <f t="shared" si="9"/>
        <v>0</v>
      </c>
      <c r="J67" s="11">
        <f t="shared" si="10"/>
        <v>0</v>
      </c>
      <c r="K67" s="11">
        <v>0</v>
      </c>
      <c r="L67" s="11">
        <f t="shared" si="11"/>
        <v>0</v>
      </c>
      <c r="M67" s="37"/>
      <c r="N67" s="11">
        <f t="shared" si="12"/>
        <v>0</v>
      </c>
      <c r="Y67" s="11">
        <f t="shared" si="13"/>
        <v>0</v>
      </c>
      <c r="Z67" s="11">
        <f t="shared" si="14"/>
        <v>0</v>
      </c>
      <c r="AA67" s="11">
        <f t="shared" si="15"/>
        <v>0</v>
      </c>
      <c r="AC67" s="20">
        <v>15</v>
      </c>
      <c r="AD67" s="20">
        <f>G67*0</f>
        <v>0</v>
      </c>
      <c r="AE67" s="20">
        <f>G67*(1-0)</f>
        <v>0</v>
      </c>
    </row>
    <row r="68" spans="1:36" ht="12.75">
      <c r="A68" s="38"/>
      <c r="B68" s="8"/>
      <c r="C68" s="8" t="s">
        <v>66</v>
      </c>
      <c r="D68" s="51" t="s">
        <v>202</v>
      </c>
      <c r="E68" s="50"/>
      <c r="F68" s="50"/>
      <c r="G68" s="50"/>
      <c r="H68" s="22">
        <f>SUM(H69:H69)</f>
        <v>0</v>
      </c>
      <c r="I68" s="22">
        <f>SUM(I69:I69)</f>
        <v>0</v>
      </c>
      <c r="J68" s="22">
        <f>H68+I68</f>
        <v>0</v>
      </c>
      <c r="K68" s="18"/>
      <c r="L68" s="22">
        <f>SUM(L69:L69)</f>
        <v>0.5024000000000001</v>
      </c>
      <c r="M68" s="35"/>
      <c r="O68" s="22">
        <f>IF(P68="PR",J68,SUM(N69:N69))</f>
        <v>0</v>
      </c>
      <c r="P68" s="18" t="s">
        <v>169</v>
      </c>
      <c r="Q68" s="22">
        <f>IF(P68="HS",H68,0)</f>
        <v>0</v>
      </c>
      <c r="R68" s="22">
        <f>IF(P68="HS",I68-O68,0)</f>
        <v>0</v>
      </c>
      <c r="S68" s="22">
        <f>IF(P68="PS",H68,0)</f>
        <v>0</v>
      </c>
      <c r="T68" s="22">
        <f>IF(P68="PS",I68-O68,0)</f>
        <v>0</v>
      </c>
      <c r="U68" s="22">
        <f>IF(P68="MP",H68,0)</f>
        <v>0</v>
      </c>
      <c r="V68" s="22">
        <f>IF(P68="MP",I68-O68,0)</f>
        <v>0</v>
      </c>
      <c r="W68" s="22">
        <f>IF(P68="OM",H68,0)</f>
        <v>0</v>
      </c>
      <c r="X68" s="18"/>
      <c r="AH68" s="22">
        <f>SUM(Y69:Y69)</f>
        <v>0</v>
      </c>
      <c r="AI68" s="22">
        <f>SUM(Z69:Z69)</f>
        <v>0</v>
      </c>
      <c r="AJ68" s="22">
        <f>SUM(AA69:AA69)</f>
        <v>0</v>
      </c>
    </row>
    <row r="69" spans="1:31" ht="12.75">
      <c r="A69" s="40">
        <v>54</v>
      </c>
      <c r="B69" s="3"/>
      <c r="C69" s="3" t="s">
        <v>67</v>
      </c>
      <c r="D69" s="3" t="s">
        <v>131</v>
      </c>
      <c r="E69" s="3" t="s">
        <v>150</v>
      </c>
      <c r="F69" s="11">
        <v>157</v>
      </c>
      <c r="G69" s="11">
        <v>0</v>
      </c>
      <c r="H69" s="11">
        <f>ROUND(F69*AD69,2)</f>
        <v>0</v>
      </c>
      <c r="I69" s="11">
        <f>J69-H69</f>
        <v>0</v>
      </c>
      <c r="J69" s="11">
        <f>ROUND(F69*G69,2)</f>
        <v>0</v>
      </c>
      <c r="K69" s="11">
        <v>0.0032</v>
      </c>
      <c r="L69" s="11">
        <f>F69*K69</f>
        <v>0.5024000000000001</v>
      </c>
      <c r="M69" s="37"/>
      <c r="N69" s="11">
        <f>IF(M69="5",I69,0)</f>
        <v>0</v>
      </c>
      <c r="Y69" s="11">
        <f>IF(AC69=0,J69,0)</f>
        <v>0</v>
      </c>
      <c r="Z69" s="11">
        <f>IF(AC69=15,J69,0)</f>
        <v>0</v>
      </c>
      <c r="AA69" s="11">
        <f>IF(AC69=21,J69,0)</f>
        <v>0</v>
      </c>
      <c r="AC69" s="20">
        <v>15</v>
      </c>
      <c r="AD69" s="20">
        <f>G69*0.20054347826087</f>
        <v>0</v>
      </c>
      <c r="AE69" s="20">
        <f>G69*(1-0.20054347826087)</f>
        <v>0</v>
      </c>
    </row>
    <row r="70" spans="1:36" ht="12.75">
      <c r="A70" s="38"/>
      <c r="B70" s="8"/>
      <c r="C70" s="8" t="s">
        <v>68</v>
      </c>
      <c r="D70" s="51" t="s">
        <v>202</v>
      </c>
      <c r="E70" s="50"/>
      <c r="F70" s="50"/>
      <c r="G70" s="50"/>
      <c r="H70" s="22">
        <f>SUM(H71:H74)</f>
        <v>0</v>
      </c>
      <c r="I70" s="22">
        <f>SUM(I71:I74)</f>
        <v>0</v>
      </c>
      <c r="J70" s="22">
        <f>H70+I70</f>
        <v>0</v>
      </c>
      <c r="K70" s="18"/>
      <c r="L70" s="22">
        <f>SUM(L71:L74)</f>
        <v>0.005699999999999999</v>
      </c>
      <c r="M70" s="35"/>
      <c r="O70" s="22">
        <f>IF(P70="PR",J70,SUM(N71:N74))</f>
        <v>0</v>
      </c>
      <c r="P70" s="18" t="s">
        <v>169</v>
      </c>
      <c r="Q70" s="22">
        <f>IF(P70="HS",H70,0)</f>
        <v>0</v>
      </c>
      <c r="R70" s="22">
        <f>IF(P70="HS",I70-O70,0)</f>
        <v>0</v>
      </c>
      <c r="S70" s="22">
        <f>IF(P70="PS",H70,0)</f>
        <v>0</v>
      </c>
      <c r="T70" s="22">
        <f>IF(P70="PS",I70-O70,0)</f>
        <v>0</v>
      </c>
      <c r="U70" s="22">
        <f>IF(P70="MP",H70,0)</f>
        <v>0</v>
      </c>
      <c r="V70" s="22">
        <f>IF(P70="MP",I70-O70,0)</f>
        <v>0</v>
      </c>
      <c r="W70" s="22">
        <f>IF(P70="OM",H70,0)</f>
        <v>0</v>
      </c>
      <c r="X70" s="18"/>
      <c r="AH70" s="22">
        <f>SUM(Y71:Y74)</f>
        <v>0</v>
      </c>
      <c r="AI70" s="22">
        <f>SUM(Z71:Z74)</f>
        <v>0</v>
      </c>
      <c r="AJ70" s="22">
        <f>SUM(AA71:AA74)</f>
        <v>0</v>
      </c>
    </row>
    <row r="71" spans="1:31" ht="12.75">
      <c r="A71" s="40">
        <v>55</v>
      </c>
      <c r="B71" s="3"/>
      <c r="C71" s="3" t="s">
        <v>69</v>
      </c>
      <c r="D71" s="3" t="s">
        <v>132</v>
      </c>
      <c r="E71" s="3" t="s">
        <v>148</v>
      </c>
      <c r="F71" s="11">
        <v>19</v>
      </c>
      <c r="G71" s="11">
        <v>0</v>
      </c>
      <c r="H71" s="11">
        <f>ROUND(F71*AD71,2)</f>
        <v>0</v>
      </c>
      <c r="I71" s="11">
        <f>J71-H71</f>
        <v>0</v>
      </c>
      <c r="J71" s="11">
        <f>ROUND(F71*G71,2)</f>
        <v>0</v>
      </c>
      <c r="K71" s="11">
        <v>0</v>
      </c>
      <c r="L71" s="11">
        <f>F71*K71</f>
        <v>0</v>
      </c>
      <c r="M71" s="37"/>
      <c r="N71" s="11">
        <f>IF(M71="5",I71,0)</f>
        <v>0</v>
      </c>
      <c r="Y71" s="11">
        <f>IF(AC71=0,J71,0)</f>
        <v>0</v>
      </c>
      <c r="Z71" s="11">
        <f>IF(AC71=15,J71,0)</f>
        <v>0</v>
      </c>
      <c r="AA71" s="11">
        <f>IF(AC71=21,J71,0)</f>
        <v>0</v>
      </c>
      <c r="AC71" s="20">
        <v>15</v>
      </c>
      <c r="AD71" s="20">
        <f>G71*0</f>
        <v>0</v>
      </c>
      <c r="AE71" s="20">
        <f>G71*(1-0)</f>
        <v>0</v>
      </c>
    </row>
    <row r="72" spans="1:31" ht="12.75">
      <c r="A72" s="40">
        <v>56</v>
      </c>
      <c r="B72" s="3"/>
      <c r="C72" s="3" t="s">
        <v>70</v>
      </c>
      <c r="D72" s="3" t="s">
        <v>133</v>
      </c>
      <c r="E72" s="3" t="s">
        <v>148</v>
      </c>
      <c r="F72" s="11">
        <v>19</v>
      </c>
      <c r="G72" s="11">
        <v>0</v>
      </c>
      <c r="H72" s="11">
        <f>ROUND(F72*AD72,2)</f>
        <v>0</v>
      </c>
      <c r="I72" s="11">
        <f>J72-H72</f>
        <v>0</v>
      </c>
      <c r="J72" s="11">
        <f>ROUND(F72*G72,2)</f>
        <v>0</v>
      </c>
      <c r="K72" s="11">
        <v>0</v>
      </c>
      <c r="L72" s="11">
        <f>F72*K72</f>
        <v>0</v>
      </c>
      <c r="M72" s="37"/>
      <c r="N72" s="11">
        <f>IF(M72="5",I72,0)</f>
        <v>0</v>
      </c>
      <c r="Y72" s="11">
        <f>IF(AC72=0,J72,0)</f>
        <v>0</v>
      </c>
      <c r="Z72" s="11">
        <f>IF(AC72=15,J72,0)</f>
        <v>0</v>
      </c>
      <c r="AA72" s="11">
        <f>IF(AC72=21,J72,0)</f>
        <v>0</v>
      </c>
      <c r="AC72" s="20">
        <v>15</v>
      </c>
      <c r="AD72" s="20">
        <f>G72*0.399462479666172</f>
        <v>0</v>
      </c>
      <c r="AE72" s="20">
        <f>G72*(1-0.399462479666172)</f>
        <v>0</v>
      </c>
    </row>
    <row r="73" spans="1:31" ht="12.75">
      <c r="A73" s="40">
        <v>57</v>
      </c>
      <c r="B73" s="3"/>
      <c r="C73" s="3" t="s">
        <v>71</v>
      </c>
      <c r="D73" s="3" t="s">
        <v>134</v>
      </c>
      <c r="E73" s="3" t="s">
        <v>148</v>
      </c>
      <c r="F73" s="11">
        <v>19</v>
      </c>
      <c r="G73" s="11">
        <v>0</v>
      </c>
      <c r="H73" s="11">
        <f>ROUND(F73*AD73,2)</f>
        <v>0</v>
      </c>
      <c r="I73" s="11">
        <f>J73-H73</f>
        <v>0</v>
      </c>
      <c r="J73" s="11">
        <f>ROUND(F73*G73,2)</f>
        <v>0</v>
      </c>
      <c r="K73" s="11">
        <v>0</v>
      </c>
      <c r="L73" s="11">
        <f>F73*K73</f>
        <v>0</v>
      </c>
      <c r="M73" s="37"/>
      <c r="N73" s="11">
        <f>IF(M73="5",I73,0)</f>
        <v>0</v>
      </c>
      <c r="Y73" s="11">
        <f>IF(AC73=0,J73,0)</f>
        <v>0</v>
      </c>
      <c r="Z73" s="11">
        <f>IF(AC73=15,J73,0)</f>
        <v>0</v>
      </c>
      <c r="AA73" s="11">
        <f>IF(AC73=21,J73,0)</f>
        <v>0</v>
      </c>
      <c r="AC73" s="20">
        <v>15</v>
      </c>
      <c r="AD73" s="20">
        <f>G73*0</f>
        <v>0</v>
      </c>
      <c r="AE73" s="20">
        <f>G73*(1-0)</f>
        <v>0</v>
      </c>
    </row>
    <row r="74" spans="1:31" ht="12.75">
      <c r="A74" s="40">
        <v>58</v>
      </c>
      <c r="B74" s="3"/>
      <c r="C74" s="3" t="s">
        <v>72</v>
      </c>
      <c r="D74" s="3" t="s">
        <v>135</v>
      </c>
      <c r="E74" s="3" t="s">
        <v>148</v>
      </c>
      <c r="F74" s="11">
        <v>19</v>
      </c>
      <c r="G74" s="11">
        <v>0</v>
      </c>
      <c r="H74" s="11">
        <f>ROUND(F74*AD74,2)</f>
        <v>0</v>
      </c>
      <c r="I74" s="11">
        <f>J74-H74</f>
        <v>0</v>
      </c>
      <c r="J74" s="11">
        <f>ROUND(F74*G74,2)</f>
        <v>0</v>
      </c>
      <c r="K74" s="11">
        <v>0.0003</v>
      </c>
      <c r="L74" s="11">
        <f>F74*K74</f>
        <v>0.005699999999999999</v>
      </c>
      <c r="M74" s="37"/>
      <c r="N74" s="11">
        <f>IF(M74="5",I74,0)</f>
        <v>0</v>
      </c>
      <c r="Y74" s="11">
        <f>IF(AC74=0,J74,0)</f>
        <v>0</v>
      </c>
      <c r="Z74" s="11">
        <f>IF(AC74=15,J74,0)</f>
        <v>0</v>
      </c>
      <c r="AA74" s="11">
        <f>IF(AC74=21,J74,0)</f>
        <v>0</v>
      </c>
      <c r="AC74" s="20">
        <v>15</v>
      </c>
      <c r="AD74" s="20">
        <f>G74*1</f>
        <v>0</v>
      </c>
      <c r="AE74" s="20">
        <f>G74*(1-1)</f>
        <v>0</v>
      </c>
    </row>
    <row r="75" spans="1:36" ht="12.75">
      <c r="A75" s="38"/>
      <c r="B75" s="8"/>
      <c r="C75" s="8" t="s">
        <v>73</v>
      </c>
      <c r="D75" s="51" t="s">
        <v>202</v>
      </c>
      <c r="E75" s="50"/>
      <c r="F75" s="50"/>
      <c r="G75" s="50"/>
      <c r="H75" s="22">
        <f>SUM(H77:H78)</f>
        <v>0</v>
      </c>
      <c r="I75" s="22">
        <f>SUM(I77:I78)</f>
        <v>0</v>
      </c>
      <c r="J75" s="22">
        <f>SUM(J76:J78)</f>
        <v>0</v>
      </c>
      <c r="K75" s="18"/>
      <c r="L75" s="22">
        <f>SUM(L77:L78)</f>
        <v>6.441000000000001</v>
      </c>
      <c r="M75" s="35"/>
      <c r="O75" s="22">
        <f>IF(P75="PR",J75,SUM(N77:N78))</f>
        <v>0</v>
      </c>
      <c r="P75" s="18" t="s">
        <v>168</v>
      </c>
      <c r="Q75" s="22">
        <f>IF(P75="HS",H75,0)</f>
        <v>0</v>
      </c>
      <c r="R75" s="22">
        <f>IF(P75="HS",I75-O75,0)</f>
        <v>0</v>
      </c>
      <c r="S75" s="22">
        <f>IF(P75="PS",H75,0)</f>
        <v>0</v>
      </c>
      <c r="T75" s="22">
        <f>IF(P75="PS",I75-O75,0)</f>
        <v>0</v>
      </c>
      <c r="U75" s="22">
        <f>IF(P75="MP",H75,0)</f>
        <v>0</v>
      </c>
      <c r="V75" s="22">
        <f>IF(P75="MP",I75-O75,0)</f>
        <v>0</v>
      </c>
      <c r="W75" s="22">
        <f>IF(P75="OM",H75,0)</f>
        <v>0</v>
      </c>
      <c r="X75" s="18"/>
      <c r="AH75" s="22">
        <f>SUM(Y77:Y78)</f>
        <v>0</v>
      </c>
      <c r="AI75" s="22">
        <f>SUM(Z77:Z78)</f>
        <v>0</v>
      </c>
      <c r="AJ75" s="22">
        <f>SUM(AA77:AA78)</f>
        <v>0</v>
      </c>
    </row>
    <row r="76" spans="1:36" ht="25.5">
      <c r="A76" s="41">
        <v>59</v>
      </c>
      <c r="B76" s="24"/>
      <c r="C76" s="3" t="s">
        <v>178</v>
      </c>
      <c r="D76" s="30" t="s">
        <v>188</v>
      </c>
      <c r="E76" s="3" t="s">
        <v>179</v>
      </c>
      <c r="F76" s="11">
        <v>15</v>
      </c>
      <c r="G76" s="11">
        <v>0</v>
      </c>
      <c r="H76" s="11">
        <v>0.00497</v>
      </c>
      <c r="I76" s="11">
        <v>0.00497</v>
      </c>
      <c r="J76" s="11">
        <f>+F76*G76</f>
        <v>0</v>
      </c>
      <c r="K76" s="29"/>
      <c r="L76" s="23"/>
      <c r="M76" s="35"/>
      <c r="O76" s="22"/>
      <c r="P76" s="18"/>
      <c r="Q76" s="22"/>
      <c r="R76" s="22"/>
      <c r="S76" s="22"/>
      <c r="T76" s="22"/>
      <c r="U76" s="22"/>
      <c r="V76" s="22"/>
      <c r="W76" s="22"/>
      <c r="X76" s="18"/>
      <c r="AH76" s="22"/>
      <c r="AI76" s="22"/>
      <c r="AJ76" s="22"/>
    </row>
    <row r="77" spans="1:31" ht="12.75">
      <c r="A77" s="40">
        <v>60</v>
      </c>
      <c r="B77" s="3"/>
      <c r="C77" s="3" t="s">
        <v>74</v>
      </c>
      <c r="D77" s="3" t="s">
        <v>136</v>
      </c>
      <c r="E77" s="3" t="s">
        <v>149</v>
      </c>
      <c r="F77" s="11">
        <v>2</v>
      </c>
      <c r="G77" s="11">
        <v>0</v>
      </c>
      <c r="H77" s="11">
        <f>ROUND(F77*AD77,2)</f>
        <v>0</v>
      </c>
      <c r="I77" s="11">
        <f>J77-H77</f>
        <v>0</v>
      </c>
      <c r="J77" s="11">
        <f>ROUND(F77*G77,2)</f>
        <v>0</v>
      </c>
      <c r="K77" s="11">
        <v>2.2</v>
      </c>
      <c r="L77" s="11">
        <f>F77*K77</f>
        <v>4.4</v>
      </c>
      <c r="M77" s="37"/>
      <c r="N77" s="11">
        <f>IF(M77="5",I77,0)</f>
        <v>0</v>
      </c>
      <c r="Y77" s="11">
        <f>IF(AC77=0,J77,0)</f>
        <v>0</v>
      </c>
      <c r="Z77" s="11">
        <f>IF(AC77=15,J77,0)</f>
        <v>0</v>
      </c>
      <c r="AA77" s="11">
        <f>IF(AC77=21,J77,0)</f>
        <v>0</v>
      </c>
      <c r="AC77" s="20">
        <v>15</v>
      </c>
      <c r="AD77" s="20">
        <f>G77*0</f>
        <v>0</v>
      </c>
      <c r="AE77" s="20">
        <f>G77*(1-0)</f>
        <v>0</v>
      </c>
    </row>
    <row r="78" spans="1:31" ht="12.75">
      <c r="A78" s="41">
        <v>61</v>
      </c>
      <c r="B78" s="3"/>
      <c r="C78" s="3" t="s">
        <v>75</v>
      </c>
      <c r="D78" s="3" t="s">
        <v>137</v>
      </c>
      <c r="E78" s="3" t="s">
        <v>150</v>
      </c>
      <c r="F78" s="11">
        <v>157</v>
      </c>
      <c r="G78" s="11">
        <v>0</v>
      </c>
      <c r="H78" s="11">
        <f>ROUND(F78*AD78,2)</f>
        <v>0</v>
      </c>
      <c r="I78" s="11">
        <f>J78-H78</f>
        <v>0</v>
      </c>
      <c r="J78" s="11">
        <f>ROUND(F78*G78,2)</f>
        <v>0</v>
      </c>
      <c r="K78" s="11">
        <v>0.013</v>
      </c>
      <c r="L78" s="11">
        <f>F78*K78</f>
        <v>2.041</v>
      </c>
      <c r="M78" s="37"/>
      <c r="N78" s="11">
        <f>IF(M78="5",I78,0)</f>
        <v>0</v>
      </c>
      <c r="Y78" s="11">
        <f>IF(AC78=0,J78,0)</f>
        <v>0</v>
      </c>
      <c r="Z78" s="11">
        <f>IF(AC78=15,J78,0)</f>
        <v>0</v>
      </c>
      <c r="AA78" s="11">
        <f>IF(AC78=21,J78,0)</f>
        <v>0</v>
      </c>
      <c r="AC78" s="20">
        <v>15</v>
      </c>
      <c r="AD78" s="20">
        <f>G78*0.25952380952381</f>
        <v>0</v>
      </c>
      <c r="AE78" s="20">
        <f>G78*(1-0.25952380952381)</f>
        <v>0</v>
      </c>
    </row>
    <row r="79" spans="1:36" ht="12.75">
      <c r="A79" s="38"/>
      <c r="B79" s="8"/>
      <c r="C79" s="8" t="s">
        <v>76</v>
      </c>
      <c r="D79" s="51" t="s">
        <v>202</v>
      </c>
      <c r="E79" s="50"/>
      <c r="F79" s="50"/>
      <c r="G79" s="50"/>
      <c r="H79" s="22">
        <f>SUM(H80:H82)</f>
        <v>0</v>
      </c>
      <c r="I79" s="22">
        <f>SUM(I80:I82)</f>
        <v>0</v>
      </c>
      <c r="J79" s="22">
        <f>H79+I79</f>
        <v>0</v>
      </c>
      <c r="K79" s="18"/>
      <c r="L79" s="22">
        <f>SUM(L80:L82)</f>
        <v>3.485</v>
      </c>
      <c r="M79" s="35"/>
      <c r="O79" s="22">
        <f>IF(P79="PR",J79,SUM(N80:N82))</f>
        <v>0</v>
      </c>
      <c r="P79" s="18" t="s">
        <v>168</v>
      </c>
      <c r="Q79" s="22">
        <f>IF(P79="HS",H79,0)</f>
        <v>0</v>
      </c>
      <c r="R79" s="22">
        <f>IF(P79="HS",I79-O79,0)</f>
        <v>0</v>
      </c>
      <c r="S79" s="22">
        <f>IF(P79="PS",H79,0)</f>
        <v>0</v>
      </c>
      <c r="T79" s="22">
        <f>IF(P79="PS",I79-O79,0)</f>
        <v>0</v>
      </c>
      <c r="U79" s="22">
        <f>IF(P79="MP",H79,0)</f>
        <v>0</v>
      </c>
      <c r="V79" s="22">
        <f>IF(P79="MP",I79-O79,0)</f>
        <v>0</v>
      </c>
      <c r="W79" s="22">
        <f>IF(P79="OM",H79,0)</f>
        <v>0</v>
      </c>
      <c r="X79" s="18"/>
      <c r="AH79" s="22">
        <f>SUM(Y80:Y82)</f>
        <v>0</v>
      </c>
      <c r="AI79" s="22">
        <f>SUM(Z80:Z82)</f>
        <v>0</v>
      </c>
      <c r="AJ79" s="22">
        <f>SUM(AA80:AA82)</f>
        <v>0</v>
      </c>
    </row>
    <row r="80" spans="1:31" ht="12.75">
      <c r="A80" s="40">
        <v>61</v>
      </c>
      <c r="B80" s="3"/>
      <c r="C80" s="3" t="s">
        <v>77</v>
      </c>
      <c r="D80" s="3" t="s">
        <v>138</v>
      </c>
      <c r="E80" s="3" t="s">
        <v>149</v>
      </c>
      <c r="F80" s="11">
        <v>1</v>
      </c>
      <c r="G80" s="11">
        <v>0</v>
      </c>
      <c r="H80" s="11">
        <f>ROUND(F80*AD80,2)</f>
        <v>0</v>
      </c>
      <c r="I80" s="11">
        <f>J80-H80</f>
        <v>0</v>
      </c>
      <c r="J80" s="11">
        <f>ROUND(F80*G80,2)</f>
        <v>0</v>
      </c>
      <c r="K80" s="11">
        <v>2</v>
      </c>
      <c r="L80" s="11">
        <f>F80*K80</f>
        <v>2</v>
      </c>
      <c r="M80" s="37"/>
      <c r="N80" s="11">
        <f>IF(M80="5",I80,0)</f>
        <v>0</v>
      </c>
      <c r="Y80" s="11">
        <f>IF(AC80=0,J80,0)</f>
        <v>0</v>
      </c>
      <c r="Z80" s="11">
        <f>IF(AC80=15,J80,0)</f>
        <v>0</v>
      </c>
      <c r="AA80" s="11">
        <f>IF(AC80=21,J80,0)</f>
        <v>0</v>
      </c>
      <c r="AC80" s="20">
        <v>15</v>
      </c>
      <c r="AD80" s="20">
        <f>G80*0.0223742563547864</f>
        <v>0</v>
      </c>
      <c r="AE80" s="20">
        <f>G80*(1-0.0223742563547864)</f>
        <v>0</v>
      </c>
    </row>
    <row r="81" spans="1:31" ht="12.75">
      <c r="A81" s="40">
        <v>63</v>
      </c>
      <c r="B81" s="3"/>
      <c r="C81" s="3" t="s">
        <v>180</v>
      </c>
      <c r="D81" s="3" t="s">
        <v>182</v>
      </c>
      <c r="E81" s="3" t="s">
        <v>150</v>
      </c>
      <c r="F81" s="11">
        <v>135</v>
      </c>
      <c r="G81" s="11">
        <v>0</v>
      </c>
      <c r="H81" s="11">
        <f>ROUND(F81*AD81,2)</f>
        <v>0</v>
      </c>
      <c r="I81" s="11">
        <f>J81-H81</f>
        <v>0</v>
      </c>
      <c r="J81" s="11">
        <f>ROUND(F81*G81,2)</f>
        <v>0</v>
      </c>
      <c r="K81" s="11">
        <v>0.009</v>
      </c>
      <c r="L81" s="11">
        <f>F81*K81</f>
        <v>1.2149999999999999</v>
      </c>
      <c r="M81" s="37"/>
      <c r="N81" s="11">
        <f>IF(M81="5",I81,0)</f>
        <v>0</v>
      </c>
      <c r="Y81" s="11">
        <f>IF(AC81=0,J81,0)</f>
        <v>0</v>
      </c>
      <c r="Z81" s="11">
        <f>IF(AC81=15,J81,0)</f>
        <v>0</v>
      </c>
      <c r="AA81" s="11">
        <f>IF(AC81=21,J81,0)</f>
        <v>0</v>
      </c>
      <c r="AC81" s="20">
        <v>15</v>
      </c>
      <c r="AD81" s="20">
        <f>G81*0.14234693877551</f>
        <v>0</v>
      </c>
      <c r="AE81" s="20">
        <f>G81*(1-0.14234693877551)</f>
        <v>0</v>
      </c>
    </row>
    <row r="82" spans="1:31" ht="25.5">
      <c r="A82" s="40">
        <v>64</v>
      </c>
      <c r="B82" s="3"/>
      <c r="C82" s="3" t="s">
        <v>181</v>
      </c>
      <c r="D82" s="25" t="s">
        <v>183</v>
      </c>
      <c r="E82" s="3" t="s">
        <v>150</v>
      </c>
      <c r="F82" s="11">
        <v>5</v>
      </c>
      <c r="G82" s="11">
        <v>0</v>
      </c>
      <c r="H82" s="11">
        <f>ROUND(F82*AD82,2)</f>
        <v>0</v>
      </c>
      <c r="I82" s="11">
        <f>J82-H82</f>
        <v>0</v>
      </c>
      <c r="J82" s="11">
        <f>ROUND(F82*G82,2)</f>
        <v>0</v>
      </c>
      <c r="K82" s="11">
        <v>0.054</v>
      </c>
      <c r="L82" s="11">
        <f>F82*K82</f>
        <v>0.27</v>
      </c>
      <c r="M82" s="37"/>
      <c r="N82" s="11">
        <f>IF(M82="5",I82,0)</f>
        <v>0</v>
      </c>
      <c r="Y82" s="11">
        <f>IF(AC82=0,J82,0)</f>
        <v>0</v>
      </c>
      <c r="Z82" s="11">
        <f>IF(AC82=15,J82,0)</f>
        <v>0</v>
      </c>
      <c r="AA82" s="11">
        <f>IF(AC82=21,J82,0)</f>
        <v>0</v>
      </c>
      <c r="AC82" s="20">
        <v>15</v>
      </c>
      <c r="AD82" s="20">
        <f>G82*0.0563636363636364</f>
        <v>0</v>
      </c>
      <c r="AE82" s="20">
        <f>G82*(1-0.0563636363636364)</f>
        <v>0</v>
      </c>
    </row>
    <row r="83" spans="1:36" ht="12.75">
      <c r="A83" s="38"/>
      <c r="B83" s="8"/>
      <c r="C83" s="8" t="s">
        <v>78</v>
      </c>
      <c r="D83" s="51" t="s">
        <v>202</v>
      </c>
      <c r="E83" s="50"/>
      <c r="F83" s="50"/>
      <c r="G83" s="50"/>
      <c r="H83" s="22">
        <f>SUM(H84:H86)</f>
        <v>0</v>
      </c>
      <c r="I83" s="22">
        <f>SUM(I84:I86)</f>
        <v>0</v>
      </c>
      <c r="J83" s="22">
        <f>H83+I83</f>
        <v>0</v>
      </c>
      <c r="K83" s="18"/>
      <c r="L83" s="22">
        <f>SUM(L84:L86)</f>
        <v>0</v>
      </c>
      <c r="M83" s="35"/>
      <c r="O83" s="22">
        <f>IF(P83="PR",J83,SUM(N84:N86))</f>
        <v>0</v>
      </c>
      <c r="P83" s="18" t="s">
        <v>170</v>
      </c>
      <c r="Q83" s="22">
        <f>IF(P83="HS",H83,0)</f>
        <v>0</v>
      </c>
      <c r="R83" s="22">
        <f>IF(P83="HS",I83-O83,0)</f>
        <v>0</v>
      </c>
      <c r="S83" s="22">
        <f>IF(P83="PS",H83,0)</f>
        <v>0</v>
      </c>
      <c r="T83" s="22">
        <f>IF(P83="PS",I83-O83,0)</f>
        <v>0</v>
      </c>
      <c r="U83" s="22">
        <f>IF(P83="MP",H83,0)</f>
        <v>0</v>
      </c>
      <c r="V83" s="22">
        <f>IF(P83="MP",I83-O83,0)</f>
        <v>0</v>
      </c>
      <c r="W83" s="22">
        <f>IF(P83="OM",H83,0)</f>
        <v>0</v>
      </c>
      <c r="X83" s="18"/>
      <c r="AH83" s="22">
        <f>SUM(Y84:Y86)</f>
        <v>0</v>
      </c>
      <c r="AI83" s="22">
        <f>SUM(Z84:Z86)</f>
        <v>0</v>
      </c>
      <c r="AJ83" s="22">
        <f>SUM(AA84:AA86)</f>
        <v>0</v>
      </c>
    </row>
    <row r="84" spans="1:31" ht="12.75">
      <c r="A84" s="40">
        <v>65</v>
      </c>
      <c r="B84" s="3"/>
      <c r="C84" s="3" t="s">
        <v>79</v>
      </c>
      <c r="D84" s="3" t="s">
        <v>139</v>
      </c>
      <c r="E84" s="3" t="s">
        <v>151</v>
      </c>
      <c r="F84" s="11">
        <v>1</v>
      </c>
      <c r="G84" s="11">
        <v>0</v>
      </c>
      <c r="H84" s="11">
        <f>ROUND(F84*AD84,2)</f>
        <v>0</v>
      </c>
      <c r="I84" s="11">
        <f>J84-H84</f>
        <v>0</v>
      </c>
      <c r="J84" s="11">
        <f>ROUND(F84*G84,2)</f>
        <v>0</v>
      </c>
      <c r="K84" s="11">
        <v>0</v>
      </c>
      <c r="L84" s="11">
        <f>F84*K84</f>
        <v>0</v>
      </c>
      <c r="M84" s="37"/>
      <c r="N84" s="11">
        <f>IF(M84="5",I84,0)</f>
        <v>0</v>
      </c>
      <c r="Y84" s="11">
        <f>IF(AC84=0,J84,0)</f>
        <v>0</v>
      </c>
      <c r="Z84" s="11">
        <f>IF(AC84=15,J84,0)</f>
        <v>0</v>
      </c>
      <c r="AA84" s="11">
        <f>IF(AC84=21,J84,0)</f>
        <v>0</v>
      </c>
      <c r="AC84" s="20">
        <v>15</v>
      </c>
      <c r="AD84" s="20">
        <f>G84*0</f>
        <v>0</v>
      </c>
      <c r="AE84" s="20">
        <f>G84*(1-0)</f>
        <v>0</v>
      </c>
    </row>
    <row r="85" spans="1:31" ht="12.75">
      <c r="A85" s="40">
        <v>66</v>
      </c>
      <c r="B85" s="3"/>
      <c r="C85" s="3" t="s">
        <v>80</v>
      </c>
      <c r="D85" s="3" t="s">
        <v>140</v>
      </c>
      <c r="E85" s="3" t="s">
        <v>151</v>
      </c>
      <c r="F85" s="11">
        <v>1</v>
      </c>
      <c r="G85" s="11">
        <v>0</v>
      </c>
      <c r="H85" s="11">
        <f>ROUND(F85*AD85,2)</f>
        <v>0</v>
      </c>
      <c r="I85" s="11">
        <f>J85-H85</f>
        <v>0</v>
      </c>
      <c r="J85" s="11">
        <f>ROUND(F85*G85,2)</f>
        <v>0</v>
      </c>
      <c r="K85" s="11">
        <v>0</v>
      </c>
      <c r="L85" s="11">
        <f>F85*K85</f>
        <v>0</v>
      </c>
      <c r="M85" s="37"/>
      <c r="N85" s="11">
        <f>IF(M85="5",I85,0)</f>
        <v>0</v>
      </c>
      <c r="Y85" s="11">
        <f>IF(AC85=0,J85,0)</f>
        <v>0</v>
      </c>
      <c r="Z85" s="11">
        <f>IF(AC85=15,J85,0)</f>
        <v>0</v>
      </c>
      <c r="AA85" s="11">
        <f>IF(AC85=21,J85,0)</f>
        <v>0</v>
      </c>
      <c r="AC85" s="20">
        <v>15</v>
      </c>
      <c r="AD85" s="20">
        <f>G85*0</f>
        <v>0</v>
      </c>
      <c r="AE85" s="20">
        <f>G85*(1-0)</f>
        <v>0</v>
      </c>
    </row>
    <row r="86" spans="1:31" ht="12.75">
      <c r="A86" s="40">
        <v>67</v>
      </c>
      <c r="B86" s="3"/>
      <c r="C86" s="3" t="s">
        <v>81</v>
      </c>
      <c r="D86" s="3" t="s">
        <v>141</v>
      </c>
      <c r="E86" s="3" t="s">
        <v>151</v>
      </c>
      <c r="F86" s="11">
        <v>1</v>
      </c>
      <c r="G86" s="11">
        <v>0</v>
      </c>
      <c r="H86" s="11">
        <f>ROUND(F86*AD86,2)</f>
        <v>0</v>
      </c>
      <c r="I86" s="11">
        <f>J86-H86</f>
        <v>0</v>
      </c>
      <c r="J86" s="11">
        <f>ROUND(F86*G86,2)</f>
        <v>0</v>
      </c>
      <c r="K86" s="11">
        <v>0</v>
      </c>
      <c r="L86" s="11">
        <f>F86*K86</f>
        <v>0</v>
      </c>
      <c r="M86" s="37"/>
      <c r="N86" s="11">
        <f>IF(M86="5",I86,0)</f>
        <v>0</v>
      </c>
      <c r="Y86" s="11">
        <f>IF(AC86=0,J86,0)</f>
        <v>0</v>
      </c>
      <c r="Z86" s="11">
        <f>IF(AC86=15,J86,0)</f>
        <v>0</v>
      </c>
      <c r="AA86" s="11">
        <f>IF(AC86=21,J86,0)</f>
        <v>0</v>
      </c>
      <c r="AC86" s="20">
        <v>15</v>
      </c>
      <c r="AD86" s="20">
        <f>G86*0</f>
        <v>0</v>
      </c>
      <c r="AE86" s="20">
        <f>G86*(1-0)</f>
        <v>0</v>
      </c>
    </row>
    <row r="87" spans="1:37" ht="12.75">
      <c r="A87" s="38"/>
      <c r="B87" s="8"/>
      <c r="C87" s="27" t="s">
        <v>184</v>
      </c>
      <c r="D87" s="49" t="s">
        <v>202</v>
      </c>
      <c r="E87" s="50"/>
      <c r="F87" s="50"/>
      <c r="G87" s="50"/>
      <c r="H87" s="22">
        <f>SUM(H88:H88)</f>
        <v>0</v>
      </c>
      <c r="I87" s="22">
        <f>SUM(I88:I88)</f>
        <v>0</v>
      </c>
      <c r="J87" s="22">
        <f>+J88</f>
        <v>0</v>
      </c>
      <c r="K87" s="18"/>
      <c r="L87" s="22">
        <f>SUM(L88:L88)</f>
        <v>0</v>
      </c>
      <c r="M87" s="37"/>
      <c r="N87" s="11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11"/>
      <c r="Z87" s="11"/>
      <c r="AA87" s="11"/>
      <c r="AB87" s="26"/>
      <c r="AC87" s="20"/>
      <c r="AD87" s="20"/>
      <c r="AE87" s="20"/>
      <c r="AF87" s="26"/>
      <c r="AG87" s="26"/>
      <c r="AH87" s="26"/>
      <c r="AI87" s="26"/>
      <c r="AJ87" s="26"/>
      <c r="AK87" s="26"/>
    </row>
    <row r="88" spans="1:31" ht="26.25" thickBot="1">
      <c r="A88" s="42">
        <v>68</v>
      </c>
      <c r="B88" s="43"/>
      <c r="C88" s="43" t="s">
        <v>185</v>
      </c>
      <c r="D88" s="44" t="s">
        <v>186</v>
      </c>
      <c r="E88" s="45" t="s">
        <v>187</v>
      </c>
      <c r="F88" s="45">
        <v>2</v>
      </c>
      <c r="G88" s="45">
        <v>0</v>
      </c>
      <c r="H88" s="45">
        <f>ROUND(F88*AD88,2)</f>
        <v>0</v>
      </c>
      <c r="I88" s="45">
        <f>ROUND(G88*AE88,2)</f>
        <v>0</v>
      </c>
      <c r="J88" s="45">
        <f>+F88*G88</f>
        <v>0</v>
      </c>
      <c r="K88" s="45"/>
      <c r="L88" s="45"/>
      <c r="M88" s="46"/>
      <c r="N88" s="11"/>
      <c r="Y88" s="11"/>
      <c r="Z88" s="11"/>
      <c r="AA88" s="11"/>
      <c r="AC88" s="20"/>
      <c r="AD88" s="20"/>
      <c r="AE88" s="20"/>
    </row>
    <row r="89" spans="1:28" ht="12.75">
      <c r="A89" s="31"/>
      <c r="B89" s="31"/>
      <c r="C89" s="31"/>
      <c r="D89" s="31"/>
      <c r="E89" s="31"/>
      <c r="F89" s="31"/>
      <c r="G89" s="31"/>
      <c r="H89" s="52" t="s">
        <v>158</v>
      </c>
      <c r="I89" s="53"/>
      <c r="J89" s="23">
        <f>J12+J16+J20+J49+J68+J70+J75+J79+J83+J88</f>
        <v>0</v>
      </c>
      <c r="K89" s="31"/>
      <c r="L89" s="31"/>
      <c r="M89" s="31"/>
      <c r="Z89" s="23">
        <f>SUM(Y13:Y86)</f>
        <v>0</v>
      </c>
      <c r="AA89" s="23">
        <f>SUM(Z13:Z86)</f>
        <v>0</v>
      </c>
      <c r="AB89" s="23">
        <f>SUM(AA13:AA86)</f>
        <v>0</v>
      </c>
    </row>
    <row r="90" ht="11.25" customHeight="1">
      <c r="A90" s="4" t="s">
        <v>15</v>
      </c>
    </row>
    <row r="91" spans="1:13" ht="409.5" customHeight="1" hidden="1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</sheetData>
  <sheetProtection/>
  <mergeCells count="3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6:G16"/>
    <mergeCell ref="D20:G20"/>
    <mergeCell ref="D49:G49"/>
    <mergeCell ref="A91:M91"/>
    <mergeCell ref="D87:G87"/>
    <mergeCell ref="D68:G68"/>
    <mergeCell ref="D70:G70"/>
    <mergeCell ref="D75:G75"/>
    <mergeCell ref="D79:G79"/>
    <mergeCell ref="D83:G83"/>
    <mergeCell ref="H89:I89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Dagmar Dokulilová</cp:lastModifiedBy>
  <dcterms:created xsi:type="dcterms:W3CDTF">2015-08-26T13:59:59Z</dcterms:created>
  <dcterms:modified xsi:type="dcterms:W3CDTF">2019-10-23T08:52:05Z</dcterms:modified>
  <cp:category/>
  <cp:version/>
  <cp:contentType/>
  <cp:contentStatus/>
</cp:coreProperties>
</file>