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firstSheet="1" activeTab="5"/>
  </bookViews>
  <sheets>
    <sheet name="Krycí list rozpočtu" sheetId="1" r:id="rId1"/>
    <sheet name="VORN" sheetId="2" r:id="rId2"/>
    <sheet name="Rozpočet - objekty" sheetId="3" r:id="rId3"/>
    <sheet name="Rozpočet - skupiny" sheetId="4" r:id="rId4"/>
    <sheet name="Stavební rozpočet" sheetId="5" r:id="rId5"/>
    <sheet name="Výkaz výměr" sheetId="6" r:id="rId6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<sst xmlns="http://schemas.openxmlformats.org/spreadsheetml/2006/main" count="3739" uniqueCount="984">
  <si>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</si>
  <si>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</si>
  <si>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</si>
  <si>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</si>
  <si>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</si>
  <si>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</si>
  <si>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</si>
  <si>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</si>
  <si>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</si>
  <si>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</si>
  <si>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</si>
  <si>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</si>
  <si>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</si>
  <si>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</si>
  <si>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</si>
  <si>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</si>
  <si>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</si>
  <si>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</si>
  <si>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</si>
  <si>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</si>
  <si>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</si>
  <si>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</si>
  <si>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</si>
  <si>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</si>
  <si>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</si>
  <si>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</si>
  <si>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</si>
  <si>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</si>
  <si>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</si>
  <si>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</si>
  <si>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</si>
  <si>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</si>
  <si>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</si>
  <si>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</si>
  <si>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</si>
  <si>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</si>
  <si>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</si>
  <si>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</si>
  <si>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</si>
  <si>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</si>
  <si>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</si>
  <si>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</si>
  <si>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</si>
  <si>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</si>
  <si>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</si>
  <si>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ORN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</si>
  <si>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</si>
  <si>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</si>
  <si>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</si>
  <si>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</si>
  <si>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</si>
  <si>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</si>
  <si>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</si>
  <si>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00846520/</t>
  </si>
  <si>
    <t>198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</si>
  <si>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</si>
  <si>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</si>
  <si>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</si>
  <si>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</si>
  <si>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</si>
  <si>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</si>
  <si>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</si>
  <si>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</si>
  <si>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</si>
  <si>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</si>
  <si>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</si>
  <si>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</si>
  <si>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Slepý stavební rozpočet - Jen objekty celkem</t>
  </si>
  <si>
    <t xml:space="preserve"> </t>
  </si>
  <si>
    <t>Objekt</t>
  </si>
  <si>
    <t>SO01</t>
  </si>
  <si>
    <t>SO01a</t>
  </si>
  <si>
    <t>SO01b</t>
  </si>
  <si>
    <t>SO01c</t>
  </si>
  <si>
    <t>SO01d</t>
  </si>
  <si>
    <t>SO01e</t>
  </si>
  <si>
    <t>Zkrácený popis</t>
  </si>
  <si>
    <t>Hlavní stavba HSV</t>
  </si>
  <si>
    <t>Vodoinstalace a zař. předměty</t>
  </si>
  <si>
    <t>Kanalizace</t>
  </si>
  <si>
    <t>Elektromontáže</t>
  </si>
  <si>
    <t>Zpevněné plochy</t>
  </si>
  <si>
    <t>Venkovní kanalizace jímka</t>
  </si>
  <si>
    <t>Doba výstavby:</t>
  </si>
  <si>
    <t>Zpracováno dne:</t>
  </si>
  <si>
    <t>Náklady (Kč)</t>
  </si>
  <si>
    <t>Dodávka</t>
  </si>
  <si>
    <t>Celkem:</t>
  </si>
  <si>
    <t>Celkem</t>
  </si>
  <si>
    <t>F</t>
  </si>
  <si>
    <t>Slepý stavební rozpočet - Jen skupiny</t>
  </si>
  <si>
    <t>Kód</t>
  </si>
  <si>
    <t>1</t>
  </si>
  <si>
    <t>2</t>
  </si>
  <si>
    <t>3</t>
  </si>
  <si>
    <t>4</t>
  </si>
  <si>
    <t>6</t>
  </si>
  <si>
    <t>71</t>
  </si>
  <si>
    <t>76</t>
  </si>
  <si>
    <t>77</t>
  </si>
  <si>
    <t>78</t>
  </si>
  <si>
    <t>9</t>
  </si>
  <si>
    <t>72</t>
  </si>
  <si>
    <t>5</t>
  </si>
  <si>
    <t>8</t>
  </si>
  <si>
    <t>Zemní práce</t>
  </si>
  <si>
    <t>Základy, zvláštní zakládání, zpevňování hornin</t>
  </si>
  <si>
    <t>Svislé a kompletní konstrukce</t>
  </si>
  <si>
    <t>Vodorovné konstrukce</t>
  </si>
  <si>
    <t>Úpravy povrchů a osazování výplní otvorů</t>
  </si>
  <si>
    <t>Izolace</t>
  </si>
  <si>
    <t>Konstrukce</t>
  </si>
  <si>
    <t>Podlahy</t>
  </si>
  <si>
    <t>Dokončovací práce</t>
  </si>
  <si>
    <t>Dokončovací práce, demolice</t>
  </si>
  <si>
    <t>Zdravotně technické instalace</t>
  </si>
  <si>
    <t>Komunikace</t>
  </si>
  <si>
    <t>Trubní vedení</t>
  </si>
  <si>
    <t>T</t>
  </si>
  <si>
    <t>Slepý stavební rozpočet</t>
  </si>
  <si>
    <t>Č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</si>
  <si>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</si>
  <si>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</si>
  <si>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</si>
  <si>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</si>
  <si>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</si>
  <si>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</si>
  <si>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</si>
  <si>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</si>
  <si>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</si>
  <si>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</si>
  <si>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</si>
  <si>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</si>
  <si>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</si>
  <si>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</si>
  <si>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</si>
  <si>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</si>
  <si>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</si>
  <si>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</si>
  <si>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</si>
  <si>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</si>
  <si>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</si>
  <si>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</si>
  <si>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</si>
  <si>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</si>
  <si>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</si>
  <si>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</si>
  <si>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</si>
  <si>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</si>
  <si>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</si>
  <si>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</si>
  <si>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</si>
  <si>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</si>
  <si>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</si>
  <si>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</si>
  <si>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</si>
  <si>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</si>
  <si>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</si>
  <si>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</si>
  <si>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</si>
  <si>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</si>
  <si>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</si>
  <si>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</si>
  <si>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</si>
  <si>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</si>
  <si>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</si>
  <si>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</si>
  <si>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</si>
  <si>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</si>
  <si>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</si>
  <si>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</si>
  <si>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</si>
  <si>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</si>
  <si>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</si>
  <si>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</si>
  <si>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</si>
  <si>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</si>
  <si>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</si>
  <si>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</si>
  <si>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</si>
  <si>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</si>
  <si>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</si>
  <si>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</si>
  <si>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73</t>
  </si>
  <si>
    <t>74</t>
  </si>
  <si>
    <t>75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</si>
  <si>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</si>
  <si>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</si>
  <si>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</si>
  <si>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</si>
  <si>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</si>
  <si>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</si>
  <si>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</si>
  <si>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</si>
  <si>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</si>
  <si>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</si>
  <si>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</si>
  <si>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</si>
  <si>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</si>
  <si>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</si>
  <si>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</si>
  <si>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</si>
  <si>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</si>
  <si>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</si>
  <si>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</si>
  <si>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</si>
  <si>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</si>
  <si>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</si>
  <si>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</si>
  <si>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</si>
  <si>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</si>
  <si>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</si>
  <si>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</si>
  <si>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</si>
  <si>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</si>
  <si>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</si>
  <si>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</si>
  <si>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</si>
  <si>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</si>
  <si>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</si>
  <si>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</si>
  <si>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</si>
  <si>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</si>
  <si>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</si>
  <si>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</si>
  <si>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</si>
  <si>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</si>
  <si>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</si>
  <si>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</si>
  <si>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</si>
  <si>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</si>
  <si>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</si>
  <si>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</si>
  <si>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</si>
  <si>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</si>
  <si>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</si>
  <si>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</si>
  <si>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</si>
  <si>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</si>
  <si>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</si>
  <si>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</si>
  <si>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</si>
  <si>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</si>
  <si>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</si>
  <si>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</si>
  <si>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</si>
  <si>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</si>
  <si>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</si>
  <si>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</si>
  <si>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</si>
  <si>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</si>
  <si>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</si>
  <si>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</si>
  <si>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</si>
  <si>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</si>
  <si>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</si>
  <si>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</si>
  <si>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</si>
  <si>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</si>
  <si>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</si>
  <si>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</si>
  <si>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</si>
  <si>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</si>
  <si>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</si>
  <si>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</si>
  <si>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</si>
  <si>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</si>
  <si>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</si>
  <si>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</si>
  <si>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</si>
  <si>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</si>
  <si>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</si>
  <si>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</si>
  <si>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</si>
  <si>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</si>
  <si>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</si>
  <si>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</si>
  <si>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</si>
  <si>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</si>
  <si>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</si>
  <si>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</si>
  <si>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</si>
  <si>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</si>
  <si>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</si>
  <si>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</si>
  <si>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</si>
  <si>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</si>
  <si>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</si>
  <si>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</si>
  <si>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</si>
  <si>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</si>
  <si>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</si>
  <si>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</si>
  <si>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</si>
  <si>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</si>
  <si>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</si>
  <si>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</si>
  <si>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</si>
  <si>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</si>
  <si>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</si>
  <si>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</si>
  <si>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</si>
  <si>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</si>
  <si>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</si>
  <si>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</si>
  <si>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111000002VD</t>
  </si>
  <si>
    <t>121101101R00</t>
  </si>
  <si>
    <t>132301112R00</t>
  </si>
  <si>
    <t>132301119R00</t>
  </si>
  <si>
    <t>167101102R00</t>
  </si>
  <si>
    <t>162301101R00</t>
  </si>
  <si>
    <t>171201101R00</t>
  </si>
  <si>
    <t>174101101R00</t>
  </si>
  <si>
    <t>174100050RAD</t>
  </si>
  <si>
    <t>274353123R00</t>
  </si>
  <si>
    <t>274311114R00</t>
  </si>
  <si>
    <t>273313611R00</t>
  </si>
  <si>
    <t>273351215R00</t>
  </si>
  <si>
    <t>273351216R00</t>
  </si>
  <si>
    <t>273362021R00</t>
  </si>
  <si>
    <t>998001011R00</t>
  </si>
  <si>
    <t>311271886R00</t>
  </si>
  <si>
    <t>998011001R00</t>
  </si>
  <si>
    <t>342261113RT3</t>
  </si>
  <si>
    <t>342941111R00</t>
  </si>
  <si>
    <t>342941114R00</t>
  </si>
  <si>
    <t>342090121R00</t>
  </si>
  <si>
    <t>417321315R00</t>
  </si>
  <si>
    <t>417361821R00</t>
  </si>
  <si>
    <t>413121001R00</t>
  </si>
  <si>
    <t>59321878</t>
  </si>
  <si>
    <t>417351111R00</t>
  </si>
  <si>
    <t>417351113R00</t>
  </si>
  <si>
    <t>416051212R00</t>
  </si>
  <si>
    <t>610991111R00</t>
  </si>
  <si>
    <t>612421637R00</t>
  </si>
  <si>
    <t>620991121R00</t>
  </si>
  <si>
    <t>622489121RA0</t>
  </si>
  <si>
    <t>632411150RU1</t>
  </si>
  <si>
    <t>632451021R00</t>
  </si>
  <si>
    <t>632441491R00</t>
  </si>
  <si>
    <t>642942213R00</t>
  </si>
  <si>
    <t>55330460</t>
  </si>
  <si>
    <t>55330465</t>
  </si>
  <si>
    <t>711</t>
  </si>
  <si>
    <t>711111001RZ1</t>
  </si>
  <si>
    <t>711441559R00</t>
  </si>
  <si>
    <t>62836108</t>
  </si>
  <si>
    <t>998711101R00</t>
  </si>
  <si>
    <t>712</t>
  </si>
  <si>
    <t>712361701RT1</t>
  </si>
  <si>
    <t>673522306</t>
  </si>
  <si>
    <t>998712101R00</t>
  </si>
  <si>
    <t>713</t>
  </si>
  <si>
    <t>713111121RU2</t>
  </si>
  <si>
    <t>713111211RK3</t>
  </si>
  <si>
    <t>998713101R00</t>
  </si>
  <si>
    <t>762</t>
  </si>
  <si>
    <t>762341210RT3</t>
  </si>
  <si>
    <t>762342206RT2</t>
  </si>
  <si>
    <t>762332110R00</t>
  </si>
  <si>
    <t>762332120R00</t>
  </si>
  <si>
    <t>60596002</t>
  </si>
  <si>
    <t>762395000R00</t>
  </si>
  <si>
    <t>762911125R00</t>
  </si>
  <si>
    <t>31171338.A</t>
  </si>
  <si>
    <t>31179129</t>
  </si>
  <si>
    <t>998762102R00</t>
  </si>
  <si>
    <t>764</t>
  </si>
  <si>
    <t>764410010RA0</t>
  </si>
  <si>
    <t>764391291R00</t>
  </si>
  <si>
    <t>553449200</t>
  </si>
  <si>
    <t>764292661R00</t>
  </si>
  <si>
    <t>764259492R00</t>
  </si>
  <si>
    <t>5534425340</t>
  </si>
  <si>
    <t>764252604R00</t>
  </si>
  <si>
    <t>764551603R00</t>
  </si>
  <si>
    <t>998764101R00</t>
  </si>
  <si>
    <t>765</t>
  </si>
  <si>
    <t>765381111RT2</t>
  </si>
  <si>
    <t>998765101R00</t>
  </si>
  <si>
    <t>766</t>
  </si>
  <si>
    <t>766694111R00</t>
  </si>
  <si>
    <t>60780010</t>
  </si>
  <si>
    <t>60775550.A</t>
  </si>
  <si>
    <t>766629301R00</t>
  </si>
  <si>
    <t>61143056</t>
  </si>
  <si>
    <t>766711021R00</t>
  </si>
  <si>
    <t>61143254VD</t>
  </si>
  <si>
    <t>766660012RA0</t>
  </si>
  <si>
    <t>61162102</t>
  </si>
  <si>
    <t>766660016RA0</t>
  </si>
  <si>
    <t>611653604</t>
  </si>
  <si>
    <t>766670021R00</t>
  </si>
  <si>
    <t>54914595</t>
  </si>
  <si>
    <t>766211520R00</t>
  </si>
  <si>
    <t>55440003</t>
  </si>
  <si>
    <t>55440102</t>
  </si>
  <si>
    <t>55440112</t>
  </si>
  <si>
    <t>55440402</t>
  </si>
  <si>
    <t>71600988VD</t>
  </si>
  <si>
    <t>998766101R00</t>
  </si>
  <si>
    <t>771</t>
  </si>
  <si>
    <t>771575109R00</t>
  </si>
  <si>
    <t>771445014R00</t>
  </si>
  <si>
    <t>771479001R00</t>
  </si>
  <si>
    <t>597642030</t>
  </si>
  <si>
    <t>998771101R00</t>
  </si>
  <si>
    <t>776</t>
  </si>
  <si>
    <t>27251193</t>
  </si>
  <si>
    <t>781</t>
  </si>
  <si>
    <t>781415015R00</t>
  </si>
  <si>
    <t>781101210RT1</t>
  </si>
  <si>
    <t>781479711R00</t>
  </si>
  <si>
    <t>5978136230</t>
  </si>
  <si>
    <t>998781101R00</t>
  </si>
  <si>
    <t>783</t>
  </si>
  <si>
    <t>783726300R00</t>
  </si>
  <si>
    <t>784</t>
  </si>
  <si>
    <t>784111102R00</t>
  </si>
  <si>
    <t>784125422R00</t>
  </si>
  <si>
    <t>941955001R00</t>
  </si>
  <si>
    <t>941955003R00</t>
  </si>
  <si>
    <t>952901111R00</t>
  </si>
  <si>
    <t>722</t>
  </si>
  <si>
    <t>001VD</t>
  </si>
  <si>
    <t>722190224R00</t>
  </si>
  <si>
    <t>722172613R00</t>
  </si>
  <si>
    <t>722172612R00</t>
  </si>
  <si>
    <t>722172631R00</t>
  </si>
  <si>
    <t>722181211RT9</t>
  </si>
  <si>
    <t>722290234R00</t>
  </si>
  <si>
    <t>722202213R00</t>
  </si>
  <si>
    <t>722202217R00</t>
  </si>
  <si>
    <t>722202413R00</t>
  </si>
  <si>
    <t>998722102R00</t>
  </si>
  <si>
    <t>725</t>
  </si>
  <si>
    <t>725017132R00</t>
  </si>
  <si>
    <t>725017153R00</t>
  </si>
  <si>
    <t>725019101R00</t>
  </si>
  <si>
    <t>725013135R00</t>
  </si>
  <si>
    <t>725122111R00</t>
  </si>
  <si>
    <t>725829202R00</t>
  </si>
  <si>
    <t>55145415</t>
  </si>
  <si>
    <t>725823111RT1</t>
  </si>
  <si>
    <t>725810402R00</t>
  </si>
  <si>
    <t>725539102R00</t>
  </si>
  <si>
    <t>725869218R00</t>
  </si>
  <si>
    <t>551620220</t>
  </si>
  <si>
    <t>998725101R00</t>
  </si>
  <si>
    <t>M</t>
  </si>
  <si>
    <t>202      R00</t>
  </si>
  <si>
    <t>M23</t>
  </si>
  <si>
    <t>230330356R00</t>
  </si>
  <si>
    <t>721</t>
  </si>
  <si>
    <t>721176223R00</t>
  </si>
  <si>
    <t>721176105R00</t>
  </si>
  <si>
    <t>721176104R00</t>
  </si>
  <si>
    <t>721176103R00</t>
  </si>
  <si>
    <t>721194109R00</t>
  </si>
  <si>
    <t>721194107R00</t>
  </si>
  <si>
    <t>721194104R00</t>
  </si>
  <si>
    <t>721290111R00</t>
  </si>
  <si>
    <t>998721102R00</t>
  </si>
  <si>
    <t>230330354R00</t>
  </si>
  <si>
    <t>28651754.A</t>
  </si>
  <si>
    <t>28651662.A</t>
  </si>
  <si>
    <t>28651657.A</t>
  </si>
  <si>
    <t>28651690.A</t>
  </si>
  <si>
    <t>28615372.A</t>
  </si>
  <si>
    <t>28615365.A</t>
  </si>
  <si>
    <t>28615404.A</t>
  </si>
  <si>
    <t>28615402.A</t>
  </si>
  <si>
    <t>28615299.A</t>
  </si>
  <si>
    <t>725534111R00</t>
  </si>
  <si>
    <t>141      R00</t>
  </si>
  <si>
    <t>208      R00</t>
  </si>
  <si>
    <t>M21</t>
  </si>
  <si>
    <t>210810006RT1</t>
  </si>
  <si>
    <t>210810005RT1</t>
  </si>
  <si>
    <t>210901071RT1</t>
  </si>
  <si>
    <t>M222VD</t>
  </si>
  <si>
    <t>22202221VD</t>
  </si>
  <si>
    <t>22202220VD</t>
  </si>
  <si>
    <t>22202222VD</t>
  </si>
  <si>
    <t>22202223VD</t>
  </si>
  <si>
    <t>22202224VD</t>
  </si>
  <si>
    <t>22202225VD</t>
  </si>
  <si>
    <t>111000001VD</t>
  </si>
  <si>
    <t>167103101R00</t>
  </si>
  <si>
    <t>162206113R00</t>
  </si>
  <si>
    <t>162606112R00</t>
  </si>
  <si>
    <t>181006112R00</t>
  </si>
  <si>
    <t>460620006RT1</t>
  </si>
  <si>
    <t>564851111R00</t>
  </si>
  <si>
    <t>998222012R00</t>
  </si>
  <si>
    <t>596040011RAB</t>
  </si>
  <si>
    <t>596291111R00</t>
  </si>
  <si>
    <t>998223011R00</t>
  </si>
  <si>
    <t>917832111R00</t>
  </si>
  <si>
    <t>59217331</t>
  </si>
  <si>
    <t>998224111R00</t>
  </si>
  <si>
    <t>133201101R00</t>
  </si>
  <si>
    <t>133201109R00</t>
  </si>
  <si>
    <t>161101101R00</t>
  </si>
  <si>
    <t>162201102R00</t>
  </si>
  <si>
    <t>162601102R00</t>
  </si>
  <si>
    <t>175200022RA0</t>
  </si>
  <si>
    <t>831350113RAD</t>
  </si>
  <si>
    <t>998274101R00</t>
  </si>
  <si>
    <t>894431111R00</t>
  </si>
  <si>
    <t>28697664</t>
  </si>
  <si>
    <t>Novostavba veřejného WC - volnočasový areál Oborná</t>
  </si>
  <si>
    <t>Novostavba</t>
  </si>
  <si>
    <t>Obec Oborná</t>
  </si>
  <si>
    <t>Rozměry</t>
  </si>
  <si>
    <t>Přípravné práce</t>
  </si>
  <si>
    <t>Vlastní vytyčení základového pasu vč.příp.vytyčení stáv.inž.sítí</t>
  </si>
  <si>
    <t>Vlastní vytyčení základové desky,případně stáv.inž.sítí</t>
  </si>
  <si>
    <t>Odkopávky a prokopávky</t>
  </si>
  <si>
    <t>Sejmutí ornice s přemístěním do 50 m</t>
  </si>
  <si>
    <t>Hloubené vykopávky</t>
  </si>
  <si>
    <t>Hloubení rýh š.do 60 cm v hor.4 nad 100 m3,STROJNĚ</t>
  </si>
  <si>
    <t>Přípl.za lepivost,hloubení rýh 60 cm,hor.4,STROJNĚ</t>
  </si>
  <si>
    <t>Přemístění výkopku</t>
  </si>
  <si>
    <t>Nakládání výkopku z hor.1-4 v množství nad 100 m3</t>
  </si>
  <si>
    <t>Vodorovné přemístění výkopku z hor.1-4 do 500 m</t>
  </si>
  <si>
    <t>Konstrukce ze zemin</t>
  </si>
  <si>
    <t>Uložení sypaniny do násypů nezhutněných</t>
  </si>
  <si>
    <t>Zásyp jam, rýh, šachet se zhutněním</t>
  </si>
  <si>
    <t>Zásyp jam,rýh a šachet kamenivo, dovoz</t>
  </si>
  <si>
    <t>Základy</t>
  </si>
  <si>
    <t>Bednění kotev.otvorů pasů do 0,05 m2, hl. 2 m,případný prostup v zákl.pasu</t>
  </si>
  <si>
    <t>Beton základ. pasů prostý z cem. portland. C 12/15</t>
  </si>
  <si>
    <t>Beton základových desek prostý C 16/20 (B 20)</t>
  </si>
  <si>
    <t>Bednění stěn základových desek - zřízení</t>
  </si>
  <si>
    <t>Bednění stěn základových desek - odstranění</t>
  </si>
  <si>
    <t>Výztuž základových desek ze svařovaných sití KARI</t>
  </si>
  <si>
    <t>Přesun hmot pro piloty betonované na místě</t>
  </si>
  <si>
    <t>Zdi podpěrné a volné</t>
  </si>
  <si>
    <t>Zdivo z tvár.pórobet. P4-600 hladkých tl.250</t>
  </si>
  <si>
    <t>Přesun hmot pro budovy zděné výšky do 6 m</t>
  </si>
  <si>
    <t>Stěny a příčky</t>
  </si>
  <si>
    <t>Příčka sádrokarton. ocel.kce, 1x oplášť. tl.125 mm</t>
  </si>
  <si>
    <t>Připojení příček ke stáv.konstr. kotvou na hmožd.</t>
  </si>
  <si>
    <t>Připojení příček ke stáv.konstr. kotva+hřebíky</t>
  </si>
  <si>
    <t>Otvor v SDK, pro dveře 1kř do 25 kg, CW 75, 1xopl.</t>
  </si>
  <si>
    <t>Stropy a stropní konstrukce (pro pozemní stavby)</t>
  </si>
  <si>
    <t>Ztužující pásy a věnce z betonu železového C 20/25</t>
  </si>
  <si>
    <t>Výztuž ztužujících pásů a věnců z oceli 10505</t>
  </si>
  <si>
    <t>Montáž stropních nosníků lehkých dl. do 3,8 m</t>
  </si>
  <si>
    <t>Překlad nosný  NOP 250-1500</t>
  </si>
  <si>
    <t>Bednění ztužujících věnců, obě strany - zřízení</t>
  </si>
  <si>
    <t>Bednění ztužujících věnců, obě strany - odstranění</t>
  </si>
  <si>
    <t>Podhl.,2úr.oc.rošt, kazety, tl.12,5,bez izol</t>
  </si>
  <si>
    <t>Úprava povrchů vnitřní</t>
  </si>
  <si>
    <t>Zakrývání výplní vnitřních otvorů</t>
  </si>
  <si>
    <t>Omítka vnitřní zdiva, MVC, štuková</t>
  </si>
  <si>
    <t>Úprava povrchů vnější</t>
  </si>
  <si>
    <t>Zakrývání výplní vnějších otvorů z lešení</t>
  </si>
  <si>
    <t>Omítka s výztužnou stěrkou,Stomix,akrylát. slož.2</t>
  </si>
  <si>
    <t>Podlahy a podlahové konstrukce</t>
  </si>
  <si>
    <t>Potěr ze SMS, ruční zpracování, tl. 50 mm</t>
  </si>
  <si>
    <t>Vyrovnávací potěr MC 15, v pásu, tl. 20 mm</t>
  </si>
  <si>
    <t>Broušení anhydritových potěrů - odstranění šlemu</t>
  </si>
  <si>
    <t>Výplně otvorů</t>
  </si>
  <si>
    <t>Osazení zárubně do sádrokarton. příčky tl. 125 mm</t>
  </si>
  <si>
    <t>Zárubeň ocelová S125   700x1970x125</t>
  </si>
  <si>
    <t>Zárubeň ocelová S125   900x1970x125 P</t>
  </si>
  <si>
    <t>Izolace proti vodě</t>
  </si>
  <si>
    <t>Izolace proti vlhkosti vodor. nátěr ALP za studena</t>
  </si>
  <si>
    <t>Izolace, tlak. voda, vodor. pásy NAIP přitavením</t>
  </si>
  <si>
    <t>Pás asfaltovaný těžký 35 Al + V60 minerál</t>
  </si>
  <si>
    <t>Přesun hmot pro izolace proti vodě, výšky do 6 m</t>
  </si>
  <si>
    <t>Izolace střech (živičné krytiny)</t>
  </si>
  <si>
    <t>Povlaková krytina střech do 10°, fólií volně</t>
  </si>
  <si>
    <t>Fólie difuzní 3vrstvá</t>
  </si>
  <si>
    <t>Přesun hmot pro povlakové krytiny, výšky do 6 m</t>
  </si>
  <si>
    <t>Izolace tepelné</t>
  </si>
  <si>
    <t>Izolace tepelné stropů rovných spodem, drátem, včetně dodávky</t>
  </si>
  <si>
    <t>Montáž parozábrany krovů spodem s přelepením spojů</t>
  </si>
  <si>
    <t>Přesun hmot pro izolace tepelné, výšky do 6 m</t>
  </si>
  <si>
    <t>Konstrukce tesařské</t>
  </si>
  <si>
    <t>Montáž bednění střech rovných, prkna hrubá na sraz, včetně dodávky</t>
  </si>
  <si>
    <t>Montáž kontralatí na vruty, s těsnicí páskou, včetně dodávky</t>
  </si>
  <si>
    <t>Montáž vázaných krovů pravidelných do 120 cm2</t>
  </si>
  <si>
    <t>Montáž vázaných krovů pravidelných do 224 cm2</t>
  </si>
  <si>
    <t>Řezivo - hranoly</t>
  </si>
  <si>
    <t>Spojovací a ochranné prostředky pro střechy</t>
  </si>
  <si>
    <t>Impregnace řeziv.tlakovakuová proti dřevokazným houbám</t>
  </si>
  <si>
    <t>Kotva pro chem.kotvení CH M16x190/45 A4</t>
  </si>
  <si>
    <t>Tyč závitová M16, DIN 975, poz.</t>
  </si>
  <si>
    <t>Přesun hmot pro tesařské konstrukce, výšky do 12 m</t>
  </si>
  <si>
    <t>Konstrukce klempířské</t>
  </si>
  <si>
    <t>Oplechování parapetů z Pz plechu</t>
  </si>
  <si>
    <t>Montáž závětrné lišty Pz</t>
  </si>
  <si>
    <t>Závětrná lišta rš 250 mm PZ RAL</t>
  </si>
  <si>
    <t>Oplechování okapní hrany z TiZn</t>
  </si>
  <si>
    <t>Montáž kotlíku z Ti Zn oválného</t>
  </si>
  <si>
    <t>Kotlík závěsný půlkulatý tvar G svislý 333/100</t>
  </si>
  <si>
    <t>Žlab podokapní půlkulatý TiZn rš. 333 mm</t>
  </si>
  <si>
    <t>Svod z Ti Zn, kruhový, D 100 mm</t>
  </si>
  <si>
    <t>Přesun hmot pro klempířské konstr., výšky do 6 m</t>
  </si>
  <si>
    <t>Krytina tvrdá</t>
  </si>
  <si>
    <t>Krytina 200 x 95 cm do 10°, vlna</t>
  </si>
  <si>
    <t>Přesun hmot pro krytiny tvrdé, výšky do 6 m</t>
  </si>
  <si>
    <t>Konstrukce truhlářské</t>
  </si>
  <si>
    <t>Montáž parapetních desek š.do 30 cm,dl.do 100 cm</t>
  </si>
  <si>
    <t>Parapet interiér standard š. 150 mm bílý</t>
  </si>
  <si>
    <t>Krytka boční pro PVC parapety 400 mm oboustr. bílá</t>
  </si>
  <si>
    <t>Montáž oken plastových plochy do 1,50 m2</t>
  </si>
  <si>
    <t>Okno plastové jednodílné 100 x 75 cm O, S</t>
  </si>
  <si>
    <t>Montáž vstupních dveří s vypěněním</t>
  </si>
  <si>
    <t>Dveře plastové 1křídlové 100x210 cm, včetně vložky, zámku, kliky</t>
  </si>
  <si>
    <t>Montáž dveří jednokřídlových šířky 70 cm prah</t>
  </si>
  <si>
    <t>Dveře vnitřní fóliované plné 1kř. 70x197 cm</t>
  </si>
  <si>
    <t>Montáž dveří jednokřídlových šířky 90 cm</t>
  </si>
  <si>
    <t>Dveře protipožární profil. plné 1kř. 90x197cm lak</t>
  </si>
  <si>
    <t>Montáž kliky a štítku</t>
  </si>
  <si>
    <t>Kliky se štítem dveř.</t>
  </si>
  <si>
    <t>Montáž madel atyp.průběžných z 1 kusu, š.nad 30 cm</t>
  </si>
  <si>
    <t>Madlo rovné s krytkami 500 mm bílé</t>
  </si>
  <si>
    <t>Madlo dvojité pevné 844 mm bílé</t>
  </si>
  <si>
    <t>Úchyt dvojitý sklopný 852 mm bílý</t>
  </si>
  <si>
    <t>Madlo dvojité pevné 844 mm leštěná nerez</t>
  </si>
  <si>
    <t>WC zástěna a dveře, komplety (předpoklad dle PD)</t>
  </si>
  <si>
    <t>Přesun hmot pro truhlářské konstr., výšky do 6 m</t>
  </si>
  <si>
    <t>Podlahy z dlaždic</t>
  </si>
  <si>
    <t>Montáž podlah keram.,hladké, tmel, 30x30 cm</t>
  </si>
  <si>
    <t>Obklad soklíků hutných, rovných,tmel,v.do 100 mm</t>
  </si>
  <si>
    <t>Řezání dlaždic keramických pro soklíky</t>
  </si>
  <si>
    <t>Dlažba matná 300x300x9 mm</t>
  </si>
  <si>
    <t>Přesun hmot pro podlahy z dlaždic, výšky do 6 m</t>
  </si>
  <si>
    <t>Podlahy povlakové</t>
  </si>
  <si>
    <t>Rohož vstupní pryžová černá velká 23x1000x1500 mm</t>
  </si>
  <si>
    <t>Obklady (keramické)</t>
  </si>
  <si>
    <t>Montáž obkladů stěn, porovin.,tmel, 20x20,30x15 cm</t>
  </si>
  <si>
    <t>Penetrace podkladu pod obklady</t>
  </si>
  <si>
    <t>Příplatek k obkladu stěn keram.,za plochu do 10 m2</t>
  </si>
  <si>
    <t>Obkládačka 20x20 béžová lesk</t>
  </si>
  <si>
    <t>Přesun hmot pro obklady keramické, výšky do 6 m</t>
  </si>
  <si>
    <t>Nátěry</t>
  </si>
  <si>
    <t>Nátěr syntetický lazurovací tesařských konstrukcí,  trojnásobný nátěr lakem</t>
  </si>
  <si>
    <t>Malby</t>
  </si>
  <si>
    <t>Penetrace podkladu nátěrem Standard 2x</t>
  </si>
  <si>
    <t>Malba tekutá, bar., bez penetr.2x</t>
  </si>
  <si>
    <t>Lešení a stavební výtahy</t>
  </si>
  <si>
    <t>Lešení lehké pomocné, výška podlahy do 1,2 m</t>
  </si>
  <si>
    <t>Lešení lehké pomocné, výška podlahy do 2,5 m</t>
  </si>
  <si>
    <t>Různé dokončovací konstrukce a práce na pozemních stavbách</t>
  </si>
  <si>
    <t>Vyčištění budov o výšce podlaží do 4 m</t>
  </si>
  <si>
    <t>Vnitřní vodovod</t>
  </si>
  <si>
    <t>Vodoinstalace rezerva</t>
  </si>
  <si>
    <t>Přípojky vodovodní pro pevné připojení DN 32</t>
  </si>
  <si>
    <t>Potrubí z PPR , studená, D 32x4,4 mm</t>
  </si>
  <si>
    <t>Potrubí z PPR , studená, D 25x3,5 mm</t>
  </si>
  <si>
    <t>Potrubí z PPR, D 20x3,4 mm</t>
  </si>
  <si>
    <t>Izolace návleková tl. stěny 6 mm</t>
  </si>
  <si>
    <t>Proplach a dezinfekce vodovod.potrubí DN 80</t>
  </si>
  <si>
    <t>Nástěnka MZD PP-R  D 20xR1/2</t>
  </si>
  <si>
    <t>Nástěnka MZD PP- D 25xR3/4</t>
  </si>
  <si>
    <t>Kohout kulový nerozebíratelný PP-R  D 25</t>
  </si>
  <si>
    <t>Přesun hmot pro vnitřní vodovod, výšky do 12 m</t>
  </si>
  <si>
    <t>Zařizovací předměty</t>
  </si>
  <si>
    <t>Umyvadlo na šrouby 55 x 42 cm, bílé</t>
  </si>
  <si>
    <t>Umyvadlo invalidní  64 x 55 cm, bílé</t>
  </si>
  <si>
    <t>Výlevka stojící s mřížkou</t>
  </si>
  <si>
    <t>Klozet kombi, nádrž s armat.odpad vodor, bílý</t>
  </si>
  <si>
    <t>Pisoárová mísa diturvitová komplet</t>
  </si>
  <si>
    <t>Montáž baterie umyv.a dřezové nástěnné</t>
  </si>
  <si>
    <t>Baterie dřezová nástěnná</t>
  </si>
  <si>
    <t>Baterie umyvadlová stoján. ruční, bez otvír.odpadu</t>
  </si>
  <si>
    <t>Ventil rohový bez přípoj. trubičky G 1/2</t>
  </si>
  <si>
    <t>Montáž elektr.ohřívačů, ostatní typy</t>
  </si>
  <si>
    <t>Montáž U-sifonu</t>
  </si>
  <si>
    <t>Sifon umyvadlový d 40 mm</t>
  </si>
  <si>
    <t>Přesun hmot pro zařizovací předměty, výšky do 6 m</t>
  </si>
  <si>
    <t>Montážní přirážky</t>
  </si>
  <si>
    <t>Zednické výpomoci hsv       čl.13-2</t>
  </si>
  <si>
    <t>Montáže potrubí</t>
  </si>
  <si>
    <t>Závěrečné tlak.zkoušky,hod.montáže 25-40 tisíc Kč</t>
  </si>
  <si>
    <t>Vnitřní kanalizace</t>
  </si>
  <si>
    <t>Potrubí KG svodné (ležaté) v zemi D 125 x 3,2 mm</t>
  </si>
  <si>
    <t>Potrubí HT připojovací D 110 x 2,7 mm</t>
  </si>
  <si>
    <t>Potrubí HT připojovací D 75 x 1,9 mm</t>
  </si>
  <si>
    <t>Potrubí HT připojovací D 50 x 1,8 mm</t>
  </si>
  <si>
    <t>Vyvedení odpadních výpustek D 110 x 2,3</t>
  </si>
  <si>
    <t>Vyvedení odpadních výpustek D 75 x 1,9</t>
  </si>
  <si>
    <t>Vyvedení odpadních výpustek D 40 x 1,8</t>
  </si>
  <si>
    <t>Zkouška těsnosti kanalizace vodou DN 125</t>
  </si>
  <si>
    <t>Přesun hmot pro vnitřní kanalizaci, výšky do 12 m</t>
  </si>
  <si>
    <t>Závěrečné tlak.zkoušky,hod.montáže 15-20 tisíc Kč</t>
  </si>
  <si>
    <t>Odbočka kanalizační KGEA 160/ 125/87° PVC</t>
  </si>
  <si>
    <t>Koleno kanalizační KGB 160/ 45° PVC</t>
  </si>
  <si>
    <t>Koleno kanalizační KGB 125/ 45° PVC</t>
  </si>
  <si>
    <t>Redukce kanalizační KGR 125/ 110 PVC</t>
  </si>
  <si>
    <t>Odbočka HTEA D 110/ 110 mm 87,5° PP</t>
  </si>
  <si>
    <t>Odbočka HTEA D 110/ 75 mm 45° PP</t>
  </si>
  <si>
    <t>Redukce nesouosá HTR DN 110/  75 mm PP</t>
  </si>
  <si>
    <t>Redukce nesouosá HTR DN  75/  50 mm PP</t>
  </si>
  <si>
    <t>Koleno HTB D 110 mm 87° PP</t>
  </si>
  <si>
    <t>Ohřívač EO dle PD 10L</t>
  </si>
  <si>
    <t>Přirážka za podružný materiál  M 21, M 22</t>
  </si>
  <si>
    <t>Zednické výpomoci HSV</t>
  </si>
  <si>
    <t>Práce malého rozsahu       čl.14-1a</t>
  </si>
  <si>
    <t>Kabel CYKY 3 x 2,5 mm2</t>
  </si>
  <si>
    <t>Kabel CYKY 3 x 1,5 mm2</t>
  </si>
  <si>
    <t>Kabel silový AYKY 4 x 35 mm2</t>
  </si>
  <si>
    <t>Kabeláž</t>
  </si>
  <si>
    <t>Svítidla</t>
  </si>
  <si>
    <t>Rozvaděč</t>
  </si>
  <si>
    <t>Zásuvky</t>
  </si>
  <si>
    <t>Vypínače</t>
  </si>
  <si>
    <t>Jističe, chrániče</t>
  </si>
  <si>
    <t>Vytyčení  případ. stáv.inž.sítí,vlastní vytyčení zpev. ploch</t>
  </si>
  <si>
    <t>Nakládání výkopku zeminy schopné zúrodnění</t>
  </si>
  <si>
    <t>Vodorovné přemístění zemin pro zúrodnění do 100 m</t>
  </si>
  <si>
    <t>Vodorovné přemístění zemin pro zúrodnění do 5000 m</t>
  </si>
  <si>
    <t>Povrchové úpravy terénu</t>
  </si>
  <si>
    <t>Rozprostření zemin v rov./sklonu 1:5, tl. do 15 cm</t>
  </si>
  <si>
    <t>Osetí povrchu trávou</t>
  </si>
  <si>
    <t>Podkladní vrstvy komunikací a zpevněných ploch</t>
  </si>
  <si>
    <t>Podklad ze štěrkodrti po zhutnění tloušťky 15 cm</t>
  </si>
  <si>
    <t>Přesun hmot, zpevněné plochy, kryt z kameniva</t>
  </si>
  <si>
    <t>Kryty pozemních komunikací, letišť a ploch dlážděných (předlažby)</t>
  </si>
  <si>
    <t>Chodník dlážděný D2-D-1-CH-PII a PIII</t>
  </si>
  <si>
    <t>Řezání dlažby tl. 60 mm</t>
  </si>
  <si>
    <t>Přesun hmot, pozemní komunikace, kryt dlážděný</t>
  </si>
  <si>
    <t>Doplňující konstrukce a práce na pozemních komunikacích a zpevněných plochách</t>
  </si>
  <si>
    <t>Osazení stojat. obrub. bet.bez opěry,lože z C12/15</t>
  </si>
  <si>
    <t>Obrubník zahradní ABO 12-20 1000/50/200 mm šedý</t>
  </si>
  <si>
    <t>Přesun hmot, pozemní komunikace, kryt betonový</t>
  </si>
  <si>
    <t>Hloubení šachet v hor.3 do 100 m3</t>
  </si>
  <si>
    <t>Příplatek za lepivost - hloubení šachet v hor.3</t>
  </si>
  <si>
    <t>Svislé přemístění výkopku z hor.1-4 do 2,5 m</t>
  </si>
  <si>
    <t>Vodorovné přemístění výkopku z hor.1-4 do 50 m</t>
  </si>
  <si>
    <t>Vodorovné přemístění výkopku z hor.1-4 do 5000 m</t>
  </si>
  <si>
    <t>Obsyp objektu štěrkopískem, jímku</t>
  </si>
  <si>
    <t>Potrubí z trub kameninových</t>
  </si>
  <si>
    <t>Kanalizační přípojka z trub PVC, DN 160 komplet</t>
  </si>
  <si>
    <t>Přesun hmot, trubní vedení betonové, otevř. výkop</t>
  </si>
  <si>
    <t>Ostatní konstrukce a práce na trubním vedení</t>
  </si>
  <si>
    <t>Osazení plastové šachty</t>
  </si>
  <si>
    <t>Žumpa jímka 6 m3, plastová</t>
  </si>
  <si>
    <t> </t>
  </si>
  <si>
    <t>01.02.2020</t>
  </si>
  <si>
    <t>M.j.</t>
  </si>
  <si>
    <t>Soubor</t>
  </si>
  <si>
    <t>m3</t>
  </si>
  <si>
    <t>kus</t>
  </si>
  <si>
    <t>m2</t>
  </si>
  <si>
    <t>t</t>
  </si>
  <si>
    <t>m</t>
  </si>
  <si>
    <t>soubor</t>
  </si>
  <si>
    <t>sada</t>
  </si>
  <si>
    <t>Množství</t>
  </si>
  <si>
    <t>Jednot.</t>
  </si>
  <si>
    <t>cena (Kč)</t>
  </si>
  <si>
    <t>Ing. Karel Oubělický</t>
  </si>
  <si>
    <t>Boris Mičánek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</si>
  <si>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</si>
  <si>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</si>
  <si>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</si>
  <si>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</si>
  <si>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</si>
  <si>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</si>
  <si>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</si>
  <si>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</si>
  <si>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</si>
  <si>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</si>
  <si>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111_</t>
  </si>
  <si>
    <t>12_</t>
  </si>
  <si>
    <t>13_</t>
  </si>
  <si>
    <t>16_</t>
  </si>
  <si>
    <t>17_</t>
  </si>
  <si>
    <t>27_</t>
  </si>
  <si>
    <t>31_</t>
  </si>
  <si>
    <t>34_</t>
  </si>
  <si>
    <t>41_</t>
  </si>
  <si>
    <t>61_</t>
  </si>
  <si>
    <t>62_</t>
  </si>
  <si>
    <t>63_</t>
  </si>
  <si>
    <t>64_</t>
  </si>
  <si>
    <t>711_</t>
  </si>
  <si>
    <t>712_</t>
  </si>
  <si>
    <t>713_</t>
  </si>
  <si>
    <t>762_</t>
  </si>
  <si>
    <t>764_</t>
  </si>
  <si>
    <t>765_</t>
  </si>
  <si>
    <t>766_</t>
  </si>
  <si>
    <t>771_</t>
  </si>
  <si>
    <t>776_</t>
  </si>
  <si>
    <t>781_</t>
  </si>
  <si>
    <t>783_</t>
  </si>
  <si>
    <t>784_</t>
  </si>
  <si>
    <t>94_</t>
  </si>
  <si>
    <t>95_</t>
  </si>
  <si>
    <t>722_</t>
  </si>
  <si>
    <t>725_</t>
  </si>
  <si>
    <t>M_</t>
  </si>
  <si>
    <t>M23_</t>
  </si>
  <si>
    <t>721_</t>
  </si>
  <si>
    <t>Z99999_</t>
  </si>
  <si>
    <t>M21_</t>
  </si>
  <si>
    <t>M222VD_</t>
  </si>
  <si>
    <t>18_</t>
  </si>
  <si>
    <t>56_</t>
  </si>
  <si>
    <t>59_</t>
  </si>
  <si>
    <t>91_</t>
  </si>
  <si>
    <t>83_</t>
  </si>
  <si>
    <t>89_</t>
  </si>
  <si>
    <t>SO01_1_</t>
  </si>
  <si>
    <t>SO01_2_</t>
  </si>
  <si>
    <t>SO01_3_</t>
  </si>
  <si>
    <t>SO01_4_</t>
  </si>
  <si>
    <t>SO01_6_</t>
  </si>
  <si>
    <t>SO01_71_</t>
  </si>
  <si>
    <t>SO01_76_</t>
  </si>
  <si>
    <t>SO01_77_</t>
  </si>
  <si>
    <t>SO01_78_</t>
  </si>
  <si>
    <t>SO01_9_</t>
  </si>
  <si>
    <t>SO01a_72_</t>
  </si>
  <si>
    <t>SO01a_9_</t>
  </si>
  <si>
    <t>SO01b_72_</t>
  </si>
  <si>
    <t>SO01b_9_</t>
  </si>
  <si>
    <t>SO01b_Z_</t>
  </si>
  <si>
    <t>SO01c_72_</t>
  </si>
  <si>
    <t>SO01c_9_</t>
  </si>
  <si>
    <t>SO01d_1_</t>
  </si>
  <si>
    <t>SO01d_5_</t>
  </si>
  <si>
    <t>SO01d_9_</t>
  </si>
  <si>
    <t>SO01e_1_</t>
  </si>
  <si>
    <t>SO01e_8_</t>
  </si>
  <si>
    <t>SO01e_Z_</t>
  </si>
  <si>
    <t>SO01_</t>
  </si>
  <si>
    <t>SO01a_</t>
  </si>
  <si>
    <t>SO01b_</t>
  </si>
  <si>
    <t>SO01c_</t>
  </si>
  <si>
    <t>SO01d_</t>
  </si>
  <si>
    <t>SO01e_</t>
  </si>
  <si>
    <t>MAT</t>
  </si>
  <si>
    <t>WORK</t>
  </si>
  <si>
    <t>CELK</t>
  </si>
  <si>
    <t>Výkaz výměr</t>
  </si>
  <si>
    <t>200</t>
  </si>
  <si>
    <t>87,57*0,2   terén dolů</t>
  </si>
  <si>
    <t>((8,6+8,6+3,3+3,3)*0,4)*1,3   zakl</t>
  </si>
  <si>
    <t>12,38/3</t>
  </si>
  <si>
    <t>12,38</t>
  </si>
  <si>
    <t>12,38   výkopek</t>
  </si>
  <si>
    <t>(7,9*3,3)*0,15   pod zk.desku</t>
  </si>
  <si>
    <t>(7,9*3,3)*0,15   pod zk.desku 0-63</t>
  </si>
  <si>
    <t>dovoz ze vzdálenosti 15 km</t>
  </si>
  <si>
    <t>8,6*4,1*0,15</t>
  </si>
  <si>
    <t>(8,6+8,6+4,1+4,1)*0,15</t>
  </si>
  <si>
    <t>(8,6*4,1)*0,00799</t>
  </si>
  <si>
    <t>20,55</t>
  </si>
  <si>
    <t>8,5*3,7</t>
  </si>
  <si>
    <t>8,5*3,2</t>
  </si>
  <si>
    <t>(4*3,5)*2</t>
  </si>
  <si>
    <t>1m2=0,23124t</t>
  </si>
  <si>
    <t>86,65*0,23124</t>
  </si>
  <si>
    <t>(3,5+3,5+3,5+2,15+1,5)*2,6</t>
  </si>
  <si>
    <t>7*2,6</t>
  </si>
  <si>
    <t>0,95</t>
  </si>
  <si>
    <t>((8,5+8,5+3,5+3,5)*0,25)*0,25</t>
  </si>
  <si>
    <t>24*0,0055</t>
  </si>
  <si>
    <t>8,5+8,5+3,5+3,5</t>
  </si>
  <si>
    <t>8*3,5</t>
  </si>
  <si>
    <t>5,73</t>
  </si>
  <si>
    <t>(1*0,75)*6   okna</t>
  </si>
  <si>
    <t>(0,9*2,1)*2   dveře</t>
  </si>
  <si>
    <t>(1,5+1,5+2,4+1+2,15)*2,6</t>
  </si>
  <si>
    <t>(1,9+1,9+2,15+2,075+3,5+2,075)*1,1</t>
  </si>
  <si>
    <t>1,77</t>
  </si>
  <si>
    <t>(1*0,15)*6   parapet</t>
  </si>
  <si>
    <t>-6</t>
  </si>
  <si>
    <t>6,77</t>
  </si>
  <si>
    <t>(1*6)*2   parapety</t>
  </si>
  <si>
    <t>3,26</t>
  </si>
  <si>
    <t>0,56</t>
  </si>
  <si>
    <t>4,1*8,6</t>
  </si>
  <si>
    <t>;ztratné 12%; 4,2312</t>
  </si>
  <si>
    <t>0,2</t>
  </si>
  <si>
    <t>39,42   půdorys střechy</t>
  </si>
  <si>
    <t>39,42</t>
  </si>
  <si>
    <t>;ztratné 15%; 5,913</t>
  </si>
  <si>
    <t>8*3,5   2 vrstvy - včetně dodávky plsti tl.120+60 mm</t>
  </si>
  <si>
    <t>39,42   střecha  včetně dodávky řeziva</t>
  </si>
  <si>
    <t>8,4+8,4   pozednice</t>
  </si>
  <si>
    <t>4,5*10   krokve</t>
  </si>
  <si>
    <t>0,12*0,12*8,4   pozednice</t>
  </si>
  <si>
    <t>(0,12*0,2*4,5)*10   krokve</t>
  </si>
  <si>
    <t>0,1*0,12*8,4   pozednice</t>
  </si>
  <si>
    <t>0,88   bednění</t>
  </si>
  <si>
    <t>1,3   krov</t>
  </si>
  <si>
    <t>2,18</t>
  </si>
  <si>
    <t>10*0,25</t>
  </si>
  <si>
    <t>1,42</t>
  </si>
  <si>
    <t>1*6</t>
  </si>
  <si>
    <t>8,8+4,5+4,5</t>
  </si>
  <si>
    <t>8,8</t>
  </si>
  <si>
    <t>2,5</t>
  </si>
  <si>
    <t>0,13</t>
  </si>
  <si>
    <t>;ztratné 5%; 0,3</t>
  </si>
  <si>
    <t>(1+1+2,1+2,1)*2</t>
  </si>
  <si>
    <t>2   včetně vložky zámku</t>
  </si>
  <si>
    <t>3   Dodávka a montáž prahu, bez dodávky dveří.</t>
  </si>
  <si>
    <t>0,5+0,5</t>
  </si>
  <si>
    <t>0,844</t>
  </si>
  <si>
    <t>0,852</t>
  </si>
  <si>
    <t>1   dle PD výroba na míru</t>
  </si>
  <si>
    <t>muže se lišit dle dodavatele.   ocenit samostatně, dle výroby</t>
  </si>
  <si>
    <t>0,41</t>
  </si>
  <si>
    <t>3,39+3,87+7,26+6,65+3,56+1,5</t>
  </si>
  <si>
    <t>2,15+2,15+1,575+1,575</t>
  </si>
  <si>
    <t>1,5+1,5+1+1</t>
  </si>
  <si>
    <t>3,25+3,25+1,5+1,5</t>
  </si>
  <si>
    <t>21,95</t>
  </si>
  <si>
    <t>26,23</t>
  </si>
  <si>
    <t>21,95/10</t>
  </si>
  <si>
    <t>;ztratné 5%; 1,4215</t>
  </si>
  <si>
    <t>0,71</t>
  </si>
  <si>
    <t>(3,5+3,5+1,9+1,9)*1,5</t>
  </si>
  <si>
    <t>(2,15+2,15+1,8+1,8)*1,5</t>
  </si>
  <si>
    <t>(3,5+3,5+2,075+2,075)*1,5</t>
  </si>
  <si>
    <t>44,78</t>
  </si>
  <si>
    <t>;ztratné 5%; 2,239</t>
  </si>
  <si>
    <t>0,8</t>
  </si>
  <si>
    <t>3,2   kolem fasády krov střechy přečnívající</t>
  </si>
  <si>
    <t>3,39+3,87+7,26+6,65+3,56+1,5   stropy</t>
  </si>
  <si>
    <t>(2,15+2,15+1,575+1,575)*2,55</t>
  </si>
  <si>
    <t>(1,5+1,5+1+1)*2,55</t>
  </si>
  <si>
    <t>(3,25+3,25+1,5+1,5)*2,55</t>
  </si>
  <si>
    <t>(3,5+3,5+1,9+1,9)*1,05</t>
  </si>
  <si>
    <t>(2,15+2,15+1,8+1,8)*1,05</t>
  </si>
  <si>
    <t>(3,5+3,5+2,075+2,075)*1,05</t>
  </si>
  <si>
    <t>113,56</t>
  </si>
  <si>
    <t>9+9+5+5</t>
  </si>
  <si>
    <t>11*1,5</t>
  </si>
  <si>
    <t>5+20+20,5</t>
  </si>
  <si>
    <t>45,5</t>
  </si>
  <si>
    <t>0,04</t>
  </si>
  <si>
    <t>4   klozet včetně sedátka v bílé barvě</t>
  </si>
  <si>
    <t>4   WC</t>
  </si>
  <si>
    <t>4+4   pod umyvadla</t>
  </si>
  <si>
    <t>2   pisoáry</t>
  </si>
  <si>
    <t>materiál EO v elektromontážích</t>
  </si>
  <si>
    <t>0,35</t>
  </si>
  <si>
    <t>14104*0,07</t>
  </si>
  <si>
    <t>9   KG potrubí 125</t>
  </si>
  <si>
    <t>11+5+2+4</t>
  </si>
  <si>
    <t>11833*0,07</t>
  </si>
  <si>
    <t>2469,5</t>
  </si>
  <si>
    <t>1509,2</t>
  </si>
  <si>
    <t>(8,8*1,5)*0,15   zámková dlažba</t>
  </si>
  <si>
    <t>120*0,15   volnočasová plocha úprava</t>
  </si>
  <si>
    <t>19,98</t>
  </si>
  <si>
    <t>10   ponechá se v areálu</t>
  </si>
  <si>
    <t>9,8   bude upřčesněné</t>
  </si>
  <si>
    <t>44*0,5   kolem volnočasového objektu</t>
  </si>
  <si>
    <t>1,2+8,5+1,2   kolem zam. dlažby</t>
  </si>
  <si>
    <t>44,6</t>
  </si>
  <si>
    <t>8,5*1,2   tl. 6cm zámková</t>
  </si>
  <si>
    <t xml:space="preserve"> ŠD  150 mm L  30 mm dlažba  60 mm  Celkem  240 mm</t>
  </si>
  <si>
    <t>1,2   Z2 tl.6 cm zámková</t>
  </si>
  <si>
    <t>5,64</t>
  </si>
  <si>
    <t>44,2</t>
  </si>
  <si>
    <t>1,2+8,5+1,2</t>
  </si>
  <si>
    <t>;ztratné 2%; 1,102</t>
  </si>
  <si>
    <t>6,88</t>
  </si>
  <si>
    <t>2,5*2,5*2,5</t>
  </si>
  <si>
    <t>15,63/3</t>
  </si>
  <si>
    <t>2*2*2</t>
  </si>
  <si>
    <t>0,5*0,5*0,5</t>
  </si>
  <si>
    <t>20,5</t>
  </si>
  <si>
    <t>V položce je zakalkulováno: hloubení rýh, pažení a rozepření rýh,</t>
  </si>
  <si>
    <t>svislé přemístění, naložení přebytku po zásypu</t>
  </si>
  <si>
    <t>na dopravní prostředek a odvoz do 10 km,</t>
  </si>
  <si>
    <t>lože pod potrubí ze štěrkopísku, dodávka a montáž potrubí z trub PVC hrdlových</t>
  </si>
  <si>
    <t>obsyp potrubí štěrkopískem, zásyp rýhy sypaninou se zhutněním.</t>
  </si>
  <si>
    <t>11,1</t>
  </si>
  <si>
    <t>1   2x2x2m</t>
  </si>
  <si>
    <t>1   může se lišit dle dodavatele výroby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</si>
</sst>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22"/>
      </left>
      <right style="thin">
        <color indexed="22"/>
      </right>
      <top style="medium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8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9" fillId="0" borderId="2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25" xfId="0" applyNumberFormat="1" applyFont="1" applyFill="1" applyBorder="1" applyAlignment="1" applyProtection="1">
      <alignment horizontal="righ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right" vertical="center"/>
      <protection/>
    </xf>
    <xf numFmtId="4" fontId="9" fillId="0" borderId="26" xfId="0" applyNumberFormat="1" applyFont="1" applyFill="1" applyBorder="1" applyAlignment="1" applyProtection="1">
      <alignment horizontal="righ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49" fontId="11" fillId="34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0" fillId="35" borderId="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49" fontId="15" fillId="34" borderId="0" xfId="0" applyNumberFormat="1" applyFont="1" applyFill="1" applyBorder="1" applyAlignment="1" applyProtection="1">
      <alignment horizontal="left" vertical="center"/>
      <protection/>
    </xf>
    <xf numFmtId="49" fontId="14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15" fillId="34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5" fillId="34" borderId="0" xfId="0" applyNumberFormat="1" applyFont="1" applyFill="1" applyBorder="1" applyAlignment="1" applyProtection="1">
      <alignment horizontal="right" vertical="center"/>
      <protection/>
    </xf>
    <xf numFmtId="4" fontId="14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right" vertical="center"/>
      <protection/>
    </xf>
    <xf numFmtId="4" fontId="12" fillId="0" borderId="16" xfId="0" applyNumberFormat="1" applyFont="1" applyFill="1" applyBorder="1" applyAlignment="1" applyProtection="1">
      <alignment horizontal="righ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0" fillId="36" borderId="40" xfId="0" applyNumberFormat="1" applyFont="1" applyFill="1" applyBorder="1" applyAlignment="1" applyProtection="1">
      <alignment horizontal="left" vertical="center"/>
      <protection/>
    </xf>
    <xf numFmtId="49" fontId="14" fillId="36" borderId="40" xfId="0" applyNumberFormat="1" applyFont="1" applyFill="1" applyBorder="1" applyAlignment="1" applyProtection="1">
      <alignment horizontal="left" vertical="center"/>
      <protection/>
    </xf>
    <xf numFmtId="49" fontId="11" fillId="36" borderId="41" xfId="0" applyNumberFormat="1" applyFont="1" applyFill="1" applyBorder="1" applyAlignment="1" applyProtection="1">
      <alignment horizontal="left" vertical="center"/>
      <protection/>
    </xf>
    <xf numFmtId="49" fontId="15" fillId="36" borderId="41" xfId="0" applyNumberFormat="1" applyFont="1" applyFill="1" applyBorder="1" applyAlignment="1" applyProtection="1">
      <alignment horizontal="left" vertical="center"/>
      <protection/>
    </xf>
    <xf numFmtId="4" fontId="14" fillId="36" borderId="40" xfId="0" applyNumberFormat="1" applyFont="1" applyFill="1" applyBorder="1" applyAlignment="1" applyProtection="1">
      <alignment horizontal="right" vertical="center"/>
      <protection/>
    </xf>
    <xf numFmtId="4" fontId="15" fillId="36" borderId="41" xfId="0" applyNumberFormat="1" applyFont="1" applyFill="1" applyBorder="1" applyAlignment="1" applyProtection="1">
      <alignment horizontal="right" vertical="center"/>
      <protection/>
    </xf>
    <xf numFmtId="49" fontId="11" fillId="36" borderId="42" xfId="0" applyNumberFormat="1" applyFont="1" applyFill="1" applyBorder="1" applyAlignment="1" applyProtection="1">
      <alignment horizontal="left" vertical="center"/>
      <protection/>
    </xf>
    <xf numFmtId="49" fontId="15" fillId="36" borderId="42" xfId="0" applyNumberFormat="1" applyFont="1" applyFill="1" applyBorder="1" applyAlignment="1" applyProtection="1">
      <alignment horizontal="left" vertical="center"/>
      <protection/>
    </xf>
    <xf numFmtId="49" fontId="12" fillId="37" borderId="41" xfId="0" applyNumberFormat="1" applyFont="1" applyFill="1" applyBorder="1" applyAlignment="1" applyProtection="1">
      <alignment horizontal="left" vertical="center"/>
      <protection/>
    </xf>
    <xf numFmtId="4" fontId="12" fillId="37" borderId="41" xfId="0" applyNumberFormat="1" applyFont="1" applyFill="1" applyBorder="1" applyAlignment="1" applyProtection="1">
      <alignment horizontal="right" vertical="center"/>
      <protection/>
    </xf>
    <xf numFmtId="4" fontId="15" fillId="36" borderId="42" xfId="0" applyNumberFormat="1" applyFont="1" applyFill="1" applyBorder="1" applyAlignment="1" applyProtection="1">
      <alignment horizontal="right" vertical="center"/>
      <protection/>
    </xf>
    <xf numFmtId="49" fontId="12" fillId="37" borderId="42" xfId="0" applyNumberFormat="1" applyFont="1" applyFill="1" applyBorder="1" applyAlignment="1" applyProtection="1">
      <alignment horizontal="left" vertical="center"/>
      <protection/>
    </xf>
    <xf numFmtId="4" fontId="12" fillId="37" borderId="42" xfId="0" applyNumberFormat="1" applyFont="1" applyFill="1" applyBorder="1" applyAlignment="1" applyProtection="1">
      <alignment horizontal="right" vertical="center"/>
      <protection/>
    </xf>
    <xf numFmtId="49" fontId="13" fillId="37" borderId="42" xfId="0" applyNumberFormat="1" applyFont="1" applyFill="1" applyBorder="1" applyAlignment="1" applyProtection="1">
      <alignment horizontal="left" vertical="center"/>
      <protection/>
    </xf>
    <xf numFmtId="4" fontId="13" fillId="37" borderId="42" xfId="0" applyNumberFormat="1" applyFont="1" applyFill="1" applyBorder="1" applyAlignment="1" applyProtection="1">
      <alignment horizontal="right" vertical="center"/>
      <protection/>
    </xf>
    <xf numFmtId="49" fontId="10" fillId="36" borderId="41" xfId="0" applyNumberFormat="1" applyFont="1" applyFill="1" applyBorder="1" applyAlignment="1" applyProtection="1">
      <alignment horizontal="left" vertical="center"/>
      <protection/>
    </xf>
    <xf numFmtId="49" fontId="14" fillId="36" borderId="41" xfId="0" applyNumberFormat="1" applyFont="1" applyFill="1" applyBorder="1" applyAlignment="1" applyProtection="1">
      <alignment horizontal="left" vertical="center"/>
      <protection/>
    </xf>
    <xf numFmtId="4" fontId="14" fillId="36" borderId="41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47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49" fontId="4" fillId="33" borderId="47" xfId="0" applyNumberFormat="1" applyFont="1" applyFill="1" applyBorder="1" applyAlignment="1" applyProtection="1">
      <alignment horizontal="left" vertical="center"/>
      <protection/>
    </xf>
    <xf numFmtId="0" fontId="4" fillId="33" borderId="46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52" xfId="0" applyNumberFormat="1" applyFont="1" applyFill="1" applyBorder="1" applyAlignment="1" applyProtection="1">
      <alignment horizontal="lef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4" fillId="0" borderId="58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59" xfId="0" applyNumberFormat="1" applyFont="1" applyFill="1" applyBorder="1" applyAlignment="1" applyProtection="1">
      <alignment horizontal="left" vertical="center"/>
      <protection/>
    </xf>
    <xf numFmtId="4" fontId="4" fillId="0" borderId="58" xfId="0" applyNumberFormat="1" applyFont="1" applyFill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59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62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61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62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63" xfId="0" applyNumberFormat="1" applyFont="1" applyFill="1" applyBorder="1" applyAlignment="1" applyProtection="1">
      <alignment horizontal="left" vertical="center"/>
      <protection/>
    </xf>
    <xf numFmtId="49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44" xfId="0" applyNumberFormat="1" applyFont="1" applyFill="1" applyBorder="1" applyAlignment="1" applyProtection="1">
      <alignment horizontal="left" vertical="center"/>
      <protection/>
    </xf>
    <xf numFmtId="49" fontId="14" fillId="36" borderId="64" xfId="0" applyNumberFormat="1" applyFont="1" applyFill="1" applyBorder="1" applyAlignment="1" applyProtection="1">
      <alignment horizontal="left" vertical="center"/>
      <protection/>
    </xf>
    <xf numFmtId="0" fontId="14" fillId="35" borderId="16" xfId="0" applyNumberFormat="1" applyFont="1" applyFill="1" applyBorder="1" applyAlignment="1" applyProtection="1">
      <alignment horizontal="left" vertical="center"/>
      <protection/>
    </xf>
    <xf numFmtId="0" fontId="14" fillId="35" borderId="40" xfId="0" applyNumberFormat="1" applyFont="1" applyFill="1" applyBorder="1" applyAlignment="1" applyProtection="1">
      <alignment horizontal="left" vertical="center"/>
      <protection/>
    </xf>
    <xf numFmtId="49" fontId="15" fillId="36" borderId="65" xfId="0" applyNumberFormat="1" applyFont="1" applyFill="1" applyBorder="1" applyAlignment="1" applyProtection="1">
      <alignment horizontal="left" vertical="center"/>
      <protection/>
    </xf>
    <xf numFmtId="0" fontId="15" fillId="34" borderId="0" xfId="0" applyNumberFormat="1" applyFont="1" applyFill="1" applyBorder="1" applyAlignment="1" applyProtection="1">
      <alignment horizontal="left" vertical="center"/>
      <protection/>
    </xf>
    <xf numFmtId="0" fontId="15" fillId="34" borderId="42" xfId="0" applyNumberFormat="1" applyFont="1" applyFill="1" applyBorder="1" applyAlignment="1" applyProtection="1">
      <alignment horizontal="left" vertical="center"/>
      <protection/>
    </xf>
    <xf numFmtId="49" fontId="12" fillId="37" borderId="6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2" fillId="37" borderId="66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15" fillId="36" borderId="66" xfId="0" applyNumberFormat="1" applyFont="1" applyFill="1" applyBorder="1" applyAlignment="1" applyProtection="1">
      <alignment horizontal="left" vertical="center"/>
      <protection/>
    </xf>
    <xf numFmtId="0" fontId="15" fillId="34" borderId="41" xfId="0" applyNumberFormat="1" applyFont="1" applyFill="1" applyBorder="1" applyAlignment="1" applyProtection="1">
      <alignment horizontal="left" vertical="center"/>
      <protection/>
    </xf>
    <xf numFmtId="49" fontId="13" fillId="37" borderId="65" xfId="0" applyNumberFormat="1" applyFont="1" applyFill="1" applyBorder="1" applyAlignment="1" applyProtection="1">
      <alignment horizontal="left" vertical="center"/>
      <protection/>
    </xf>
    <xf numFmtId="0" fontId="13" fillId="0" borderId="42" xfId="0" applyNumberFormat="1" applyFont="1" applyFill="1" applyBorder="1" applyAlignment="1" applyProtection="1">
      <alignment horizontal="left" vertical="center"/>
      <protection/>
    </xf>
    <xf numFmtId="49" fontId="15" fillId="34" borderId="0" xfId="0" applyNumberFormat="1" applyFont="1" applyFill="1" applyBorder="1" applyAlignment="1" applyProtection="1">
      <alignment horizontal="left" vertical="center"/>
      <protection/>
    </xf>
    <xf numFmtId="49" fontId="14" fillId="36" borderId="66" xfId="0" applyNumberFormat="1" applyFont="1" applyFill="1" applyBorder="1" applyAlignment="1" applyProtection="1">
      <alignment horizontal="left" vertical="center"/>
      <protection/>
    </xf>
    <xf numFmtId="0" fontId="14" fillId="35" borderId="0" xfId="0" applyNumberFormat="1" applyFont="1" applyFill="1" applyBorder="1" applyAlignment="1" applyProtection="1">
      <alignment horizontal="left" vertical="center"/>
      <protection/>
    </xf>
    <xf numFmtId="0" fontId="14" fillId="35" borderId="41" xfId="0" applyNumberFormat="1" applyFont="1" applyFill="1" applyBorder="1" applyAlignment="1" applyProtection="1">
      <alignment horizontal="left" vertical="center"/>
      <protection/>
    </xf>
    <xf numFmtId="49" fontId="14" fillId="35" borderId="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6">
      <selection activeCell="F6" sqref="F6:G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89"/>
      <c r="B1" s="1"/>
      <c r="C1" s="90" t="s">
        <v>22</v>
      </c>
      <c r="D1" s="91"/>
      <c r="E1" s="91"/>
      <c r="F1" s="91"/>
      <c r="G1" s="91"/>
      <c r="H1" s="91"/>
      <c r="I1" s="91"/>
    </row>
    <row r="2" spans="1:10" ht="12.75">
      <c r="A2" s="92" t="s">
        <v>0</v>
      </c>
      <c r="B2" s="93"/>
      <c r="C2" s="96" t="str">
        <f>'Stavební rozpočet'!C2</f>
        <v>Novostavba veřejného WC - volnočasový areál Oborná</v>
      </c>
      <c r="D2" s="97"/>
      <c r="E2" s="99" t="s">
        <v>31</v>
      </c>
      <c r="F2" s="99" t="str">
        <f>'Stavební rozpočet'!I2</f>
        <v>Obec Oborná</v>
      </c>
      <c r="G2" s="93"/>
      <c r="H2" s="99" t="s">
        <v>49</v>
      </c>
      <c r="I2" s="100" t="s">
        <v>53</v>
      </c>
      <c r="J2" s="15"/>
    </row>
    <row r="3" spans="1:10" ht="12.75">
      <c r="A3" s="94"/>
      <c r="B3" s="95"/>
      <c r="C3" s="98"/>
      <c r="D3" s="98"/>
      <c r="E3" s="95"/>
      <c r="F3" s="95"/>
      <c r="G3" s="95"/>
      <c r="H3" s="95"/>
      <c r="I3" s="101"/>
      <c r="J3" s="15"/>
    </row>
    <row r="4" spans="1:10" ht="12.75">
      <c r="A4" s="102" t="s">
        <v>1</v>
      </c>
      <c r="B4" s="95"/>
      <c r="C4" s="103" t="str">
        <f>'Stavební rozpočet'!C4</f>
        <v>Novostavba</v>
      </c>
      <c r="D4" s="95"/>
      <c r="E4" s="103" t="s">
        <v>32</v>
      </c>
      <c r="F4" s="103" t="str">
        <f>'Stavební rozpočet'!I4</f>
        <v>Ing. Karel Oubělický</v>
      </c>
      <c r="G4" s="95"/>
      <c r="H4" s="103" t="s">
        <v>49</v>
      </c>
      <c r="I4" s="104"/>
      <c r="J4" s="15"/>
    </row>
    <row r="5" spans="1:10" ht="12.75">
      <c r="A5" s="94"/>
      <c r="B5" s="95"/>
      <c r="C5" s="95"/>
      <c r="D5" s="95"/>
      <c r="E5" s="95"/>
      <c r="F5" s="95"/>
      <c r="G5" s="95"/>
      <c r="H5" s="95"/>
      <c r="I5" s="101"/>
      <c r="J5" s="15"/>
    </row>
    <row r="6" spans="1:10" ht="12.75">
      <c r="A6" s="102" t="s">
        <v>2</v>
      </c>
      <c r="B6" s="95"/>
      <c r="C6" s="103" t="str">
        <f>'Stavební rozpočet'!C6</f>
        <v>Obec Oborná</v>
      </c>
      <c r="D6" s="95"/>
      <c r="E6" s="103" t="s">
        <v>33</v>
      </c>
      <c r="F6" s="103"/>
      <c r="G6" s="95"/>
      <c r="H6" s="103" t="s">
        <v>49</v>
      </c>
      <c r="I6" s="104"/>
      <c r="J6" s="15"/>
    </row>
    <row r="7" spans="1:10" ht="12.75">
      <c r="A7" s="94"/>
      <c r="B7" s="95"/>
      <c r="C7" s="95"/>
      <c r="D7" s="95"/>
      <c r="E7" s="95"/>
      <c r="F7" s="95"/>
      <c r="G7" s="95"/>
      <c r="H7" s="95"/>
      <c r="I7" s="101"/>
      <c r="J7" s="15"/>
    </row>
    <row r="8" spans="1:10" ht="12.75">
      <c r="A8" s="102" t="s">
        <v>3</v>
      </c>
      <c r="B8" s="95"/>
      <c r="C8" s="103" t="str">
        <f>'Stavební rozpočet'!F4</f>
        <v> </v>
      </c>
      <c r="D8" s="95"/>
      <c r="E8" s="103" t="s">
        <v>34</v>
      </c>
      <c r="F8" s="103" t="str">
        <f>'Stavební rozpočet'!F6</f>
        <v> </v>
      </c>
      <c r="G8" s="95"/>
      <c r="H8" s="105" t="s">
        <v>50</v>
      </c>
      <c r="I8" s="104" t="s">
        <v>54</v>
      </c>
      <c r="J8" s="15"/>
    </row>
    <row r="9" spans="1:10" ht="12.75">
      <c r="A9" s="94"/>
      <c r="B9" s="95"/>
      <c r="C9" s="95"/>
      <c r="D9" s="95"/>
      <c r="E9" s="95"/>
      <c r="F9" s="95"/>
      <c r="G9" s="95"/>
      <c r="H9" s="95"/>
      <c r="I9" s="101"/>
      <c r="J9" s="15"/>
    </row>
    <row r="10" spans="1:10" ht="12.75">
      <c r="A10" s="102" t="s">
        <v>4</v>
      </c>
      <c r="B10" s="95"/>
      <c r="C10" s="103">
        <f>'Stavební rozpočet'!C8</f>
        <v>801</v>
      </c>
      <c r="D10" s="95"/>
      <c r="E10" s="103" t="s">
        <v>35</v>
      </c>
      <c r="F10" s="103" t="str">
        <f>'Stavební rozpočet'!I8</f>
        <v>Boris Mičánek</v>
      </c>
      <c r="G10" s="95"/>
      <c r="H10" s="105" t="s">
        <v>51</v>
      </c>
      <c r="I10" s="108" t="str">
        <f>'Stavební rozpočet'!F8</f>
        <v>01.02.2020</v>
      </c>
      <c r="J10" s="15"/>
    </row>
    <row r="11" spans="1:10" ht="12.75">
      <c r="A11" s="106"/>
      <c r="B11" s="107"/>
      <c r="C11" s="107"/>
      <c r="D11" s="107"/>
      <c r="E11" s="107"/>
      <c r="F11" s="107"/>
      <c r="G11" s="107"/>
      <c r="H11" s="107"/>
      <c r="I11" s="109"/>
      <c r="J11" s="15"/>
    </row>
    <row r="12" spans="1:9" ht="23.25" customHeight="1">
      <c r="A12" s="110" t="s">
        <v>5</v>
      </c>
      <c r="B12" s="111"/>
      <c r="C12" s="111"/>
      <c r="D12" s="111"/>
      <c r="E12" s="111"/>
      <c r="F12" s="111"/>
      <c r="G12" s="111"/>
      <c r="H12" s="111"/>
      <c r="I12" s="111"/>
    </row>
    <row r="13" spans="1:10" ht="26.25" customHeight="1">
      <c r="A13" s="2" t="s">
        <v>6</v>
      </c>
      <c r="B13" s="112" t="s">
        <v>19</v>
      </c>
      <c r="C13" s="113"/>
      <c r="D13" s="2" t="s">
        <v>23</v>
      </c>
      <c r="E13" s="112" t="s">
        <v>36</v>
      </c>
      <c r="F13" s="113"/>
      <c r="G13" s="2" t="s">
        <v>37</v>
      </c>
      <c r="H13" s="112" t="s">
        <v>52</v>
      </c>
      <c r="I13" s="113"/>
      <c r="J13" s="15"/>
    </row>
    <row r="14" spans="1:10" ht="15" customHeight="1">
      <c r="A14" s="3" t="s">
        <v>7</v>
      </c>
      <c r="B14" s="8" t="s">
        <v>20</v>
      </c>
      <c r="C14" s="11">
        <f>SUM('Stavební rozpočet'!AA12:AA267)</f>
        <v>0</v>
      </c>
      <c r="D14" s="114" t="s">
        <v>24</v>
      </c>
      <c r="E14" s="115"/>
      <c r="F14" s="11">
        <f>VORN!I15</f>
        <v>0</v>
      </c>
      <c r="G14" s="114" t="s">
        <v>38</v>
      </c>
      <c r="H14" s="115"/>
      <c r="I14" s="11">
        <f>VORN!I21</f>
        <v>0</v>
      </c>
      <c r="J14" s="15"/>
    </row>
    <row r="15" spans="1:10" ht="15" customHeight="1">
      <c r="A15" s="4"/>
      <c r="B15" s="8" t="s">
        <v>21</v>
      </c>
      <c r="C15" s="11">
        <f>SUM('Stavební rozpočet'!AB12:AB267)</f>
        <v>0</v>
      </c>
      <c r="D15" s="114" t="s">
        <v>25</v>
      </c>
      <c r="E15" s="115"/>
      <c r="F15" s="11">
        <f>VORN!I16</f>
        <v>0</v>
      </c>
      <c r="G15" s="114" t="s">
        <v>39</v>
      </c>
      <c r="H15" s="115"/>
      <c r="I15" s="11">
        <f>VORN!I22</f>
        <v>0</v>
      </c>
      <c r="J15" s="15"/>
    </row>
    <row r="16" spans="1:10" ht="15" customHeight="1">
      <c r="A16" s="3" t="s">
        <v>8</v>
      </c>
      <c r="B16" s="8" t="s">
        <v>20</v>
      </c>
      <c r="C16" s="11">
        <f>SUM('Stavební rozpočet'!AC12:AC267)</f>
        <v>0</v>
      </c>
      <c r="D16" s="114" t="s">
        <v>26</v>
      </c>
      <c r="E16" s="115"/>
      <c r="F16" s="11">
        <f>VORN!I17</f>
        <v>0</v>
      </c>
      <c r="G16" s="114" t="s">
        <v>40</v>
      </c>
      <c r="H16" s="115"/>
      <c r="I16" s="11">
        <f>VORN!I23</f>
        <v>0</v>
      </c>
      <c r="J16" s="15"/>
    </row>
    <row r="17" spans="1:10" ht="15" customHeight="1">
      <c r="A17" s="4"/>
      <c r="B17" s="8" t="s">
        <v>21</v>
      </c>
      <c r="C17" s="11">
        <f>SUM('Stavební rozpočet'!AD12:AD267)</f>
        <v>0</v>
      </c>
      <c r="D17" s="114"/>
      <c r="E17" s="115"/>
      <c r="F17" s="12"/>
      <c r="G17" s="114" t="s">
        <v>41</v>
      </c>
      <c r="H17" s="115"/>
      <c r="I17" s="11">
        <f>VORN!I24</f>
        <v>0</v>
      </c>
      <c r="J17" s="15"/>
    </row>
    <row r="18" spans="1:10" ht="15" customHeight="1">
      <c r="A18" s="3" t="s">
        <v>9</v>
      </c>
      <c r="B18" s="8" t="s">
        <v>20</v>
      </c>
      <c r="C18" s="11">
        <f>SUM('Stavební rozpočet'!AE12:AE267)</f>
        <v>0</v>
      </c>
      <c r="D18" s="114"/>
      <c r="E18" s="115"/>
      <c r="F18" s="12"/>
      <c r="G18" s="114" t="s">
        <v>42</v>
      </c>
      <c r="H18" s="115"/>
      <c r="I18" s="11">
        <f>VORN!I25</f>
        <v>0</v>
      </c>
      <c r="J18" s="15"/>
    </row>
    <row r="19" spans="1:10" ht="15" customHeight="1">
      <c r="A19" s="4"/>
      <c r="B19" s="8" t="s">
        <v>21</v>
      </c>
      <c r="C19" s="11">
        <f>SUM('Stavební rozpočet'!AF12:AF267)</f>
        <v>0</v>
      </c>
      <c r="D19" s="114"/>
      <c r="E19" s="115"/>
      <c r="F19" s="12"/>
      <c r="G19" s="114" t="s">
        <v>43</v>
      </c>
      <c r="H19" s="115"/>
      <c r="I19" s="11">
        <f>VORN!I26</f>
        <v>0</v>
      </c>
      <c r="J19" s="15"/>
    </row>
    <row r="20" spans="1:10" ht="15" customHeight="1">
      <c r="A20" s="116" t="s">
        <v>10</v>
      </c>
      <c r="B20" s="117"/>
      <c r="C20" s="11">
        <f>SUM('Stavební rozpočet'!AG12:AG267)</f>
        <v>0</v>
      </c>
      <c r="D20" s="114"/>
      <c r="E20" s="115"/>
      <c r="F20" s="12"/>
      <c r="G20" s="114"/>
      <c r="H20" s="115"/>
      <c r="I20" s="12"/>
      <c r="J20" s="15"/>
    </row>
    <row r="21" spans="1:10" ht="15" customHeight="1">
      <c r="A21" s="116" t="s">
        <v>11</v>
      </c>
      <c r="B21" s="117"/>
      <c r="C21" s="11">
        <f>SUM('Stavební rozpočet'!Y12:Y267)</f>
        <v>0</v>
      </c>
      <c r="D21" s="114"/>
      <c r="E21" s="115"/>
      <c r="F21" s="12"/>
      <c r="G21" s="114"/>
      <c r="H21" s="115"/>
      <c r="I21" s="12"/>
      <c r="J21" s="15"/>
    </row>
    <row r="22" spans="1:10" ht="16.5" customHeight="1">
      <c r="A22" s="116" t="s">
        <v>12</v>
      </c>
      <c r="B22" s="117"/>
      <c r="C22" s="11">
        <f>SUM(C14:C21)</f>
        <v>0</v>
      </c>
      <c r="D22" s="116" t="s">
        <v>27</v>
      </c>
      <c r="E22" s="117"/>
      <c r="F22" s="11">
        <f>SUM(F14:F21)</f>
        <v>0</v>
      </c>
      <c r="G22" s="116" t="s">
        <v>44</v>
      </c>
      <c r="H22" s="117"/>
      <c r="I22" s="11">
        <f>SUM(I14:I21)</f>
        <v>0</v>
      </c>
      <c r="J22" s="15"/>
    </row>
    <row r="23" spans="1:10" ht="15" customHeight="1">
      <c r="A23" s="5"/>
      <c r="B23" s="5"/>
      <c r="C23" s="5"/>
      <c r="D23" s="5"/>
      <c r="E23" s="5"/>
      <c r="F23" s="13"/>
      <c r="G23" s="116" t="s">
        <v>45</v>
      </c>
      <c r="H23" s="117"/>
      <c r="I23" s="11">
        <f>vorn_sum</f>
        <v>0</v>
      </c>
      <c r="J23" s="15"/>
    </row>
    <row r="24" spans="1:9" ht="12.75">
      <c r="A24" s="1"/>
      <c r="B24" s="1"/>
      <c r="C24" s="1"/>
      <c r="G24" s="5"/>
      <c r="H24" s="5"/>
      <c r="I24" s="5"/>
    </row>
    <row r="25" spans="1:9" ht="15" customHeight="1">
      <c r="A25" s="118" t="s">
        <v>13</v>
      </c>
      <c r="B25" s="119"/>
      <c r="C25" s="17">
        <f>SUM('Stavební rozpočet'!AI12:AI267)</f>
        <v>0</v>
      </c>
      <c r="D25" s="10"/>
      <c r="E25" s="1"/>
      <c r="F25" s="1"/>
      <c r="G25" s="1"/>
      <c r="H25" s="1"/>
      <c r="I25" s="1"/>
    </row>
    <row r="26" spans="1:10" ht="15" customHeight="1">
      <c r="A26" s="118" t="s">
        <v>14</v>
      </c>
      <c r="B26" s="119"/>
      <c r="C26" s="17">
        <f>SUM('Stavební rozpočet'!AJ12:AJ267)</f>
        <v>0</v>
      </c>
      <c r="D26" s="118" t="s">
        <v>28</v>
      </c>
      <c r="E26" s="119"/>
      <c r="F26" s="17">
        <f>ROUND(C26*(15/100),2)</f>
        <v>0</v>
      </c>
      <c r="G26" s="118" t="s">
        <v>46</v>
      </c>
      <c r="H26" s="119"/>
      <c r="I26" s="17">
        <f>SUM(C25:C27)</f>
        <v>0</v>
      </c>
      <c r="J26" s="15"/>
    </row>
    <row r="27" spans="1:10" ht="15" customHeight="1">
      <c r="A27" s="118" t="s">
        <v>15</v>
      </c>
      <c r="B27" s="119"/>
      <c r="C27" s="17">
        <f>SUM('Stavební rozpočet'!AK12:AK267)+(F22+I22)</f>
        <v>0</v>
      </c>
      <c r="D27" s="118" t="s">
        <v>29</v>
      </c>
      <c r="E27" s="119"/>
      <c r="F27" s="17">
        <f>ROUND(C27*(21/100),2)</f>
        <v>0</v>
      </c>
      <c r="G27" s="118" t="s">
        <v>47</v>
      </c>
      <c r="H27" s="119"/>
      <c r="I27" s="17">
        <f>SUM(F26:F27)+I26</f>
        <v>0</v>
      </c>
      <c r="J27" s="15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10" ht="14.25" customHeight="1">
      <c r="A29" s="120" t="s">
        <v>16</v>
      </c>
      <c r="B29" s="121"/>
      <c r="C29" s="122"/>
      <c r="D29" s="120" t="s">
        <v>30</v>
      </c>
      <c r="E29" s="121"/>
      <c r="F29" s="122"/>
      <c r="G29" s="120" t="s">
        <v>48</v>
      </c>
      <c r="H29" s="121"/>
      <c r="I29" s="122"/>
      <c r="J29" s="16"/>
    </row>
    <row r="30" spans="1:10" ht="14.25" customHeight="1">
      <c r="A30" s="123"/>
      <c r="B30" s="124"/>
      <c r="C30" s="125"/>
      <c r="D30" s="123"/>
      <c r="E30" s="124"/>
      <c r="F30" s="125"/>
      <c r="G30" s="123"/>
      <c r="H30" s="124"/>
      <c r="I30" s="125"/>
      <c r="J30" s="16"/>
    </row>
    <row r="31" spans="1:10" ht="14.25" customHeight="1">
      <c r="A31" s="123"/>
      <c r="B31" s="124"/>
      <c r="C31" s="125"/>
      <c r="D31" s="123"/>
      <c r="E31" s="124"/>
      <c r="F31" s="125"/>
      <c r="G31" s="123"/>
      <c r="H31" s="124"/>
      <c r="I31" s="125"/>
      <c r="J31" s="16"/>
    </row>
    <row r="32" spans="1:10" ht="14.25" customHeight="1">
      <c r="A32" s="123"/>
      <c r="B32" s="124"/>
      <c r="C32" s="125"/>
      <c r="D32" s="123"/>
      <c r="E32" s="124"/>
      <c r="F32" s="125"/>
      <c r="G32" s="123"/>
      <c r="H32" s="124"/>
      <c r="I32" s="125"/>
      <c r="J32" s="16"/>
    </row>
    <row r="33" spans="1:10" ht="14.25" customHeight="1">
      <c r="A33" s="126" t="s">
        <v>17</v>
      </c>
      <c r="B33" s="127"/>
      <c r="C33" s="128"/>
      <c r="D33" s="126" t="s">
        <v>17</v>
      </c>
      <c r="E33" s="127"/>
      <c r="F33" s="128"/>
      <c r="G33" s="126" t="s">
        <v>17</v>
      </c>
      <c r="H33" s="127"/>
      <c r="I33" s="128"/>
      <c r="J33" s="16"/>
    </row>
    <row r="34" spans="1:9" ht="11.25" customHeight="1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9" ht="12.75">
      <c r="A35" s="103"/>
      <c r="B35" s="95"/>
      <c r="C35" s="95"/>
      <c r="D35" s="95"/>
      <c r="E35" s="95"/>
      <c r="F35" s="95"/>
      <c r="G35" s="95"/>
      <c r="H35" s="95"/>
      <c r="I35" s="95"/>
    </row>
  </sheetData>
  <sheetProtection/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G23:H23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 horizontalCentered="1"/>
  <pageMargins left="1.1811023622047245" right="0.3937007874015748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34">
      <selection activeCell="B1" sqref="B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89"/>
      <c r="B1" s="1"/>
      <c r="C1" s="90" t="s">
        <v>63</v>
      </c>
      <c r="D1" s="91"/>
      <c r="E1" s="91"/>
      <c r="F1" s="91"/>
      <c r="G1" s="91"/>
      <c r="H1" s="91"/>
      <c r="I1" s="91"/>
    </row>
    <row r="2" spans="1:10" ht="12.75">
      <c r="A2" s="92" t="s">
        <v>0</v>
      </c>
      <c r="B2" s="93"/>
      <c r="C2" s="96" t="str">
        <f>'Stavební rozpočet'!C2</f>
        <v>Novostavba veřejného WC - volnočasový areál Oborná</v>
      </c>
      <c r="D2" s="97"/>
      <c r="E2" s="99" t="s">
        <v>31</v>
      </c>
      <c r="F2" s="99" t="str">
        <f>'Stavební rozpočet'!I2</f>
        <v>Obec Oborná</v>
      </c>
      <c r="G2" s="93"/>
      <c r="H2" s="99" t="s">
        <v>49</v>
      </c>
      <c r="I2" s="100" t="s">
        <v>53</v>
      </c>
      <c r="J2" s="15"/>
    </row>
    <row r="3" spans="1:10" ht="12.75">
      <c r="A3" s="94"/>
      <c r="B3" s="95"/>
      <c r="C3" s="98"/>
      <c r="D3" s="98"/>
      <c r="E3" s="95"/>
      <c r="F3" s="95"/>
      <c r="G3" s="95"/>
      <c r="H3" s="95"/>
      <c r="I3" s="101"/>
      <c r="J3" s="15"/>
    </row>
    <row r="4" spans="1:10" ht="12.75">
      <c r="A4" s="102" t="s">
        <v>1</v>
      </c>
      <c r="B4" s="95"/>
      <c r="C4" s="103" t="str">
        <f>'Stavební rozpočet'!C4</f>
        <v>Novostavba</v>
      </c>
      <c r="D4" s="95"/>
      <c r="E4" s="103" t="s">
        <v>32</v>
      </c>
      <c r="F4" s="103" t="str">
        <f>'Stavební rozpočet'!I4</f>
        <v>Ing. Karel Oubělický</v>
      </c>
      <c r="G4" s="95"/>
      <c r="H4" s="103" t="s">
        <v>49</v>
      </c>
      <c r="I4" s="104"/>
      <c r="J4" s="15"/>
    </row>
    <row r="5" spans="1:10" ht="12.75">
      <c r="A5" s="94"/>
      <c r="B5" s="95"/>
      <c r="C5" s="95"/>
      <c r="D5" s="95"/>
      <c r="E5" s="95"/>
      <c r="F5" s="95"/>
      <c r="G5" s="95"/>
      <c r="H5" s="95"/>
      <c r="I5" s="101"/>
      <c r="J5" s="15"/>
    </row>
    <row r="6" spans="1:10" ht="12.75">
      <c r="A6" s="102" t="s">
        <v>2</v>
      </c>
      <c r="B6" s="95"/>
      <c r="C6" s="103" t="str">
        <f>'Stavební rozpočet'!C6</f>
        <v>Obec Oborná</v>
      </c>
      <c r="D6" s="95"/>
      <c r="E6" s="103" t="s">
        <v>33</v>
      </c>
      <c r="F6" s="103"/>
      <c r="G6" s="95"/>
      <c r="H6" s="103" t="s">
        <v>49</v>
      </c>
      <c r="I6" s="104"/>
      <c r="J6" s="15"/>
    </row>
    <row r="7" spans="1:10" ht="12.75">
      <c r="A7" s="94"/>
      <c r="B7" s="95"/>
      <c r="C7" s="95"/>
      <c r="D7" s="95"/>
      <c r="E7" s="95"/>
      <c r="F7" s="95"/>
      <c r="G7" s="95"/>
      <c r="H7" s="95"/>
      <c r="I7" s="101"/>
      <c r="J7" s="15"/>
    </row>
    <row r="8" spans="1:10" ht="12.75">
      <c r="A8" s="102" t="s">
        <v>3</v>
      </c>
      <c r="B8" s="95"/>
      <c r="C8" s="103" t="str">
        <f>'Stavební rozpočet'!F4</f>
        <v> </v>
      </c>
      <c r="D8" s="95"/>
      <c r="E8" s="103" t="s">
        <v>34</v>
      </c>
      <c r="F8" s="103" t="str">
        <f>'Stavební rozpočet'!F6</f>
        <v> </v>
      </c>
      <c r="G8" s="95"/>
      <c r="H8" s="105" t="s">
        <v>50</v>
      </c>
      <c r="I8" s="104" t="s">
        <v>54</v>
      </c>
      <c r="J8" s="15"/>
    </row>
    <row r="9" spans="1:10" ht="12.75">
      <c r="A9" s="94"/>
      <c r="B9" s="95"/>
      <c r="C9" s="95"/>
      <c r="D9" s="95"/>
      <c r="E9" s="95"/>
      <c r="F9" s="95"/>
      <c r="G9" s="95"/>
      <c r="H9" s="95"/>
      <c r="I9" s="101"/>
      <c r="J9" s="15"/>
    </row>
    <row r="10" spans="1:10" ht="12.75">
      <c r="A10" s="102" t="s">
        <v>4</v>
      </c>
      <c r="B10" s="95"/>
      <c r="C10" s="103">
        <f>'Stavební rozpočet'!C8</f>
        <v>801</v>
      </c>
      <c r="D10" s="95"/>
      <c r="E10" s="103" t="s">
        <v>35</v>
      </c>
      <c r="F10" s="103" t="str">
        <f>'Stavební rozpočet'!I8</f>
        <v>Boris Mičánek</v>
      </c>
      <c r="G10" s="95"/>
      <c r="H10" s="105" t="s">
        <v>51</v>
      </c>
      <c r="I10" s="108" t="str">
        <f>'Stavební rozpočet'!F8</f>
        <v>01.02.2020</v>
      </c>
      <c r="J10" s="15"/>
    </row>
    <row r="11" spans="1:10" ht="12.75">
      <c r="A11" s="106"/>
      <c r="B11" s="107"/>
      <c r="C11" s="107"/>
      <c r="D11" s="107"/>
      <c r="E11" s="107"/>
      <c r="F11" s="107"/>
      <c r="G11" s="107"/>
      <c r="H11" s="107"/>
      <c r="I11" s="109"/>
      <c r="J11" s="1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29" t="s">
        <v>55</v>
      </c>
      <c r="B13" s="130"/>
      <c r="C13" s="130"/>
      <c r="D13" s="130"/>
      <c r="E13" s="130"/>
      <c r="F13" s="19"/>
      <c r="G13" s="19"/>
      <c r="H13" s="19"/>
      <c r="I13" s="19"/>
    </row>
    <row r="14" spans="1:10" ht="12.75">
      <c r="A14" s="131" t="s">
        <v>56</v>
      </c>
      <c r="B14" s="132"/>
      <c r="C14" s="132"/>
      <c r="D14" s="132"/>
      <c r="E14" s="133"/>
      <c r="F14" s="20" t="s">
        <v>64</v>
      </c>
      <c r="G14" s="20" t="s">
        <v>65</v>
      </c>
      <c r="H14" s="20" t="s">
        <v>66</v>
      </c>
      <c r="I14" s="20" t="s">
        <v>64</v>
      </c>
      <c r="J14" s="16"/>
    </row>
    <row r="15" spans="1:10" ht="12.75">
      <c r="A15" s="134" t="s">
        <v>24</v>
      </c>
      <c r="B15" s="135"/>
      <c r="C15" s="135"/>
      <c r="D15" s="135"/>
      <c r="E15" s="136"/>
      <c r="F15" s="21">
        <v>0</v>
      </c>
      <c r="G15" s="24"/>
      <c r="H15" s="24"/>
      <c r="I15" s="21">
        <f>F15</f>
        <v>0</v>
      </c>
      <c r="J15" s="15"/>
    </row>
    <row r="16" spans="1:10" ht="12.75">
      <c r="A16" s="134" t="s">
        <v>25</v>
      </c>
      <c r="B16" s="135"/>
      <c r="C16" s="135"/>
      <c r="D16" s="135"/>
      <c r="E16" s="136"/>
      <c r="F16" s="21">
        <v>0</v>
      </c>
      <c r="G16" s="24"/>
      <c r="H16" s="24"/>
      <c r="I16" s="21">
        <f>F16</f>
        <v>0</v>
      </c>
      <c r="J16" s="15"/>
    </row>
    <row r="17" spans="1:10" ht="12.75">
      <c r="A17" s="137" t="s">
        <v>26</v>
      </c>
      <c r="B17" s="138"/>
      <c r="C17" s="138"/>
      <c r="D17" s="138"/>
      <c r="E17" s="139"/>
      <c r="F17" s="22">
        <v>0</v>
      </c>
      <c r="G17" s="25"/>
      <c r="H17" s="25"/>
      <c r="I17" s="22">
        <f>F17</f>
        <v>0</v>
      </c>
      <c r="J17" s="15"/>
    </row>
    <row r="18" spans="1:10" ht="12.75">
      <c r="A18" s="140" t="s">
        <v>57</v>
      </c>
      <c r="B18" s="141"/>
      <c r="C18" s="141"/>
      <c r="D18" s="141"/>
      <c r="E18" s="142"/>
      <c r="F18" s="23"/>
      <c r="G18" s="26"/>
      <c r="H18" s="26"/>
      <c r="I18" s="27">
        <f>SUM(I15:I17)</f>
        <v>0</v>
      </c>
      <c r="J18" s="16"/>
    </row>
    <row r="19" spans="1:9" ht="12.75">
      <c r="A19" s="18"/>
      <c r="B19" s="18"/>
      <c r="C19" s="18"/>
      <c r="D19" s="18"/>
      <c r="E19" s="18"/>
      <c r="F19" s="18"/>
      <c r="G19" s="18"/>
      <c r="H19" s="18"/>
      <c r="I19" s="18"/>
    </row>
    <row r="20" spans="1:10" ht="12.75">
      <c r="A20" s="131" t="s">
        <v>52</v>
      </c>
      <c r="B20" s="132"/>
      <c r="C20" s="132"/>
      <c r="D20" s="132"/>
      <c r="E20" s="133"/>
      <c r="F20" s="20" t="s">
        <v>64</v>
      </c>
      <c r="G20" s="20" t="s">
        <v>65</v>
      </c>
      <c r="H20" s="20" t="s">
        <v>66</v>
      </c>
      <c r="I20" s="20" t="s">
        <v>64</v>
      </c>
      <c r="J20" s="16"/>
    </row>
    <row r="21" spans="1:10" ht="12.75">
      <c r="A21" s="134" t="s">
        <v>38</v>
      </c>
      <c r="B21" s="135"/>
      <c r="C21" s="135"/>
      <c r="D21" s="135"/>
      <c r="E21" s="136"/>
      <c r="F21" s="24"/>
      <c r="G21" s="21"/>
      <c r="H21" s="21">
        <f>'Krycí list rozpočtu'!C22</f>
        <v>0</v>
      </c>
      <c r="I21" s="21">
        <f>(G21/100)*H21</f>
        <v>0</v>
      </c>
      <c r="J21" s="15"/>
    </row>
    <row r="22" spans="1:10" ht="12.75">
      <c r="A22" s="134" t="s">
        <v>39</v>
      </c>
      <c r="B22" s="135"/>
      <c r="C22" s="135"/>
      <c r="D22" s="135"/>
      <c r="E22" s="136"/>
      <c r="F22" s="21">
        <v>0</v>
      </c>
      <c r="G22" s="24"/>
      <c r="H22" s="24"/>
      <c r="I22" s="21">
        <f>F22</f>
        <v>0</v>
      </c>
      <c r="J22" s="15"/>
    </row>
    <row r="23" spans="1:10" ht="12.75">
      <c r="A23" s="134" t="s">
        <v>40</v>
      </c>
      <c r="B23" s="135"/>
      <c r="C23" s="135"/>
      <c r="D23" s="135"/>
      <c r="E23" s="136"/>
      <c r="F23" s="21">
        <v>0</v>
      </c>
      <c r="G23" s="24"/>
      <c r="H23" s="24"/>
      <c r="I23" s="21">
        <f>F23</f>
        <v>0</v>
      </c>
      <c r="J23" s="15"/>
    </row>
    <row r="24" spans="1:10" ht="12.75">
      <c r="A24" s="134" t="s">
        <v>41</v>
      </c>
      <c r="B24" s="135"/>
      <c r="C24" s="135"/>
      <c r="D24" s="135"/>
      <c r="E24" s="136"/>
      <c r="F24" s="21">
        <v>0</v>
      </c>
      <c r="G24" s="24"/>
      <c r="H24" s="24"/>
      <c r="I24" s="21">
        <f>F24</f>
        <v>0</v>
      </c>
      <c r="J24" s="15"/>
    </row>
    <row r="25" spans="1:10" ht="12.75">
      <c r="A25" s="134" t="s">
        <v>42</v>
      </c>
      <c r="B25" s="135"/>
      <c r="C25" s="135"/>
      <c r="D25" s="135"/>
      <c r="E25" s="136"/>
      <c r="F25" s="21">
        <v>0</v>
      </c>
      <c r="G25" s="24"/>
      <c r="H25" s="24"/>
      <c r="I25" s="21">
        <f>F25</f>
        <v>0</v>
      </c>
      <c r="J25" s="15"/>
    </row>
    <row r="26" spans="1:10" ht="12.75">
      <c r="A26" s="137" t="s">
        <v>43</v>
      </c>
      <c r="B26" s="138"/>
      <c r="C26" s="138"/>
      <c r="D26" s="138"/>
      <c r="E26" s="139"/>
      <c r="F26" s="22">
        <v>0</v>
      </c>
      <c r="G26" s="25"/>
      <c r="H26" s="25"/>
      <c r="I26" s="22">
        <f>F26</f>
        <v>0</v>
      </c>
      <c r="J26" s="15"/>
    </row>
    <row r="27" spans="1:10" ht="12.75">
      <c r="A27" s="140" t="s">
        <v>58</v>
      </c>
      <c r="B27" s="141"/>
      <c r="C27" s="141"/>
      <c r="D27" s="141"/>
      <c r="E27" s="142"/>
      <c r="F27" s="23"/>
      <c r="G27" s="26"/>
      <c r="H27" s="26"/>
      <c r="I27" s="27">
        <f>SUM(I21:I26)</f>
        <v>0</v>
      </c>
      <c r="J27" s="16"/>
    </row>
    <row r="28" spans="1:9" ht="12.75">
      <c r="A28" s="18"/>
      <c r="B28" s="18"/>
      <c r="C28" s="18"/>
      <c r="D28" s="18"/>
      <c r="E28" s="18"/>
      <c r="F28" s="18"/>
      <c r="G28" s="18"/>
      <c r="H28" s="18"/>
      <c r="I28" s="18"/>
    </row>
    <row r="29" spans="1:10" ht="15" customHeight="1">
      <c r="A29" s="143" t="s">
        <v>59</v>
      </c>
      <c r="B29" s="144"/>
      <c r="C29" s="144"/>
      <c r="D29" s="144"/>
      <c r="E29" s="145"/>
      <c r="F29" s="146">
        <f>I18+I27</f>
        <v>0</v>
      </c>
      <c r="G29" s="147"/>
      <c r="H29" s="147"/>
      <c r="I29" s="148"/>
      <c r="J29" s="16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29" t="s">
        <v>60</v>
      </c>
      <c r="B33" s="130"/>
      <c r="C33" s="130"/>
      <c r="D33" s="130"/>
      <c r="E33" s="130"/>
      <c r="F33" s="19"/>
      <c r="G33" s="19"/>
      <c r="H33" s="19"/>
      <c r="I33" s="19"/>
    </row>
    <row r="34" spans="1:10" ht="12.75">
      <c r="A34" s="131" t="s">
        <v>61</v>
      </c>
      <c r="B34" s="132"/>
      <c r="C34" s="132"/>
      <c r="D34" s="132"/>
      <c r="E34" s="133"/>
      <c r="F34" s="20" t="s">
        <v>64</v>
      </c>
      <c r="G34" s="20" t="s">
        <v>65</v>
      </c>
      <c r="H34" s="20" t="s">
        <v>66</v>
      </c>
      <c r="I34" s="20" t="s">
        <v>64</v>
      </c>
      <c r="J34" s="16"/>
    </row>
    <row r="35" spans="1:10" ht="12.75">
      <c r="A35" s="137"/>
      <c r="B35" s="138"/>
      <c r="C35" s="138"/>
      <c r="D35" s="138"/>
      <c r="E35" s="139"/>
      <c r="F35" s="22">
        <v>0</v>
      </c>
      <c r="G35" s="25"/>
      <c r="H35" s="25"/>
      <c r="I35" s="22">
        <f>F35</f>
        <v>0</v>
      </c>
      <c r="J35" s="15"/>
    </row>
    <row r="36" spans="1:10" ht="12.75">
      <c r="A36" s="140" t="s">
        <v>62</v>
      </c>
      <c r="B36" s="141"/>
      <c r="C36" s="141"/>
      <c r="D36" s="141"/>
      <c r="E36" s="142"/>
      <c r="F36" s="23"/>
      <c r="G36" s="26"/>
      <c r="H36" s="26"/>
      <c r="I36" s="27">
        <f>SUM(I35:I35)</f>
        <v>0</v>
      </c>
      <c r="J36" s="16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 horizontalCentered="1"/>
  <pageMargins left="1.1811023622047245" right="0.3937007874015748" top="0.5905511811023623" bottom="0.5905511811023623" header="0.5118110236220472" footer="0.5118110236220472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J6" sqref="J6:L7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8" width="14.28125" style="0" customWidth="1"/>
    <col min="9" max="9" width="11.57421875" style="0" customWidth="1"/>
    <col min="10" max="12" width="14.28125" style="0" customWidth="1"/>
    <col min="13" max="16" width="12.140625" style="0" hidden="1" customWidth="1"/>
  </cols>
  <sheetData>
    <row r="1" spans="1:12" ht="72.75" customHeight="1">
      <c r="A1" s="149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3" ht="12.75">
      <c r="A2" s="92" t="s">
        <v>0</v>
      </c>
      <c r="B2" s="93"/>
      <c r="C2" s="93"/>
      <c r="D2" s="96" t="str">
        <f>'Stavební rozpočet'!C2</f>
        <v>Novostavba veřejného WC - volnočasový areál Oborná</v>
      </c>
      <c r="E2" s="99" t="s">
        <v>83</v>
      </c>
      <c r="F2" s="93"/>
      <c r="G2" s="99" t="str">
        <f>'Stavební rozpočet'!F2</f>
        <v> </v>
      </c>
      <c r="H2" s="93"/>
      <c r="I2" s="99" t="s">
        <v>31</v>
      </c>
      <c r="J2" s="99" t="str">
        <f>'Stavební rozpočet'!I2</f>
        <v>Obec Oborná</v>
      </c>
      <c r="K2" s="93"/>
      <c r="L2" s="150"/>
      <c r="M2" s="15"/>
    </row>
    <row r="3" spans="1:13" ht="12.75">
      <c r="A3" s="94"/>
      <c r="B3" s="95"/>
      <c r="C3" s="95"/>
      <c r="D3" s="98"/>
      <c r="E3" s="95"/>
      <c r="F3" s="95"/>
      <c r="G3" s="95"/>
      <c r="H3" s="95"/>
      <c r="I3" s="95"/>
      <c r="J3" s="95"/>
      <c r="K3" s="95"/>
      <c r="L3" s="101"/>
      <c r="M3" s="15"/>
    </row>
    <row r="4" spans="1:13" ht="12.75">
      <c r="A4" s="102" t="s">
        <v>1</v>
      </c>
      <c r="B4" s="95"/>
      <c r="C4" s="95"/>
      <c r="D4" s="103" t="str">
        <f>'Stavební rozpočet'!C4</f>
        <v>Novostavba</v>
      </c>
      <c r="E4" s="103" t="s">
        <v>3</v>
      </c>
      <c r="F4" s="95"/>
      <c r="G4" s="103" t="str">
        <f>'Stavební rozpočet'!F4</f>
        <v> </v>
      </c>
      <c r="H4" s="95"/>
      <c r="I4" s="103" t="s">
        <v>32</v>
      </c>
      <c r="J4" s="103" t="str">
        <f>'Stavební rozpočet'!I4</f>
        <v>Ing. Karel Oubělický</v>
      </c>
      <c r="K4" s="95"/>
      <c r="L4" s="101"/>
      <c r="M4" s="15"/>
    </row>
    <row r="5" spans="1:13" ht="12.7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101"/>
      <c r="M5" s="15"/>
    </row>
    <row r="6" spans="1:13" ht="12.75">
      <c r="A6" s="102" t="s">
        <v>2</v>
      </c>
      <c r="B6" s="95"/>
      <c r="C6" s="95"/>
      <c r="D6" s="103" t="str">
        <f>'Stavební rozpočet'!C6</f>
        <v>Obec Oborná</v>
      </c>
      <c r="E6" s="103" t="s">
        <v>34</v>
      </c>
      <c r="F6" s="95"/>
      <c r="G6" s="103" t="str">
        <f>'Stavební rozpočet'!F6</f>
        <v> </v>
      </c>
      <c r="H6" s="95"/>
      <c r="I6" s="103" t="s">
        <v>33</v>
      </c>
      <c r="J6" s="103"/>
      <c r="K6" s="95"/>
      <c r="L6" s="101"/>
      <c r="M6" s="15"/>
    </row>
    <row r="7" spans="1:13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101"/>
      <c r="M7" s="15"/>
    </row>
    <row r="8" spans="1:13" ht="12.75">
      <c r="A8" s="102" t="s">
        <v>4</v>
      </c>
      <c r="B8" s="95"/>
      <c r="C8" s="95"/>
      <c r="D8" s="103">
        <f>'Stavební rozpočet'!C8</f>
        <v>801</v>
      </c>
      <c r="E8" s="103" t="s">
        <v>84</v>
      </c>
      <c r="F8" s="95"/>
      <c r="G8" s="103" t="str">
        <f>'Stavební rozpočet'!F8</f>
        <v>01.02.2020</v>
      </c>
      <c r="H8" s="95"/>
      <c r="I8" s="103" t="s">
        <v>35</v>
      </c>
      <c r="J8" s="103" t="str">
        <f>'Stavební rozpočet'!I8</f>
        <v>Boris Mičánek</v>
      </c>
      <c r="K8" s="95"/>
      <c r="L8" s="101"/>
      <c r="M8" s="15"/>
    </row>
    <row r="9" spans="1:13" ht="12.75">
      <c r="A9" s="153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2"/>
      <c r="M9" s="15"/>
    </row>
    <row r="10" spans="1:13" ht="12.75">
      <c r="A10" s="28" t="s">
        <v>68</v>
      </c>
      <c r="B10" s="156" t="s">
        <v>68</v>
      </c>
      <c r="C10" s="157"/>
      <c r="D10" s="157"/>
      <c r="E10" s="157"/>
      <c r="F10" s="157"/>
      <c r="G10" s="157"/>
      <c r="H10" s="157"/>
      <c r="I10" s="158"/>
      <c r="J10" s="159" t="s">
        <v>85</v>
      </c>
      <c r="K10" s="160"/>
      <c r="L10" s="161"/>
      <c r="M10" s="16"/>
    </row>
    <row r="11" spans="1:13" ht="12.75">
      <c r="A11" s="29" t="s">
        <v>69</v>
      </c>
      <c r="B11" s="162" t="s">
        <v>76</v>
      </c>
      <c r="C11" s="163"/>
      <c r="D11" s="163"/>
      <c r="E11" s="163"/>
      <c r="F11" s="163"/>
      <c r="G11" s="163"/>
      <c r="H11" s="163"/>
      <c r="I11" s="164"/>
      <c r="J11" s="33" t="s">
        <v>86</v>
      </c>
      <c r="K11" s="34" t="s">
        <v>21</v>
      </c>
      <c r="L11" s="35" t="s">
        <v>88</v>
      </c>
      <c r="M11" s="16"/>
    </row>
    <row r="12" spans="1:16" ht="12.75">
      <c r="A12" s="30" t="s">
        <v>70</v>
      </c>
      <c r="B12" s="165" t="s">
        <v>77</v>
      </c>
      <c r="C12" s="157"/>
      <c r="D12" s="157"/>
      <c r="E12" s="157"/>
      <c r="F12" s="157"/>
      <c r="G12" s="157"/>
      <c r="H12" s="157"/>
      <c r="I12" s="157"/>
      <c r="J12" s="37">
        <f>'Stavební rozpočet'!I12</f>
        <v>0</v>
      </c>
      <c r="K12" s="37">
        <f>'Stavební rozpočet'!J12</f>
        <v>0</v>
      </c>
      <c r="L12" s="37">
        <f>'Stavební rozpočet'!K12</f>
        <v>0</v>
      </c>
      <c r="M12" s="36" t="s">
        <v>89</v>
      </c>
      <c r="N12" s="36">
        <f aca="true" t="shared" si="0" ref="N12:N17">IF(M12="F",0,L12)</f>
        <v>0</v>
      </c>
      <c r="O12" s="14" t="s">
        <v>70</v>
      </c>
      <c r="P12" s="36">
        <f aca="true" t="shared" si="1" ref="P12:P17">IF(M12="T",0,L12)</f>
        <v>0</v>
      </c>
    </row>
    <row r="13" spans="1:16" ht="12.75">
      <c r="A13" s="14" t="s">
        <v>71</v>
      </c>
      <c r="B13" s="105" t="s">
        <v>78</v>
      </c>
      <c r="C13" s="95"/>
      <c r="D13" s="95"/>
      <c r="E13" s="95"/>
      <c r="F13" s="95"/>
      <c r="G13" s="95"/>
      <c r="H13" s="95"/>
      <c r="I13" s="95"/>
      <c r="J13" s="36">
        <f>'Stavební rozpočet'!I154</f>
        <v>0</v>
      </c>
      <c r="K13" s="36">
        <f>'Stavební rozpočet'!J154</f>
        <v>0</v>
      </c>
      <c r="L13" s="36">
        <f>'Stavební rozpočet'!K154</f>
        <v>0</v>
      </c>
      <c r="M13" s="36" t="s">
        <v>89</v>
      </c>
      <c r="N13" s="36">
        <f t="shared" si="0"/>
        <v>0</v>
      </c>
      <c r="O13" s="14" t="s">
        <v>71</v>
      </c>
      <c r="P13" s="36">
        <f t="shared" si="1"/>
        <v>0</v>
      </c>
    </row>
    <row r="14" spans="1:16" ht="12.75">
      <c r="A14" s="14" t="s">
        <v>72</v>
      </c>
      <c r="B14" s="105" t="s">
        <v>79</v>
      </c>
      <c r="C14" s="95"/>
      <c r="D14" s="95"/>
      <c r="E14" s="95"/>
      <c r="F14" s="95"/>
      <c r="G14" s="95"/>
      <c r="H14" s="95"/>
      <c r="I14" s="95"/>
      <c r="J14" s="36">
        <f>'Stavební rozpočet'!I185</f>
        <v>0</v>
      </c>
      <c r="K14" s="36">
        <f>'Stavební rozpočet'!J185</f>
        <v>0</v>
      </c>
      <c r="L14" s="36">
        <f>'Stavební rozpočet'!K185</f>
        <v>0</v>
      </c>
      <c r="M14" s="36" t="s">
        <v>89</v>
      </c>
      <c r="N14" s="36">
        <f t="shared" si="0"/>
        <v>0</v>
      </c>
      <c r="O14" s="14" t="s">
        <v>72</v>
      </c>
      <c r="P14" s="36">
        <f t="shared" si="1"/>
        <v>0</v>
      </c>
    </row>
    <row r="15" spans="1:16" ht="12.75">
      <c r="A15" s="14" t="s">
        <v>73</v>
      </c>
      <c r="B15" s="105" t="s">
        <v>80</v>
      </c>
      <c r="C15" s="95"/>
      <c r="D15" s="95"/>
      <c r="E15" s="95"/>
      <c r="F15" s="95"/>
      <c r="G15" s="95"/>
      <c r="H15" s="95"/>
      <c r="I15" s="95"/>
      <c r="J15" s="36">
        <f>'Stavební rozpočet'!I210</f>
        <v>0</v>
      </c>
      <c r="K15" s="36">
        <f>'Stavební rozpočet'!J210</f>
        <v>0</v>
      </c>
      <c r="L15" s="36">
        <f>'Stavební rozpočet'!K210</f>
        <v>0</v>
      </c>
      <c r="M15" s="36" t="s">
        <v>89</v>
      </c>
      <c r="N15" s="36">
        <f t="shared" si="0"/>
        <v>0</v>
      </c>
      <c r="O15" s="14" t="s">
        <v>73</v>
      </c>
      <c r="P15" s="36">
        <f t="shared" si="1"/>
        <v>0</v>
      </c>
    </row>
    <row r="16" spans="1:16" ht="12.75">
      <c r="A16" s="14" t="s">
        <v>74</v>
      </c>
      <c r="B16" s="105" t="s">
        <v>81</v>
      </c>
      <c r="C16" s="95"/>
      <c r="D16" s="95"/>
      <c r="E16" s="95"/>
      <c r="F16" s="95"/>
      <c r="G16" s="95"/>
      <c r="H16" s="95"/>
      <c r="I16" s="95"/>
      <c r="J16" s="36">
        <f>'Stavební rozpočet'!I228</f>
        <v>0</v>
      </c>
      <c r="K16" s="36">
        <f>'Stavební rozpočet'!J228</f>
        <v>0</v>
      </c>
      <c r="L16" s="36">
        <f>'Stavební rozpočet'!K228</f>
        <v>0</v>
      </c>
      <c r="M16" s="36" t="s">
        <v>89</v>
      </c>
      <c r="N16" s="36">
        <f t="shared" si="0"/>
        <v>0</v>
      </c>
      <c r="O16" s="14" t="s">
        <v>74</v>
      </c>
      <c r="P16" s="36">
        <f t="shared" si="1"/>
        <v>0</v>
      </c>
    </row>
    <row r="17" spans="1:16" ht="12.75">
      <c r="A17" s="31" t="s">
        <v>75</v>
      </c>
      <c r="B17" s="154" t="s">
        <v>82</v>
      </c>
      <c r="C17" s="107"/>
      <c r="D17" s="107"/>
      <c r="E17" s="107"/>
      <c r="F17" s="107"/>
      <c r="G17" s="107"/>
      <c r="H17" s="107"/>
      <c r="I17" s="107"/>
      <c r="J17" s="38">
        <f>'Stavební rozpočet'!I251</f>
        <v>0</v>
      </c>
      <c r="K17" s="38">
        <f>'Stavební rozpočet'!J251</f>
        <v>0</v>
      </c>
      <c r="L17" s="38">
        <f>'Stavební rozpočet'!K251</f>
        <v>0</v>
      </c>
      <c r="M17" s="36" t="s">
        <v>89</v>
      </c>
      <c r="N17" s="36">
        <f t="shared" si="0"/>
        <v>0</v>
      </c>
      <c r="O17" s="14" t="s">
        <v>75</v>
      </c>
      <c r="P17" s="36">
        <f t="shared" si="1"/>
        <v>0</v>
      </c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155" t="s">
        <v>87</v>
      </c>
      <c r="K18" s="97"/>
      <c r="L18" s="39">
        <f>SUM(P12:P17)</f>
        <v>0</v>
      </c>
    </row>
    <row r="19" ht="11.25" customHeight="1">
      <c r="A19" s="32" t="s">
        <v>18</v>
      </c>
    </row>
    <row r="20" spans="1:11" ht="12.75">
      <c r="A20" s="103"/>
      <c r="B20" s="95"/>
      <c r="C20" s="95"/>
      <c r="D20" s="95"/>
      <c r="E20" s="95"/>
      <c r="F20" s="95"/>
      <c r="G20" s="95"/>
      <c r="H20" s="95"/>
      <c r="I20" s="95"/>
      <c r="J20" s="95"/>
      <c r="K20" s="95"/>
    </row>
  </sheetData>
  <sheetProtection/>
  <mergeCells count="36">
    <mergeCell ref="B15:I15"/>
    <mergeCell ref="B16:I16"/>
    <mergeCell ref="B17:I17"/>
    <mergeCell ref="J18:K18"/>
    <mergeCell ref="A20:K20"/>
    <mergeCell ref="B10:I10"/>
    <mergeCell ref="J10:L10"/>
    <mergeCell ref="B11:I11"/>
    <mergeCell ref="B12:I12"/>
    <mergeCell ref="B13:I13"/>
    <mergeCell ref="B14:I14"/>
    <mergeCell ref="A8:C9"/>
    <mergeCell ref="D8:D9"/>
    <mergeCell ref="E8:F9"/>
    <mergeCell ref="G8:H9"/>
    <mergeCell ref="I8:I9"/>
    <mergeCell ref="J8:L9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I4:I5"/>
    <mergeCell ref="J4:L5"/>
    <mergeCell ref="A1:L1"/>
    <mergeCell ref="A2:C3"/>
    <mergeCell ref="D2:D3"/>
    <mergeCell ref="E2:F3"/>
    <mergeCell ref="G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J6" sqref="J6:L7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8" width="14.28125" style="0" customWidth="1"/>
    <col min="9" max="9" width="11.57421875" style="0" customWidth="1"/>
    <col min="10" max="12" width="14.28125" style="0" customWidth="1"/>
    <col min="13" max="16" width="12.140625" style="0" hidden="1" customWidth="1"/>
  </cols>
  <sheetData>
    <row r="1" spans="1:12" ht="72.75" customHeight="1">
      <c r="A1" s="149" t="s">
        <v>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3" ht="12.75">
      <c r="A2" s="92" t="s">
        <v>0</v>
      </c>
      <c r="B2" s="93"/>
      <c r="C2" s="93"/>
      <c r="D2" s="96" t="str">
        <f>'Stavební rozpočet'!C2</f>
        <v>Novostavba veřejného WC - volnočasový areál Oborná</v>
      </c>
      <c r="E2" s="99" t="s">
        <v>83</v>
      </c>
      <c r="F2" s="93"/>
      <c r="G2" s="99" t="str">
        <f>'Stavební rozpočet'!F2</f>
        <v> </v>
      </c>
      <c r="H2" s="93"/>
      <c r="I2" s="99" t="s">
        <v>31</v>
      </c>
      <c r="J2" s="99" t="str">
        <f>'Stavební rozpočet'!I2</f>
        <v>Obec Oborná</v>
      </c>
      <c r="K2" s="93"/>
      <c r="L2" s="150"/>
      <c r="M2" s="15"/>
    </row>
    <row r="3" spans="1:13" ht="12.75">
      <c r="A3" s="94"/>
      <c r="B3" s="95"/>
      <c r="C3" s="95"/>
      <c r="D3" s="98"/>
      <c r="E3" s="95"/>
      <c r="F3" s="95"/>
      <c r="G3" s="95"/>
      <c r="H3" s="95"/>
      <c r="I3" s="95"/>
      <c r="J3" s="95"/>
      <c r="K3" s="95"/>
      <c r="L3" s="101"/>
      <c r="M3" s="15"/>
    </row>
    <row r="4" spans="1:13" ht="12.75">
      <c r="A4" s="102" t="s">
        <v>1</v>
      </c>
      <c r="B4" s="95"/>
      <c r="C4" s="95"/>
      <c r="D4" s="103" t="str">
        <f>'Stavební rozpočet'!C4</f>
        <v>Novostavba</v>
      </c>
      <c r="E4" s="103" t="s">
        <v>3</v>
      </c>
      <c r="F4" s="95"/>
      <c r="G4" s="103" t="str">
        <f>'Stavební rozpočet'!F4</f>
        <v> </v>
      </c>
      <c r="H4" s="95"/>
      <c r="I4" s="103" t="s">
        <v>32</v>
      </c>
      <c r="J4" s="103" t="str">
        <f>'Stavební rozpočet'!I4</f>
        <v>Ing. Karel Oubělický</v>
      </c>
      <c r="K4" s="95"/>
      <c r="L4" s="101"/>
      <c r="M4" s="15"/>
    </row>
    <row r="5" spans="1:13" ht="12.7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101"/>
      <c r="M5" s="15"/>
    </row>
    <row r="6" spans="1:13" ht="12.75">
      <c r="A6" s="102" t="s">
        <v>2</v>
      </c>
      <c r="B6" s="95"/>
      <c r="C6" s="95"/>
      <c r="D6" s="103" t="str">
        <f>'Stavební rozpočet'!C6</f>
        <v>Obec Oborná</v>
      </c>
      <c r="E6" s="103" t="s">
        <v>34</v>
      </c>
      <c r="F6" s="95"/>
      <c r="G6" s="103" t="str">
        <f>'Stavební rozpočet'!F6</f>
        <v> </v>
      </c>
      <c r="H6" s="95"/>
      <c r="I6" s="103" t="s">
        <v>33</v>
      </c>
      <c r="J6" s="103"/>
      <c r="K6" s="95"/>
      <c r="L6" s="101"/>
      <c r="M6" s="15"/>
    </row>
    <row r="7" spans="1:13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101"/>
      <c r="M7" s="15"/>
    </row>
    <row r="8" spans="1:13" ht="12.75">
      <c r="A8" s="102" t="s">
        <v>4</v>
      </c>
      <c r="B8" s="95"/>
      <c r="C8" s="95"/>
      <c r="D8" s="103">
        <f>'Stavební rozpočet'!C8</f>
        <v>801</v>
      </c>
      <c r="E8" s="103" t="s">
        <v>84</v>
      </c>
      <c r="F8" s="95"/>
      <c r="G8" s="103" t="str">
        <f>'Stavební rozpočet'!F8</f>
        <v>01.02.2020</v>
      </c>
      <c r="H8" s="95"/>
      <c r="I8" s="103" t="s">
        <v>35</v>
      </c>
      <c r="J8" s="103" t="str">
        <f>'Stavební rozpočet'!I8</f>
        <v>Boris Mičánek</v>
      </c>
      <c r="K8" s="95"/>
      <c r="L8" s="101"/>
      <c r="M8" s="15"/>
    </row>
    <row r="9" spans="1:13" ht="12.75">
      <c r="A9" s="153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2"/>
      <c r="M9" s="15"/>
    </row>
    <row r="10" spans="1:13" ht="12.75">
      <c r="A10" s="28" t="s">
        <v>68</v>
      </c>
      <c r="B10" s="28" t="s">
        <v>68</v>
      </c>
      <c r="C10" s="156" t="s">
        <v>68</v>
      </c>
      <c r="D10" s="157"/>
      <c r="E10" s="157"/>
      <c r="F10" s="157"/>
      <c r="G10" s="157"/>
      <c r="H10" s="157"/>
      <c r="I10" s="158"/>
      <c r="J10" s="159" t="s">
        <v>85</v>
      </c>
      <c r="K10" s="160"/>
      <c r="L10" s="161"/>
      <c r="M10" s="16"/>
    </row>
    <row r="11" spans="1:13" ht="12.75">
      <c r="A11" s="29" t="s">
        <v>69</v>
      </c>
      <c r="B11" s="29" t="s">
        <v>91</v>
      </c>
      <c r="C11" s="162" t="s">
        <v>76</v>
      </c>
      <c r="D11" s="163"/>
      <c r="E11" s="163"/>
      <c r="F11" s="163"/>
      <c r="G11" s="163"/>
      <c r="H11" s="163"/>
      <c r="I11" s="164"/>
      <c r="J11" s="33" t="s">
        <v>86</v>
      </c>
      <c r="K11" s="34" t="s">
        <v>21</v>
      </c>
      <c r="L11" s="35" t="s">
        <v>88</v>
      </c>
      <c r="M11" s="16"/>
    </row>
    <row r="12" spans="1:16" ht="12.75">
      <c r="A12" s="30" t="s">
        <v>70</v>
      </c>
      <c r="B12" s="30"/>
      <c r="C12" s="165" t="s">
        <v>77</v>
      </c>
      <c r="D12" s="157"/>
      <c r="E12" s="157"/>
      <c r="F12" s="157"/>
      <c r="G12" s="157"/>
      <c r="H12" s="157"/>
      <c r="I12" s="157"/>
      <c r="J12" s="37">
        <f>'Stavební rozpočet'!I12</f>
        <v>0</v>
      </c>
      <c r="K12" s="37">
        <f>'Stavební rozpočet'!J12</f>
        <v>0</v>
      </c>
      <c r="L12" s="37">
        <f>'Stavební rozpočet'!K12</f>
        <v>0</v>
      </c>
      <c r="M12" s="36" t="s">
        <v>89</v>
      </c>
      <c r="N12" s="36">
        <f aca="true" t="shared" si="0" ref="N12:N40">IF(M12="F",0,L12)</f>
        <v>0</v>
      </c>
      <c r="O12" s="14" t="s">
        <v>70</v>
      </c>
      <c r="P12" s="36">
        <f aca="true" t="shared" si="1" ref="P12:P40">IF(M12="T",0,L12)</f>
        <v>0</v>
      </c>
    </row>
    <row r="13" spans="1:16" ht="12.75">
      <c r="A13" s="14" t="s">
        <v>70</v>
      </c>
      <c r="B13" s="14" t="s">
        <v>92</v>
      </c>
      <c r="C13" s="105" t="s">
        <v>105</v>
      </c>
      <c r="D13" s="95"/>
      <c r="E13" s="95"/>
      <c r="F13" s="95"/>
      <c r="G13" s="95"/>
      <c r="H13" s="95"/>
      <c r="I13" s="95"/>
      <c r="J13" s="36">
        <f>SUMIF('Stavební rozpočet'!AY13:AY267,"SO01_1_",'Stavební rozpočet'!AV13:AV267)</f>
        <v>0</v>
      </c>
      <c r="K13" s="36">
        <f>SUMIF('Stavební rozpočet'!AY13:AY267,"SO01_1_",'Stavební rozpočet'!AW13:AW267)</f>
        <v>0</v>
      </c>
      <c r="L13" s="36">
        <f>SUMIF('Stavební rozpočet'!AY13:AY267,"SO01_1_",'Stavební rozpočet'!AU13:AU267)</f>
        <v>0</v>
      </c>
      <c r="M13" s="36" t="s">
        <v>118</v>
      </c>
      <c r="N13" s="36">
        <f t="shared" si="0"/>
        <v>0</v>
      </c>
      <c r="O13" s="14" t="s">
        <v>70</v>
      </c>
      <c r="P13" s="36">
        <f t="shared" si="1"/>
        <v>0</v>
      </c>
    </row>
    <row r="14" spans="1:16" ht="12.75">
      <c r="A14" s="14" t="s">
        <v>70</v>
      </c>
      <c r="B14" s="14" t="s">
        <v>93</v>
      </c>
      <c r="C14" s="105" t="s">
        <v>106</v>
      </c>
      <c r="D14" s="95"/>
      <c r="E14" s="95"/>
      <c r="F14" s="95"/>
      <c r="G14" s="95"/>
      <c r="H14" s="95"/>
      <c r="I14" s="95"/>
      <c r="J14" s="36">
        <f>SUMIF('Stavební rozpočet'!AY13:AY267,"SO01_2_",'Stavební rozpočet'!AV13:AV267)</f>
        <v>0</v>
      </c>
      <c r="K14" s="36">
        <f>SUMIF('Stavební rozpočet'!AY13:AY267,"SO01_2_",'Stavební rozpočet'!AW13:AW267)</f>
        <v>0</v>
      </c>
      <c r="L14" s="36">
        <f>SUMIF('Stavební rozpočet'!AY13:AY267,"SO01_2_",'Stavební rozpočet'!AU13:AU267)</f>
        <v>0</v>
      </c>
      <c r="M14" s="36" t="s">
        <v>118</v>
      </c>
      <c r="N14" s="36">
        <f t="shared" si="0"/>
        <v>0</v>
      </c>
      <c r="O14" s="14" t="s">
        <v>70</v>
      </c>
      <c r="P14" s="36">
        <f t="shared" si="1"/>
        <v>0</v>
      </c>
    </row>
    <row r="15" spans="1:16" ht="12.75">
      <c r="A15" s="14" t="s">
        <v>70</v>
      </c>
      <c r="B15" s="14" t="s">
        <v>94</v>
      </c>
      <c r="C15" s="105" t="s">
        <v>107</v>
      </c>
      <c r="D15" s="95"/>
      <c r="E15" s="95"/>
      <c r="F15" s="95"/>
      <c r="G15" s="95"/>
      <c r="H15" s="95"/>
      <c r="I15" s="95"/>
      <c r="J15" s="36">
        <f>SUMIF('Stavební rozpočet'!AY13:AY267,"SO01_3_",'Stavební rozpočet'!AV13:AV267)</f>
        <v>0</v>
      </c>
      <c r="K15" s="36">
        <f>SUMIF('Stavební rozpočet'!AY13:AY267,"SO01_3_",'Stavební rozpočet'!AW13:AW267)</f>
        <v>0</v>
      </c>
      <c r="L15" s="36">
        <f>SUMIF('Stavební rozpočet'!AY13:AY267,"SO01_3_",'Stavební rozpočet'!AU13:AU267)</f>
        <v>0</v>
      </c>
      <c r="M15" s="36" t="s">
        <v>118</v>
      </c>
      <c r="N15" s="36">
        <f t="shared" si="0"/>
        <v>0</v>
      </c>
      <c r="O15" s="14" t="s">
        <v>70</v>
      </c>
      <c r="P15" s="36">
        <f t="shared" si="1"/>
        <v>0</v>
      </c>
    </row>
    <row r="16" spans="1:16" ht="12.75">
      <c r="A16" s="14" t="s">
        <v>70</v>
      </c>
      <c r="B16" s="14" t="s">
        <v>95</v>
      </c>
      <c r="C16" s="105" t="s">
        <v>108</v>
      </c>
      <c r="D16" s="95"/>
      <c r="E16" s="95"/>
      <c r="F16" s="95"/>
      <c r="G16" s="95"/>
      <c r="H16" s="95"/>
      <c r="I16" s="95"/>
      <c r="J16" s="36">
        <f>SUMIF('Stavební rozpočet'!AY13:AY267,"SO01_4_",'Stavební rozpočet'!AV13:AV267)</f>
        <v>0</v>
      </c>
      <c r="K16" s="36">
        <f>SUMIF('Stavební rozpočet'!AY13:AY267,"SO01_4_",'Stavební rozpočet'!AW13:AW267)</f>
        <v>0</v>
      </c>
      <c r="L16" s="36">
        <f>SUMIF('Stavební rozpočet'!AY13:AY267,"SO01_4_",'Stavební rozpočet'!AU13:AU267)</f>
        <v>0</v>
      </c>
      <c r="M16" s="36" t="s">
        <v>118</v>
      </c>
      <c r="N16" s="36">
        <f t="shared" si="0"/>
        <v>0</v>
      </c>
      <c r="O16" s="14" t="s">
        <v>70</v>
      </c>
      <c r="P16" s="36">
        <f t="shared" si="1"/>
        <v>0</v>
      </c>
    </row>
    <row r="17" spans="1:16" ht="12.75">
      <c r="A17" s="14" t="s">
        <v>70</v>
      </c>
      <c r="B17" s="14" t="s">
        <v>96</v>
      </c>
      <c r="C17" s="105" t="s">
        <v>109</v>
      </c>
      <c r="D17" s="95"/>
      <c r="E17" s="95"/>
      <c r="F17" s="95"/>
      <c r="G17" s="95"/>
      <c r="H17" s="95"/>
      <c r="I17" s="95"/>
      <c r="J17" s="36">
        <f>SUMIF('Stavební rozpočet'!AY13:AY267,"SO01_6_",'Stavební rozpočet'!AV13:AV267)</f>
        <v>0</v>
      </c>
      <c r="K17" s="36">
        <f>SUMIF('Stavební rozpočet'!AY13:AY267,"SO01_6_",'Stavební rozpočet'!AW13:AW267)</f>
        <v>0</v>
      </c>
      <c r="L17" s="36">
        <f>SUMIF('Stavební rozpočet'!AY13:AY267,"SO01_6_",'Stavební rozpočet'!AU13:AU267)</f>
        <v>0</v>
      </c>
      <c r="M17" s="36" t="s">
        <v>118</v>
      </c>
      <c r="N17" s="36">
        <f t="shared" si="0"/>
        <v>0</v>
      </c>
      <c r="O17" s="14" t="s">
        <v>70</v>
      </c>
      <c r="P17" s="36">
        <f t="shared" si="1"/>
        <v>0</v>
      </c>
    </row>
    <row r="18" spans="1:16" ht="12.75">
      <c r="A18" s="14" t="s">
        <v>70</v>
      </c>
      <c r="B18" s="14" t="s">
        <v>97</v>
      </c>
      <c r="C18" s="105" t="s">
        <v>110</v>
      </c>
      <c r="D18" s="95"/>
      <c r="E18" s="95"/>
      <c r="F18" s="95"/>
      <c r="G18" s="95"/>
      <c r="H18" s="95"/>
      <c r="I18" s="95"/>
      <c r="J18" s="36">
        <f>SUMIF('Stavební rozpočet'!AY13:AY267,"SO01_71_",'Stavební rozpočet'!AV13:AV267)</f>
        <v>0</v>
      </c>
      <c r="K18" s="36">
        <f>SUMIF('Stavební rozpočet'!AY13:AY267,"SO01_71_",'Stavební rozpočet'!AW13:AW267)</f>
        <v>0</v>
      </c>
      <c r="L18" s="36">
        <f>SUMIF('Stavební rozpočet'!AY13:AY267,"SO01_71_",'Stavební rozpočet'!AU13:AU267)</f>
        <v>0</v>
      </c>
      <c r="M18" s="36" t="s">
        <v>118</v>
      </c>
      <c r="N18" s="36">
        <f t="shared" si="0"/>
        <v>0</v>
      </c>
      <c r="O18" s="14" t="s">
        <v>70</v>
      </c>
      <c r="P18" s="36">
        <f t="shared" si="1"/>
        <v>0</v>
      </c>
    </row>
    <row r="19" spans="1:16" ht="12.75">
      <c r="A19" s="14" t="s">
        <v>70</v>
      </c>
      <c r="B19" s="14" t="s">
        <v>98</v>
      </c>
      <c r="C19" s="105" t="s">
        <v>111</v>
      </c>
      <c r="D19" s="95"/>
      <c r="E19" s="95"/>
      <c r="F19" s="95"/>
      <c r="G19" s="95"/>
      <c r="H19" s="95"/>
      <c r="I19" s="95"/>
      <c r="J19" s="36">
        <f>SUMIF('Stavební rozpočet'!AY13:AY267,"SO01_76_",'Stavební rozpočet'!AV13:AV267)</f>
        <v>0</v>
      </c>
      <c r="K19" s="36">
        <f>SUMIF('Stavební rozpočet'!AY13:AY267,"SO01_76_",'Stavební rozpočet'!AW13:AW267)</f>
        <v>0</v>
      </c>
      <c r="L19" s="36">
        <f>SUMIF('Stavební rozpočet'!AY13:AY267,"SO01_76_",'Stavební rozpočet'!AU13:AU267)</f>
        <v>0</v>
      </c>
      <c r="M19" s="36" t="s">
        <v>118</v>
      </c>
      <c r="N19" s="36">
        <f t="shared" si="0"/>
        <v>0</v>
      </c>
      <c r="O19" s="14" t="s">
        <v>70</v>
      </c>
      <c r="P19" s="36">
        <f t="shared" si="1"/>
        <v>0</v>
      </c>
    </row>
    <row r="20" spans="1:16" ht="12.75">
      <c r="A20" s="14" t="s">
        <v>70</v>
      </c>
      <c r="B20" s="14" t="s">
        <v>99</v>
      </c>
      <c r="C20" s="105" t="s">
        <v>112</v>
      </c>
      <c r="D20" s="95"/>
      <c r="E20" s="95"/>
      <c r="F20" s="95"/>
      <c r="G20" s="95"/>
      <c r="H20" s="95"/>
      <c r="I20" s="95"/>
      <c r="J20" s="36">
        <f>SUMIF('Stavební rozpočet'!AY13:AY267,"SO01_77_",'Stavební rozpočet'!AV13:AV267)</f>
        <v>0</v>
      </c>
      <c r="K20" s="36">
        <f>SUMIF('Stavební rozpočet'!AY13:AY267,"SO01_77_",'Stavební rozpočet'!AW13:AW267)</f>
        <v>0</v>
      </c>
      <c r="L20" s="36">
        <f>SUMIF('Stavební rozpočet'!AY13:AY267,"SO01_77_",'Stavební rozpočet'!AU13:AU267)</f>
        <v>0</v>
      </c>
      <c r="M20" s="36" t="s">
        <v>118</v>
      </c>
      <c r="N20" s="36">
        <f t="shared" si="0"/>
        <v>0</v>
      </c>
      <c r="O20" s="14" t="s">
        <v>70</v>
      </c>
      <c r="P20" s="36">
        <f t="shared" si="1"/>
        <v>0</v>
      </c>
    </row>
    <row r="21" spans="1:16" ht="12.75">
      <c r="A21" s="14" t="s">
        <v>70</v>
      </c>
      <c r="B21" s="14" t="s">
        <v>100</v>
      </c>
      <c r="C21" s="105" t="s">
        <v>113</v>
      </c>
      <c r="D21" s="95"/>
      <c r="E21" s="95"/>
      <c r="F21" s="95"/>
      <c r="G21" s="95"/>
      <c r="H21" s="95"/>
      <c r="I21" s="95"/>
      <c r="J21" s="36">
        <f>SUMIF('Stavební rozpočet'!AY13:AY267,"SO01_78_",'Stavební rozpočet'!AV13:AV267)</f>
        <v>0</v>
      </c>
      <c r="K21" s="36">
        <f>SUMIF('Stavební rozpočet'!AY13:AY267,"SO01_78_",'Stavební rozpočet'!AW13:AW267)</f>
        <v>0</v>
      </c>
      <c r="L21" s="36">
        <f>SUMIF('Stavební rozpočet'!AY13:AY267,"SO01_78_",'Stavební rozpočet'!AU13:AU267)</f>
        <v>0</v>
      </c>
      <c r="M21" s="36" t="s">
        <v>118</v>
      </c>
      <c r="N21" s="36">
        <f t="shared" si="0"/>
        <v>0</v>
      </c>
      <c r="O21" s="14" t="s">
        <v>70</v>
      </c>
      <c r="P21" s="36">
        <f t="shared" si="1"/>
        <v>0</v>
      </c>
    </row>
    <row r="22" spans="1:16" ht="12.75">
      <c r="A22" s="14" t="s">
        <v>70</v>
      </c>
      <c r="B22" s="14" t="s">
        <v>101</v>
      </c>
      <c r="C22" s="105" t="s">
        <v>114</v>
      </c>
      <c r="D22" s="95"/>
      <c r="E22" s="95"/>
      <c r="F22" s="95"/>
      <c r="G22" s="95"/>
      <c r="H22" s="95"/>
      <c r="I22" s="95"/>
      <c r="J22" s="36">
        <f>SUMIF('Stavební rozpočet'!AY13:AY267,"SO01_9_",'Stavební rozpočet'!AV13:AV267)</f>
        <v>0</v>
      </c>
      <c r="K22" s="36">
        <f>SUMIF('Stavební rozpočet'!AY13:AY267,"SO01_9_",'Stavební rozpočet'!AW13:AW267)</f>
        <v>0</v>
      </c>
      <c r="L22" s="36">
        <f>SUMIF('Stavební rozpočet'!AY13:AY267,"SO01_9_",'Stavební rozpočet'!AU13:AU267)</f>
        <v>0</v>
      </c>
      <c r="M22" s="36" t="s">
        <v>118</v>
      </c>
      <c r="N22" s="36">
        <f t="shared" si="0"/>
        <v>0</v>
      </c>
      <c r="O22" s="14" t="s">
        <v>70</v>
      </c>
      <c r="P22" s="36">
        <f t="shared" si="1"/>
        <v>0</v>
      </c>
    </row>
    <row r="23" spans="1:16" ht="12.75">
      <c r="A23" s="14" t="s">
        <v>71</v>
      </c>
      <c r="B23" s="14"/>
      <c r="C23" s="105" t="s">
        <v>78</v>
      </c>
      <c r="D23" s="95"/>
      <c r="E23" s="95"/>
      <c r="F23" s="95"/>
      <c r="G23" s="95"/>
      <c r="H23" s="95"/>
      <c r="I23" s="95"/>
      <c r="J23" s="36">
        <f>'Stavební rozpočet'!I154</f>
        <v>0</v>
      </c>
      <c r="K23" s="36">
        <f>'Stavební rozpočet'!J154</f>
        <v>0</v>
      </c>
      <c r="L23" s="36">
        <f>'Stavební rozpočet'!K154</f>
        <v>0</v>
      </c>
      <c r="M23" s="36" t="s">
        <v>89</v>
      </c>
      <c r="N23" s="36">
        <f t="shared" si="0"/>
        <v>0</v>
      </c>
      <c r="O23" s="14" t="s">
        <v>71</v>
      </c>
      <c r="P23" s="36">
        <f t="shared" si="1"/>
        <v>0</v>
      </c>
    </row>
    <row r="24" spans="1:16" ht="12.75">
      <c r="A24" s="14" t="s">
        <v>71</v>
      </c>
      <c r="B24" s="14" t="s">
        <v>102</v>
      </c>
      <c r="C24" s="105" t="s">
        <v>115</v>
      </c>
      <c r="D24" s="95"/>
      <c r="E24" s="95"/>
      <c r="F24" s="95"/>
      <c r="G24" s="95"/>
      <c r="H24" s="95"/>
      <c r="I24" s="95"/>
      <c r="J24" s="36">
        <f>SUMIF('Stavební rozpočet'!AY13:AY267,"SO01a_72_",'Stavební rozpočet'!AV13:AV267)</f>
        <v>0</v>
      </c>
      <c r="K24" s="36">
        <f>SUMIF('Stavební rozpočet'!AY13:AY267,"SO01a_72_",'Stavební rozpočet'!AW13:AW267)</f>
        <v>0</v>
      </c>
      <c r="L24" s="36">
        <f>SUMIF('Stavební rozpočet'!AY13:AY267,"SO01a_72_",'Stavební rozpočet'!AU13:AU267)</f>
        <v>0</v>
      </c>
      <c r="M24" s="36" t="s">
        <v>118</v>
      </c>
      <c r="N24" s="36">
        <f t="shared" si="0"/>
        <v>0</v>
      </c>
      <c r="O24" s="14" t="s">
        <v>71</v>
      </c>
      <c r="P24" s="36">
        <f t="shared" si="1"/>
        <v>0</v>
      </c>
    </row>
    <row r="25" spans="1:16" ht="12.75">
      <c r="A25" s="14" t="s">
        <v>71</v>
      </c>
      <c r="B25" s="14" t="s">
        <v>101</v>
      </c>
      <c r="C25" s="105" t="s">
        <v>114</v>
      </c>
      <c r="D25" s="95"/>
      <c r="E25" s="95"/>
      <c r="F25" s="95"/>
      <c r="G25" s="95"/>
      <c r="H25" s="95"/>
      <c r="I25" s="95"/>
      <c r="J25" s="36">
        <f>SUMIF('Stavební rozpočet'!AY13:AY267,"SO01a_9_",'Stavební rozpočet'!AV13:AV267)</f>
        <v>0</v>
      </c>
      <c r="K25" s="36">
        <f>SUMIF('Stavební rozpočet'!AY13:AY267,"SO01a_9_",'Stavební rozpočet'!AW13:AW267)</f>
        <v>0</v>
      </c>
      <c r="L25" s="36">
        <f>SUMIF('Stavební rozpočet'!AY13:AY267,"SO01a_9_",'Stavební rozpočet'!AU13:AU267)</f>
        <v>0</v>
      </c>
      <c r="M25" s="36" t="s">
        <v>118</v>
      </c>
      <c r="N25" s="36">
        <f t="shared" si="0"/>
        <v>0</v>
      </c>
      <c r="O25" s="14" t="s">
        <v>71</v>
      </c>
      <c r="P25" s="36">
        <f t="shared" si="1"/>
        <v>0</v>
      </c>
    </row>
    <row r="26" spans="1:16" ht="12.75">
      <c r="A26" s="14" t="s">
        <v>72</v>
      </c>
      <c r="B26" s="14"/>
      <c r="C26" s="105" t="s">
        <v>79</v>
      </c>
      <c r="D26" s="95"/>
      <c r="E26" s="95"/>
      <c r="F26" s="95"/>
      <c r="G26" s="95"/>
      <c r="H26" s="95"/>
      <c r="I26" s="95"/>
      <c r="J26" s="36">
        <f>'Stavební rozpočet'!I185</f>
        <v>0</v>
      </c>
      <c r="K26" s="36">
        <f>'Stavební rozpočet'!J185</f>
        <v>0</v>
      </c>
      <c r="L26" s="36">
        <f>'Stavební rozpočet'!K185</f>
        <v>0</v>
      </c>
      <c r="M26" s="36" t="s">
        <v>89</v>
      </c>
      <c r="N26" s="36">
        <f t="shared" si="0"/>
        <v>0</v>
      </c>
      <c r="O26" s="14" t="s">
        <v>72</v>
      </c>
      <c r="P26" s="36">
        <f t="shared" si="1"/>
        <v>0</v>
      </c>
    </row>
    <row r="27" spans="1:16" ht="12.75">
      <c r="A27" s="14" t="s">
        <v>72</v>
      </c>
      <c r="B27" s="14" t="s">
        <v>102</v>
      </c>
      <c r="C27" s="105" t="s">
        <v>115</v>
      </c>
      <c r="D27" s="95"/>
      <c r="E27" s="95"/>
      <c r="F27" s="95"/>
      <c r="G27" s="95"/>
      <c r="H27" s="95"/>
      <c r="I27" s="95"/>
      <c r="J27" s="36">
        <f>SUMIF('Stavební rozpočet'!AY13:AY267,"SO01b_72_",'Stavební rozpočet'!AV13:AV267)</f>
        <v>0</v>
      </c>
      <c r="K27" s="36">
        <f>SUMIF('Stavební rozpočet'!AY13:AY267,"SO01b_72_",'Stavební rozpočet'!AW13:AW267)</f>
        <v>0</v>
      </c>
      <c r="L27" s="36">
        <f>SUMIF('Stavební rozpočet'!AY13:AY267,"SO01b_72_",'Stavební rozpočet'!AU13:AU267)</f>
        <v>0</v>
      </c>
      <c r="M27" s="36" t="s">
        <v>118</v>
      </c>
      <c r="N27" s="36">
        <f t="shared" si="0"/>
        <v>0</v>
      </c>
      <c r="O27" s="14" t="s">
        <v>72</v>
      </c>
      <c r="P27" s="36">
        <f t="shared" si="1"/>
        <v>0</v>
      </c>
    </row>
    <row r="28" spans="1:16" ht="12.75">
      <c r="A28" s="14" t="s">
        <v>72</v>
      </c>
      <c r="B28" s="14" t="s">
        <v>101</v>
      </c>
      <c r="C28" s="105" t="s">
        <v>114</v>
      </c>
      <c r="D28" s="95"/>
      <c r="E28" s="95"/>
      <c r="F28" s="95"/>
      <c r="G28" s="95"/>
      <c r="H28" s="95"/>
      <c r="I28" s="95"/>
      <c r="J28" s="36">
        <f>SUMIF('Stavební rozpočet'!AY13:AY267,"SO01b_9_",'Stavební rozpočet'!AV13:AV267)</f>
        <v>0</v>
      </c>
      <c r="K28" s="36">
        <f>SUMIF('Stavební rozpočet'!AY13:AY267,"SO01b_9_",'Stavební rozpočet'!AW13:AW267)</f>
        <v>0</v>
      </c>
      <c r="L28" s="36">
        <f>SUMIF('Stavební rozpočet'!AY13:AY267,"SO01b_9_",'Stavební rozpočet'!AU13:AU267)</f>
        <v>0</v>
      </c>
      <c r="M28" s="36" t="s">
        <v>118</v>
      </c>
      <c r="N28" s="36">
        <f t="shared" si="0"/>
        <v>0</v>
      </c>
      <c r="O28" s="14" t="s">
        <v>72</v>
      </c>
      <c r="P28" s="36">
        <f t="shared" si="1"/>
        <v>0</v>
      </c>
    </row>
    <row r="29" spans="1:16" ht="12.75">
      <c r="A29" s="14" t="s">
        <v>72</v>
      </c>
      <c r="B29" s="14"/>
      <c r="C29" s="105" t="s">
        <v>10</v>
      </c>
      <c r="D29" s="95"/>
      <c r="E29" s="95"/>
      <c r="F29" s="95"/>
      <c r="G29" s="95"/>
      <c r="H29" s="95"/>
      <c r="I29" s="95"/>
      <c r="J29" s="36">
        <f>SUMIF('Stavební rozpočet'!AY13:AY267,"SO01b_Z_",'Stavební rozpočet'!AV13:AV267)</f>
        <v>0</v>
      </c>
      <c r="K29" s="36">
        <f>SUMIF('Stavební rozpočet'!AY13:AY267,"SO01b_Z_",'Stavební rozpočet'!AW13:AW267)</f>
        <v>0</v>
      </c>
      <c r="L29" s="36">
        <f>SUMIF('Stavební rozpočet'!AY13:AY267,"SO01b_Z_",'Stavební rozpočet'!AU13:AU267)</f>
        <v>0</v>
      </c>
      <c r="M29" s="36" t="s">
        <v>118</v>
      </c>
      <c r="N29" s="36">
        <f t="shared" si="0"/>
        <v>0</v>
      </c>
      <c r="O29" s="14" t="s">
        <v>72</v>
      </c>
      <c r="P29" s="36">
        <f t="shared" si="1"/>
        <v>0</v>
      </c>
    </row>
    <row r="30" spans="1:16" ht="12.75">
      <c r="A30" s="14" t="s">
        <v>73</v>
      </c>
      <c r="B30" s="14"/>
      <c r="C30" s="105" t="s">
        <v>80</v>
      </c>
      <c r="D30" s="95"/>
      <c r="E30" s="95"/>
      <c r="F30" s="95"/>
      <c r="G30" s="95"/>
      <c r="H30" s="95"/>
      <c r="I30" s="95"/>
      <c r="J30" s="36">
        <f>'Stavební rozpočet'!I210</f>
        <v>0</v>
      </c>
      <c r="K30" s="36">
        <f>'Stavební rozpočet'!J210</f>
        <v>0</v>
      </c>
      <c r="L30" s="36">
        <f>'Stavební rozpočet'!K210</f>
        <v>0</v>
      </c>
      <c r="M30" s="36" t="s">
        <v>89</v>
      </c>
      <c r="N30" s="36">
        <f t="shared" si="0"/>
        <v>0</v>
      </c>
      <c r="O30" s="14" t="s">
        <v>73</v>
      </c>
      <c r="P30" s="36">
        <f t="shared" si="1"/>
        <v>0</v>
      </c>
    </row>
    <row r="31" spans="1:16" ht="12.75">
      <c r="A31" s="14" t="s">
        <v>73</v>
      </c>
      <c r="B31" s="14" t="s">
        <v>102</v>
      </c>
      <c r="C31" s="105" t="s">
        <v>115</v>
      </c>
      <c r="D31" s="95"/>
      <c r="E31" s="95"/>
      <c r="F31" s="95"/>
      <c r="G31" s="95"/>
      <c r="H31" s="95"/>
      <c r="I31" s="95"/>
      <c r="J31" s="36">
        <f>SUMIF('Stavební rozpočet'!AY13:AY267,"SO01c_72_",'Stavební rozpočet'!AV13:AV267)</f>
        <v>0</v>
      </c>
      <c r="K31" s="36">
        <f>SUMIF('Stavební rozpočet'!AY13:AY267,"SO01c_72_",'Stavební rozpočet'!AW13:AW267)</f>
        <v>0</v>
      </c>
      <c r="L31" s="36">
        <f>SUMIF('Stavební rozpočet'!AY13:AY267,"SO01c_72_",'Stavební rozpočet'!AU13:AU267)</f>
        <v>0</v>
      </c>
      <c r="M31" s="36" t="s">
        <v>118</v>
      </c>
      <c r="N31" s="36">
        <f t="shared" si="0"/>
        <v>0</v>
      </c>
      <c r="O31" s="14" t="s">
        <v>73</v>
      </c>
      <c r="P31" s="36">
        <f t="shared" si="1"/>
        <v>0</v>
      </c>
    </row>
    <row r="32" spans="1:16" ht="12.75">
      <c r="A32" s="14" t="s">
        <v>73</v>
      </c>
      <c r="B32" s="14" t="s">
        <v>101</v>
      </c>
      <c r="C32" s="105" t="s">
        <v>114</v>
      </c>
      <c r="D32" s="95"/>
      <c r="E32" s="95"/>
      <c r="F32" s="95"/>
      <c r="G32" s="95"/>
      <c r="H32" s="95"/>
      <c r="I32" s="95"/>
      <c r="J32" s="36">
        <f>SUMIF('Stavební rozpočet'!AY13:AY267,"SO01c_9_",'Stavební rozpočet'!AV13:AV267)</f>
        <v>0</v>
      </c>
      <c r="K32" s="36">
        <f>SUMIF('Stavební rozpočet'!AY13:AY267,"SO01c_9_",'Stavební rozpočet'!AW13:AW267)</f>
        <v>0</v>
      </c>
      <c r="L32" s="36">
        <f>SUMIF('Stavební rozpočet'!AY13:AY267,"SO01c_9_",'Stavební rozpočet'!AU13:AU267)</f>
        <v>0</v>
      </c>
      <c r="M32" s="36" t="s">
        <v>118</v>
      </c>
      <c r="N32" s="36">
        <f t="shared" si="0"/>
        <v>0</v>
      </c>
      <c r="O32" s="14" t="s">
        <v>73</v>
      </c>
      <c r="P32" s="36">
        <f t="shared" si="1"/>
        <v>0</v>
      </c>
    </row>
    <row r="33" spans="1:16" ht="12.75">
      <c r="A33" s="14" t="s">
        <v>74</v>
      </c>
      <c r="B33" s="14"/>
      <c r="C33" s="105" t="s">
        <v>81</v>
      </c>
      <c r="D33" s="95"/>
      <c r="E33" s="95"/>
      <c r="F33" s="95"/>
      <c r="G33" s="95"/>
      <c r="H33" s="95"/>
      <c r="I33" s="95"/>
      <c r="J33" s="36">
        <f>'Stavební rozpočet'!I228</f>
        <v>0</v>
      </c>
      <c r="K33" s="36">
        <f>'Stavební rozpočet'!J228</f>
        <v>0</v>
      </c>
      <c r="L33" s="36">
        <f>'Stavební rozpočet'!K228</f>
        <v>0</v>
      </c>
      <c r="M33" s="36" t="s">
        <v>89</v>
      </c>
      <c r="N33" s="36">
        <f t="shared" si="0"/>
        <v>0</v>
      </c>
      <c r="O33" s="14" t="s">
        <v>74</v>
      </c>
      <c r="P33" s="36">
        <f t="shared" si="1"/>
        <v>0</v>
      </c>
    </row>
    <row r="34" spans="1:16" ht="12.75">
      <c r="A34" s="14" t="s">
        <v>74</v>
      </c>
      <c r="B34" s="14" t="s">
        <v>92</v>
      </c>
      <c r="C34" s="105" t="s">
        <v>105</v>
      </c>
      <c r="D34" s="95"/>
      <c r="E34" s="95"/>
      <c r="F34" s="95"/>
      <c r="G34" s="95"/>
      <c r="H34" s="95"/>
      <c r="I34" s="95"/>
      <c r="J34" s="36">
        <f>SUMIF('Stavební rozpočet'!AY13:AY267,"SO01d_1_",'Stavební rozpočet'!AV13:AV267)</f>
        <v>0</v>
      </c>
      <c r="K34" s="36">
        <f>SUMIF('Stavební rozpočet'!AY13:AY267,"SO01d_1_",'Stavební rozpočet'!AW13:AW267)</f>
        <v>0</v>
      </c>
      <c r="L34" s="36">
        <f>SUMIF('Stavební rozpočet'!AY13:AY267,"SO01d_1_",'Stavební rozpočet'!AU13:AU267)</f>
        <v>0</v>
      </c>
      <c r="M34" s="36" t="s">
        <v>118</v>
      </c>
      <c r="N34" s="36">
        <f t="shared" si="0"/>
        <v>0</v>
      </c>
      <c r="O34" s="14" t="s">
        <v>74</v>
      </c>
      <c r="P34" s="36">
        <f t="shared" si="1"/>
        <v>0</v>
      </c>
    </row>
    <row r="35" spans="1:16" ht="12.75">
      <c r="A35" s="14" t="s">
        <v>74</v>
      </c>
      <c r="B35" s="14" t="s">
        <v>103</v>
      </c>
      <c r="C35" s="105" t="s">
        <v>116</v>
      </c>
      <c r="D35" s="95"/>
      <c r="E35" s="95"/>
      <c r="F35" s="95"/>
      <c r="G35" s="95"/>
      <c r="H35" s="95"/>
      <c r="I35" s="95"/>
      <c r="J35" s="36">
        <f>SUMIF('Stavební rozpočet'!AY13:AY267,"SO01d_5_",'Stavební rozpočet'!AV13:AV267)</f>
        <v>0</v>
      </c>
      <c r="K35" s="36">
        <f>SUMIF('Stavební rozpočet'!AY13:AY267,"SO01d_5_",'Stavební rozpočet'!AW13:AW267)</f>
        <v>0</v>
      </c>
      <c r="L35" s="36">
        <f>SUMIF('Stavební rozpočet'!AY13:AY267,"SO01d_5_",'Stavební rozpočet'!AU13:AU267)</f>
        <v>0</v>
      </c>
      <c r="M35" s="36" t="s">
        <v>118</v>
      </c>
      <c r="N35" s="36">
        <f t="shared" si="0"/>
        <v>0</v>
      </c>
      <c r="O35" s="14" t="s">
        <v>74</v>
      </c>
      <c r="P35" s="36">
        <f t="shared" si="1"/>
        <v>0</v>
      </c>
    </row>
    <row r="36" spans="1:16" ht="12.75">
      <c r="A36" s="14" t="s">
        <v>74</v>
      </c>
      <c r="B36" s="14" t="s">
        <v>101</v>
      </c>
      <c r="C36" s="105" t="s">
        <v>114</v>
      </c>
      <c r="D36" s="95"/>
      <c r="E36" s="95"/>
      <c r="F36" s="95"/>
      <c r="G36" s="95"/>
      <c r="H36" s="95"/>
      <c r="I36" s="95"/>
      <c r="J36" s="36">
        <f>SUMIF('Stavební rozpočet'!AY13:AY267,"SO01d_9_",'Stavební rozpočet'!AV13:AV267)</f>
        <v>0</v>
      </c>
      <c r="K36" s="36">
        <f>SUMIF('Stavební rozpočet'!AY13:AY267,"SO01d_9_",'Stavební rozpočet'!AW13:AW267)</f>
        <v>0</v>
      </c>
      <c r="L36" s="36">
        <f>SUMIF('Stavební rozpočet'!AY13:AY267,"SO01d_9_",'Stavební rozpočet'!AU13:AU267)</f>
        <v>0</v>
      </c>
      <c r="M36" s="36" t="s">
        <v>118</v>
      </c>
      <c r="N36" s="36">
        <f t="shared" si="0"/>
        <v>0</v>
      </c>
      <c r="O36" s="14" t="s">
        <v>74</v>
      </c>
      <c r="P36" s="36">
        <f t="shared" si="1"/>
        <v>0</v>
      </c>
    </row>
    <row r="37" spans="1:16" ht="12.75">
      <c r="A37" s="14" t="s">
        <v>75</v>
      </c>
      <c r="B37" s="14"/>
      <c r="C37" s="105" t="s">
        <v>82</v>
      </c>
      <c r="D37" s="95"/>
      <c r="E37" s="95"/>
      <c r="F37" s="95"/>
      <c r="G37" s="95"/>
      <c r="H37" s="95"/>
      <c r="I37" s="95"/>
      <c r="J37" s="36">
        <f>'Stavební rozpočet'!I251</f>
        <v>0</v>
      </c>
      <c r="K37" s="36">
        <f>'Stavební rozpočet'!J251</f>
        <v>0</v>
      </c>
      <c r="L37" s="36">
        <f>'Stavební rozpočet'!K251</f>
        <v>0</v>
      </c>
      <c r="M37" s="36" t="s">
        <v>89</v>
      </c>
      <c r="N37" s="36">
        <f t="shared" si="0"/>
        <v>0</v>
      </c>
      <c r="O37" s="14" t="s">
        <v>75</v>
      </c>
      <c r="P37" s="36">
        <f t="shared" si="1"/>
        <v>0</v>
      </c>
    </row>
    <row r="38" spans="1:16" ht="12.75">
      <c r="A38" s="14" t="s">
        <v>75</v>
      </c>
      <c r="B38" s="14" t="s">
        <v>92</v>
      </c>
      <c r="C38" s="105" t="s">
        <v>105</v>
      </c>
      <c r="D38" s="95"/>
      <c r="E38" s="95"/>
      <c r="F38" s="95"/>
      <c r="G38" s="95"/>
      <c r="H38" s="95"/>
      <c r="I38" s="95"/>
      <c r="J38" s="36">
        <f>SUMIF('Stavební rozpočet'!AY13:AY267,"SO01e_1_",'Stavební rozpočet'!AV13:AV267)</f>
        <v>0</v>
      </c>
      <c r="K38" s="36">
        <f>SUMIF('Stavební rozpočet'!AY13:AY267,"SO01e_1_",'Stavební rozpočet'!AW13:AW267)</f>
        <v>0</v>
      </c>
      <c r="L38" s="36">
        <f>SUMIF('Stavební rozpočet'!AY13:AY267,"SO01e_1_",'Stavební rozpočet'!AU13:AU267)</f>
        <v>0</v>
      </c>
      <c r="M38" s="36" t="s">
        <v>118</v>
      </c>
      <c r="N38" s="36">
        <f t="shared" si="0"/>
        <v>0</v>
      </c>
      <c r="O38" s="14" t="s">
        <v>75</v>
      </c>
      <c r="P38" s="36">
        <f t="shared" si="1"/>
        <v>0</v>
      </c>
    </row>
    <row r="39" spans="1:16" ht="12.75">
      <c r="A39" s="14" t="s">
        <v>75</v>
      </c>
      <c r="B39" s="14" t="s">
        <v>104</v>
      </c>
      <c r="C39" s="105" t="s">
        <v>117</v>
      </c>
      <c r="D39" s="95"/>
      <c r="E39" s="95"/>
      <c r="F39" s="95"/>
      <c r="G39" s="95"/>
      <c r="H39" s="95"/>
      <c r="I39" s="95"/>
      <c r="J39" s="36">
        <f>SUMIF('Stavební rozpočet'!AY13:AY267,"SO01e_8_",'Stavební rozpočet'!AV13:AV267)</f>
        <v>0</v>
      </c>
      <c r="K39" s="36">
        <f>SUMIF('Stavební rozpočet'!AY13:AY267,"SO01e_8_",'Stavební rozpočet'!AW13:AW267)</f>
        <v>0</v>
      </c>
      <c r="L39" s="36">
        <f>SUMIF('Stavební rozpočet'!AY13:AY267,"SO01e_8_",'Stavební rozpočet'!AU13:AU267)</f>
        <v>0</v>
      </c>
      <c r="M39" s="36" t="s">
        <v>118</v>
      </c>
      <c r="N39" s="36">
        <f t="shared" si="0"/>
        <v>0</v>
      </c>
      <c r="O39" s="14" t="s">
        <v>75</v>
      </c>
      <c r="P39" s="36">
        <f t="shared" si="1"/>
        <v>0</v>
      </c>
    </row>
    <row r="40" spans="1:16" ht="12.75">
      <c r="A40" s="31" t="s">
        <v>75</v>
      </c>
      <c r="B40" s="31"/>
      <c r="C40" s="154" t="s">
        <v>10</v>
      </c>
      <c r="D40" s="107"/>
      <c r="E40" s="107"/>
      <c r="F40" s="107"/>
      <c r="G40" s="107"/>
      <c r="H40" s="107"/>
      <c r="I40" s="107"/>
      <c r="J40" s="38">
        <f>SUMIF('Stavební rozpočet'!AY13:AY267,"SO01e_Z_",'Stavební rozpočet'!AV13:AV267)</f>
        <v>0</v>
      </c>
      <c r="K40" s="38">
        <f>SUMIF('Stavební rozpočet'!AY13:AY267,"SO01e_Z_",'Stavební rozpočet'!AW13:AW267)</f>
        <v>0</v>
      </c>
      <c r="L40" s="38">
        <f>SUMIF('Stavební rozpočet'!AY13:AY267,"SO01e_Z_",'Stavební rozpočet'!AU13:AU267)</f>
        <v>0</v>
      </c>
      <c r="M40" s="36" t="s">
        <v>118</v>
      </c>
      <c r="N40" s="36">
        <f t="shared" si="0"/>
        <v>0</v>
      </c>
      <c r="O40" s="14" t="s">
        <v>75</v>
      </c>
      <c r="P40" s="36">
        <f t="shared" si="1"/>
        <v>0</v>
      </c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155" t="s">
        <v>87</v>
      </c>
      <c r="K41" s="97"/>
      <c r="L41" s="39">
        <f>SUM(N12:N40)</f>
        <v>0</v>
      </c>
    </row>
    <row r="42" ht="11.25" customHeight="1">
      <c r="A42" s="32" t="s">
        <v>18</v>
      </c>
    </row>
    <row r="43" spans="1:11" ht="12.75">
      <c r="A43" s="103"/>
      <c r="B43" s="95"/>
      <c r="C43" s="95"/>
      <c r="D43" s="95"/>
      <c r="E43" s="95"/>
      <c r="F43" s="95"/>
      <c r="G43" s="95"/>
      <c r="H43" s="95"/>
      <c r="I43" s="95"/>
      <c r="J43" s="95"/>
      <c r="K43" s="95"/>
    </row>
  </sheetData>
  <sheetProtection/>
  <mergeCells count="59">
    <mergeCell ref="C39:I39"/>
    <mergeCell ref="C40:I40"/>
    <mergeCell ref="J41:K41"/>
    <mergeCell ref="A43:K43"/>
    <mergeCell ref="C33:I33"/>
    <mergeCell ref="C34:I34"/>
    <mergeCell ref="C35:I35"/>
    <mergeCell ref="C36:I36"/>
    <mergeCell ref="C37:I37"/>
    <mergeCell ref="C38:I38"/>
    <mergeCell ref="C27:I27"/>
    <mergeCell ref="C28:I28"/>
    <mergeCell ref="C29:I29"/>
    <mergeCell ref="C30:I30"/>
    <mergeCell ref="C31:I31"/>
    <mergeCell ref="C32:I32"/>
    <mergeCell ref="C21:I21"/>
    <mergeCell ref="C22:I22"/>
    <mergeCell ref="C23:I23"/>
    <mergeCell ref="C24:I24"/>
    <mergeCell ref="C25:I25"/>
    <mergeCell ref="C26:I26"/>
    <mergeCell ref="C15:I15"/>
    <mergeCell ref="C16:I16"/>
    <mergeCell ref="C17:I17"/>
    <mergeCell ref="C18:I18"/>
    <mergeCell ref="C19:I19"/>
    <mergeCell ref="C20:I20"/>
    <mergeCell ref="C10:I10"/>
    <mergeCell ref="J10:L10"/>
    <mergeCell ref="C11:I11"/>
    <mergeCell ref="C12:I12"/>
    <mergeCell ref="C13:I13"/>
    <mergeCell ref="C14:I14"/>
    <mergeCell ref="A8:C9"/>
    <mergeCell ref="D8:D9"/>
    <mergeCell ref="E8:F9"/>
    <mergeCell ref="G8:H9"/>
    <mergeCell ref="I8:I9"/>
    <mergeCell ref="J8:L9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I4:I5"/>
    <mergeCell ref="J4:L5"/>
    <mergeCell ref="A1:L1"/>
    <mergeCell ref="A2:C3"/>
    <mergeCell ref="D2:D3"/>
    <mergeCell ref="E2:F3"/>
    <mergeCell ref="G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7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I6" sqref="I6:K7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3.57421875" style="0" customWidth="1"/>
    <col min="4" max="5" width="11.57421875" style="0" customWidth="1"/>
    <col min="6" max="6" width="6.7109375" style="0" customWidth="1"/>
    <col min="7" max="7" width="12.8515625" style="0" customWidth="1"/>
    <col min="8" max="8" width="12.00390625" style="0" customWidth="1"/>
    <col min="9" max="11" width="14.28125" style="0" customWidth="1"/>
    <col min="12" max="23" width="11.57421875" style="0" customWidth="1"/>
    <col min="24" max="61" width="12.140625" style="0" hidden="1" customWidth="1"/>
  </cols>
  <sheetData>
    <row r="1" spans="1:11" ht="72.75" customHeight="1">
      <c r="A1" s="149" t="s">
        <v>119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12.75">
      <c r="A2" s="92" t="s">
        <v>0</v>
      </c>
      <c r="B2" s="93"/>
      <c r="C2" s="96" t="s">
        <v>512</v>
      </c>
      <c r="D2" s="166" t="s">
        <v>83</v>
      </c>
      <c r="E2" s="93"/>
      <c r="F2" s="166" t="s">
        <v>68</v>
      </c>
      <c r="G2" s="93"/>
      <c r="H2" s="99" t="s">
        <v>31</v>
      </c>
      <c r="I2" s="99" t="s">
        <v>514</v>
      </c>
      <c r="J2" s="93"/>
      <c r="K2" s="93"/>
      <c r="L2" s="15"/>
    </row>
    <row r="3" spans="1:12" ht="12.75">
      <c r="A3" s="94"/>
      <c r="B3" s="95"/>
      <c r="C3" s="98"/>
      <c r="D3" s="95"/>
      <c r="E3" s="95"/>
      <c r="F3" s="95"/>
      <c r="G3" s="95"/>
      <c r="H3" s="95"/>
      <c r="I3" s="95"/>
      <c r="J3" s="95"/>
      <c r="K3" s="95"/>
      <c r="L3" s="15"/>
    </row>
    <row r="4" spans="1:12" ht="12.75">
      <c r="A4" s="102" t="s">
        <v>1</v>
      </c>
      <c r="B4" s="95"/>
      <c r="C4" s="103" t="s">
        <v>513</v>
      </c>
      <c r="D4" s="105" t="s">
        <v>3</v>
      </c>
      <c r="E4" s="95"/>
      <c r="F4" s="105" t="s">
        <v>744</v>
      </c>
      <c r="G4" s="95"/>
      <c r="H4" s="103" t="s">
        <v>32</v>
      </c>
      <c r="I4" s="103" t="s">
        <v>758</v>
      </c>
      <c r="J4" s="95"/>
      <c r="K4" s="95"/>
      <c r="L4" s="15"/>
    </row>
    <row r="5" spans="1:12" ht="12.7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15"/>
    </row>
    <row r="6" spans="1:12" ht="12.75">
      <c r="A6" s="102" t="s">
        <v>2</v>
      </c>
      <c r="B6" s="95"/>
      <c r="C6" s="103" t="s">
        <v>514</v>
      </c>
      <c r="D6" s="105" t="s">
        <v>34</v>
      </c>
      <c r="E6" s="95"/>
      <c r="F6" s="105" t="s">
        <v>744</v>
      </c>
      <c r="G6" s="95"/>
      <c r="H6" s="103" t="s">
        <v>33</v>
      </c>
      <c r="I6" s="167"/>
      <c r="J6" s="95"/>
      <c r="K6" s="95"/>
      <c r="L6" s="15"/>
    </row>
    <row r="7" spans="1:12" ht="12.7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15"/>
    </row>
    <row r="8" spans="1:12" ht="12.75">
      <c r="A8" s="102" t="s">
        <v>4</v>
      </c>
      <c r="B8" s="95"/>
      <c r="C8" s="103">
        <v>801</v>
      </c>
      <c r="D8" s="105" t="s">
        <v>84</v>
      </c>
      <c r="E8" s="95"/>
      <c r="F8" s="105" t="s">
        <v>745</v>
      </c>
      <c r="G8" s="95"/>
      <c r="H8" s="103" t="s">
        <v>35</v>
      </c>
      <c r="I8" s="103" t="s">
        <v>759</v>
      </c>
      <c r="J8" s="95"/>
      <c r="K8" s="95"/>
      <c r="L8" s="15"/>
    </row>
    <row r="9" spans="1:12" ht="12.75">
      <c r="A9" s="153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"/>
    </row>
    <row r="10" spans="1:12" ht="12.75">
      <c r="A10" s="40" t="s">
        <v>120</v>
      </c>
      <c r="B10" s="46" t="s">
        <v>91</v>
      </c>
      <c r="C10" s="168" t="s">
        <v>76</v>
      </c>
      <c r="D10" s="169"/>
      <c r="E10" s="170"/>
      <c r="F10" s="46" t="s">
        <v>746</v>
      </c>
      <c r="G10" s="49" t="s">
        <v>755</v>
      </c>
      <c r="H10" s="53" t="s">
        <v>756</v>
      </c>
      <c r="I10" s="159" t="s">
        <v>85</v>
      </c>
      <c r="J10" s="160"/>
      <c r="K10" s="161"/>
      <c r="L10" s="16"/>
    </row>
    <row r="11" spans="1:61" ht="12.75">
      <c r="A11" s="65" t="s">
        <v>68</v>
      </c>
      <c r="B11" s="66" t="s">
        <v>68</v>
      </c>
      <c r="C11" s="171" t="s">
        <v>515</v>
      </c>
      <c r="D11" s="163"/>
      <c r="E11" s="172"/>
      <c r="F11" s="66" t="s">
        <v>68</v>
      </c>
      <c r="G11" s="66" t="s">
        <v>68</v>
      </c>
      <c r="H11" s="67" t="s">
        <v>757</v>
      </c>
      <c r="I11" s="68" t="s">
        <v>86</v>
      </c>
      <c r="J11" s="69" t="s">
        <v>21</v>
      </c>
      <c r="K11" s="70" t="s">
        <v>88</v>
      </c>
      <c r="L11" s="16"/>
      <c r="Y11" s="54" t="s">
        <v>760</v>
      </c>
      <c r="Z11" s="54" t="s">
        <v>761</v>
      </c>
      <c r="AA11" s="54" t="s">
        <v>762</v>
      </c>
      <c r="AB11" s="54" t="s">
        <v>763</v>
      </c>
      <c r="AC11" s="54" t="s">
        <v>764</v>
      </c>
      <c r="AD11" s="54" t="s">
        <v>765</v>
      </c>
      <c r="AE11" s="54" t="s">
        <v>766</v>
      </c>
      <c r="AF11" s="54" t="s">
        <v>767</v>
      </c>
      <c r="AG11" s="54" t="s">
        <v>768</v>
      </c>
      <c r="BG11" s="54" t="s">
        <v>840</v>
      </c>
      <c r="BH11" s="54" t="s">
        <v>841</v>
      </c>
      <c r="BI11" s="54" t="s">
        <v>842</v>
      </c>
    </row>
    <row r="12" spans="1:11" ht="12.75">
      <c r="A12" s="71"/>
      <c r="B12" s="72"/>
      <c r="C12" s="173" t="s">
        <v>77</v>
      </c>
      <c r="D12" s="174"/>
      <c r="E12" s="175"/>
      <c r="F12" s="71" t="s">
        <v>68</v>
      </c>
      <c r="G12" s="71" t="s">
        <v>68</v>
      </c>
      <c r="H12" s="71" t="s">
        <v>68</v>
      </c>
      <c r="I12" s="75">
        <f>I13+I16+I18+I21+I24+I28+I36+I39+I45+I54+I58+I62+I67+I72+I77+I81+I85+I96+I106+I109+I130+I136+I138+I144+I146+I149+I152</f>
        <v>0</v>
      </c>
      <c r="J12" s="75">
        <f>J13+J16+J18+J21+J24+J28+J36+J39+J45+J54+J58+J62+J67+J72+J77+J81+J85+J96+J106+J109+J130+J136+J138+J144+J146+J149+J152</f>
        <v>0</v>
      </c>
      <c r="K12" s="75">
        <f>K13+K16+K18+K21+K24+K28+K36+K39+K45+K54+K58+K62+K67+K72+K77+K81+K85+K96+K106+K109+K130+K136+K138+K144+K146+K149+K152</f>
        <v>0</v>
      </c>
    </row>
    <row r="13" spans="1:46" ht="12.75">
      <c r="A13" s="77"/>
      <c r="B13" s="78" t="s">
        <v>218</v>
      </c>
      <c r="C13" s="176" t="s">
        <v>516</v>
      </c>
      <c r="D13" s="177"/>
      <c r="E13" s="178"/>
      <c r="F13" s="77" t="s">
        <v>68</v>
      </c>
      <c r="G13" s="77" t="s">
        <v>68</v>
      </c>
      <c r="H13" s="77" t="s">
        <v>68</v>
      </c>
      <c r="I13" s="81">
        <f>SUM(I14:I15)</f>
        <v>0</v>
      </c>
      <c r="J13" s="81">
        <f>SUM(J14:J15)</f>
        <v>0</v>
      </c>
      <c r="K13" s="81">
        <f>SUM(K14:K15)</f>
        <v>0</v>
      </c>
      <c r="AH13" s="54" t="s">
        <v>70</v>
      </c>
      <c r="AR13" s="58">
        <f>SUM(AI14:AI15)</f>
        <v>0</v>
      </c>
      <c r="AS13" s="58">
        <f>SUM(AJ14:AJ15)</f>
        <v>0</v>
      </c>
      <c r="AT13" s="58">
        <f>SUM(AK14:AK15)</f>
        <v>0</v>
      </c>
    </row>
    <row r="14" spans="1:61" ht="12.75">
      <c r="A14" s="82" t="s">
        <v>92</v>
      </c>
      <c r="B14" s="82" t="s">
        <v>305</v>
      </c>
      <c r="C14" s="179" t="s">
        <v>517</v>
      </c>
      <c r="D14" s="180"/>
      <c r="E14" s="181"/>
      <c r="F14" s="82" t="s">
        <v>747</v>
      </c>
      <c r="G14" s="83">
        <v>200</v>
      </c>
      <c r="H14" s="83">
        <v>0</v>
      </c>
      <c r="I14" s="83">
        <f>G14*AN14</f>
        <v>0</v>
      </c>
      <c r="J14" s="83">
        <f>G14*AO14</f>
        <v>0</v>
      </c>
      <c r="K14" s="83">
        <f>G14*H14</f>
        <v>0</v>
      </c>
      <c r="Y14" s="36">
        <f>IF(AP14="5",BI14,0)</f>
        <v>0</v>
      </c>
      <c r="AA14" s="36">
        <f>IF(AP14="1",BG14,0)</f>
        <v>0</v>
      </c>
      <c r="AB14" s="36">
        <f>IF(AP14="1",BH14,0)</f>
        <v>0</v>
      </c>
      <c r="AC14" s="36">
        <f>IF(AP14="7",BG14,0)</f>
        <v>0</v>
      </c>
      <c r="AD14" s="36">
        <f>IF(AP14="7",BH14,0)</f>
        <v>0</v>
      </c>
      <c r="AE14" s="36">
        <f>IF(AP14="2",BG14,0)</f>
        <v>0</v>
      </c>
      <c r="AF14" s="36">
        <f>IF(AP14="2",BH14,0)</f>
        <v>0</v>
      </c>
      <c r="AG14" s="36">
        <f>IF(AP14="0",BI14,0)</f>
        <v>0</v>
      </c>
      <c r="AH14" s="54" t="s">
        <v>70</v>
      </c>
      <c r="AI14" s="50">
        <f>IF(AM14=0,K14,0)</f>
        <v>0</v>
      </c>
      <c r="AJ14" s="50">
        <f>IF(AM14=15,K14,0)</f>
        <v>0</v>
      </c>
      <c r="AK14" s="50">
        <f>IF(AM14=21,K14,0)</f>
        <v>0</v>
      </c>
      <c r="AM14" s="36">
        <v>21</v>
      </c>
      <c r="AN14" s="36">
        <f>H14*0</f>
        <v>0</v>
      </c>
      <c r="AO14" s="36">
        <f>H14*(1-0)</f>
        <v>0</v>
      </c>
      <c r="AP14" s="55" t="s">
        <v>92</v>
      </c>
      <c r="AU14" s="36">
        <f>AV14+AW14</f>
        <v>0</v>
      </c>
      <c r="AV14" s="36">
        <f>G14*AN14</f>
        <v>0</v>
      </c>
      <c r="AW14" s="36">
        <f>G14*AO14</f>
        <v>0</v>
      </c>
      <c r="AX14" s="57" t="s">
        <v>770</v>
      </c>
      <c r="AY14" s="57" t="s">
        <v>811</v>
      </c>
      <c r="AZ14" s="54" t="s">
        <v>834</v>
      </c>
      <c r="BB14" s="36">
        <f>AV14+AW14</f>
        <v>0</v>
      </c>
      <c r="BC14" s="36">
        <f>H14/(100-BD14)*100</f>
        <v>0</v>
      </c>
      <c r="BD14" s="36">
        <v>0</v>
      </c>
      <c r="BE14" s="36">
        <f>14</f>
        <v>14</v>
      </c>
      <c r="BG14" s="50">
        <f>G14*AN14</f>
        <v>0</v>
      </c>
      <c r="BH14" s="50">
        <f>G14*AO14</f>
        <v>0</v>
      </c>
      <c r="BI14" s="50">
        <f>G14*H14</f>
        <v>0</v>
      </c>
    </row>
    <row r="15" spans="1:61" ht="12.75">
      <c r="A15" s="82" t="s">
        <v>93</v>
      </c>
      <c r="B15" s="82" t="s">
        <v>305</v>
      </c>
      <c r="C15" s="179" t="s">
        <v>518</v>
      </c>
      <c r="D15" s="180"/>
      <c r="E15" s="181"/>
      <c r="F15" s="82" t="s">
        <v>747</v>
      </c>
      <c r="G15" s="83">
        <v>120</v>
      </c>
      <c r="H15" s="83">
        <v>0</v>
      </c>
      <c r="I15" s="83">
        <f>G15*AN15</f>
        <v>0</v>
      </c>
      <c r="J15" s="83">
        <f>G15*AO15</f>
        <v>0</v>
      </c>
      <c r="K15" s="83">
        <f>G15*H15</f>
        <v>0</v>
      </c>
      <c r="Y15" s="36">
        <f>IF(AP15="5",BI15,0)</f>
        <v>0</v>
      </c>
      <c r="AA15" s="36">
        <f>IF(AP15="1",BG15,0)</f>
        <v>0</v>
      </c>
      <c r="AB15" s="36">
        <f>IF(AP15="1",BH15,0)</f>
        <v>0</v>
      </c>
      <c r="AC15" s="36">
        <f>IF(AP15="7",BG15,0)</f>
        <v>0</v>
      </c>
      <c r="AD15" s="36">
        <f>IF(AP15="7",BH15,0)</f>
        <v>0</v>
      </c>
      <c r="AE15" s="36">
        <f>IF(AP15="2",BG15,0)</f>
        <v>0</v>
      </c>
      <c r="AF15" s="36">
        <f>IF(AP15="2",BH15,0)</f>
        <v>0</v>
      </c>
      <c r="AG15" s="36">
        <f>IF(AP15="0",BI15,0)</f>
        <v>0</v>
      </c>
      <c r="AH15" s="54" t="s">
        <v>70</v>
      </c>
      <c r="AI15" s="50">
        <f>IF(AM15=0,K15,0)</f>
        <v>0</v>
      </c>
      <c r="AJ15" s="50">
        <f>IF(AM15=15,K15,0)</f>
        <v>0</v>
      </c>
      <c r="AK15" s="50">
        <f>IF(AM15=21,K15,0)</f>
        <v>0</v>
      </c>
      <c r="AM15" s="36">
        <v>21</v>
      </c>
      <c r="AN15" s="36">
        <f>H15*0</f>
        <v>0</v>
      </c>
      <c r="AO15" s="36">
        <f>H15*(1-0)</f>
        <v>0</v>
      </c>
      <c r="AP15" s="55" t="s">
        <v>92</v>
      </c>
      <c r="AU15" s="36">
        <f>AV15+AW15</f>
        <v>0</v>
      </c>
      <c r="AV15" s="36">
        <f>G15*AN15</f>
        <v>0</v>
      </c>
      <c r="AW15" s="36">
        <f>G15*AO15</f>
        <v>0</v>
      </c>
      <c r="AX15" s="57" t="s">
        <v>770</v>
      </c>
      <c r="AY15" s="57" t="s">
        <v>811</v>
      </c>
      <c r="AZ15" s="54" t="s">
        <v>834</v>
      </c>
      <c r="BB15" s="36">
        <f>AV15+AW15</f>
        <v>0</v>
      </c>
      <c r="BC15" s="36">
        <f>H15/(100-BD15)*100</f>
        <v>0</v>
      </c>
      <c r="BD15" s="36">
        <v>0</v>
      </c>
      <c r="BE15" s="36">
        <f>15</f>
        <v>15</v>
      </c>
      <c r="BG15" s="50">
        <f>G15*AN15</f>
        <v>0</v>
      </c>
      <c r="BH15" s="50">
        <f>G15*AO15</f>
        <v>0</v>
      </c>
      <c r="BI15" s="50">
        <f>G15*H15</f>
        <v>0</v>
      </c>
    </row>
    <row r="16" spans="1:46" ht="12.75">
      <c r="A16" s="77"/>
      <c r="B16" s="78" t="s">
        <v>124</v>
      </c>
      <c r="C16" s="176" t="s">
        <v>519</v>
      </c>
      <c r="D16" s="177"/>
      <c r="E16" s="178"/>
      <c r="F16" s="77" t="s">
        <v>68</v>
      </c>
      <c r="G16" s="77" t="s">
        <v>68</v>
      </c>
      <c r="H16" s="77" t="s">
        <v>68</v>
      </c>
      <c r="I16" s="81">
        <f>SUM(I17:I17)</f>
        <v>0</v>
      </c>
      <c r="J16" s="81">
        <f>SUM(J17:J17)</f>
        <v>0</v>
      </c>
      <c r="K16" s="81">
        <f>SUM(K17:K17)</f>
        <v>0</v>
      </c>
      <c r="AH16" s="54" t="s">
        <v>70</v>
      </c>
      <c r="AR16" s="58">
        <f>SUM(AI17:AI17)</f>
        <v>0</v>
      </c>
      <c r="AS16" s="58">
        <f>SUM(AJ17:AJ17)</f>
        <v>0</v>
      </c>
      <c r="AT16" s="58">
        <f>SUM(AK17:AK17)</f>
        <v>0</v>
      </c>
    </row>
    <row r="17" spans="1:61" ht="12.75">
      <c r="A17" s="82" t="s">
        <v>94</v>
      </c>
      <c r="B17" s="82" t="s">
        <v>306</v>
      </c>
      <c r="C17" s="179" t="s">
        <v>520</v>
      </c>
      <c r="D17" s="180"/>
      <c r="E17" s="181"/>
      <c r="F17" s="82" t="s">
        <v>748</v>
      </c>
      <c r="G17" s="83">
        <v>17.51</v>
      </c>
      <c r="H17" s="83">
        <v>0</v>
      </c>
      <c r="I17" s="83">
        <f>G17*AN17</f>
        <v>0</v>
      </c>
      <c r="J17" s="83">
        <f>G17*AO17</f>
        <v>0</v>
      </c>
      <c r="K17" s="83">
        <f>G17*H17</f>
        <v>0</v>
      </c>
      <c r="Y17" s="36">
        <f>IF(AP17="5",BI17,0)</f>
        <v>0</v>
      </c>
      <c r="AA17" s="36">
        <f>IF(AP17="1",BG17,0)</f>
        <v>0</v>
      </c>
      <c r="AB17" s="36">
        <f>IF(AP17="1",BH17,0)</f>
        <v>0</v>
      </c>
      <c r="AC17" s="36">
        <f>IF(AP17="7",BG17,0)</f>
        <v>0</v>
      </c>
      <c r="AD17" s="36">
        <f>IF(AP17="7",BH17,0)</f>
        <v>0</v>
      </c>
      <c r="AE17" s="36">
        <f>IF(AP17="2",BG17,0)</f>
        <v>0</v>
      </c>
      <c r="AF17" s="36">
        <f>IF(AP17="2",BH17,0)</f>
        <v>0</v>
      </c>
      <c r="AG17" s="36">
        <f>IF(AP17="0",BI17,0)</f>
        <v>0</v>
      </c>
      <c r="AH17" s="54" t="s">
        <v>70</v>
      </c>
      <c r="AI17" s="50">
        <f>IF(AM17=0,K17,0)</f>
        <v>0</v>
      </c>
      <c r="AJ17" s="50">
        <f>IF(AM17=15,K17,0)</f>
        <v>0</v>
      </c>
      <c r="AK17" s="50">
        <f>IF(AM17=21,K17,0)</f>
        <v>0</v>
      </c>
      <c r="AM17" s="36">
        <v>21</v>
      </c>
      <c r="AN17" s="36">
        <f>H17*0</f>
        <v>0</v>
      </c>
      <c r="AO17" s="36">
        <f>H17*(1-0)</f>
        <v>0</v>
      </c>
      <c r="AP17" s="55" t="s">
        <v>92</v>
      </c>
      <c r="AU17" s="36">
        <f>AV17+AW17</f>
        <v>0</v>
      </c>
      <c r="AV17" s="36">
        <f>G17*AN17</f>
        <v>0</v>
      </c>
      <c r="AW17" s="36">
        <f>G17*AO17</f>
        <v>0</v>
      </c>
      <c r="AX17" s="57" t="s">
        <v>771</v>
      </c>
      <c r="AY17" s="57" t="s">
        <v>811</v>
      </c>
      <c r="AZ17" s="54" t="s">
        <v>834</v>
      </c>
      <c r="BB17" s="36">
        <f>AV17+AW17</f>
        <v>0</v>
      </c>
      <c r="BC17" s="36">
        <f>H17/(100-BD17)*100</f>
        <v>0</v>
      </c>
      <c r="BD17" s="36">
        <v>0</v>
      </c>
      <c r="BE17" s="36">
        <f>17</f>
        <v>17</v>
      </c>
      <c r="BG17" s="50">
        <f>G17*AN17</f>
        <v>0</v>
      </c>
      <c r="BH17" s="50">
        <f>G17*AO17</f>
        <v>0</v>
      </c>
      <c r="BI17" s="50">
        <f>G17*H17</f>
        <v>0</v>
      </c>
    </row>
    <row r="18" spans="1:46" ht="12.75">
      <c r="A18" s="77"/>
      <c r="B18" s="78" t="s">
        <v>125</v>
      </c>
      <c r="C18" s="176" t="s">
        <v>521</v>
      </c>
      <c r="D18" s="177"/>
      <c r="E18" s="178"/>
      <c r="F18" s="77" t="s">
        <v>68</v>
      </c>
      <c r="G18" s="77" t="s">
        <v>68</v>
      </c>
      <c r="H18" s="77" t="s">
        <v>68</v>
      </c>
      <c r="I18" s="81">
        <f>SUM(I19:I20)</f>
        <v>0</v>
      </c>
      <c r="J18" s="81">
        <f>SUM(J19:J20)</f>
        <v>0</v>
      </c>
      <c r="K18" s="81">
        <f>SUM(K19:K20)</f>
        <v>0</v>
      </c>
      <c r="AH18" s="54" t="s">
        <v>70</v>
      </c>
      <c r="AR18" s="58">
        <f>SUM(AI19:AI20)</f>
        <v>0</v>
      </c>
      <c r="AS18" s="58">
        <f>SUM(AJ19:AJ20)</f>
        <v>0</v>
      </c>
      <c r="AT18" s="58">
        <f>SUM(AK19:AK20)</f>
        <v>0</v>
      </c>
    </row>
    <row r="19" spans="1:61" ht="12.75">
      <c r="A19" s="82" t="s">
        <v>95</v>
      </c>
      <c r="B19" s="82" t="s">
        <v>307</v>
      </c>
      <c r="C19" s="179" t="s">
        <v>522</v>
      </c>
      <c r="D19" s="180"/>
      <c r="E19" s="181"/>
      <c r="F19" s="82" t="s">
        <v>748</v>
      </c>
      <c r="G19" s="83">
        <v>12.38</v>
      </c>
      <c r="H19" s="83">
        <v>0</v>
      </c>
      <c r="I19" s="83">
        <f>G19*AN19</f>
        <v>0</v>
      </c>
      <c r="J19" s="83">
        <f>G19*AO19</f>
        <v>0</v>
      </c>
      <c r="K19" s="83">
        <f>G19*H19</f>
        <v>0</v>
      </c>
      <c r="Y19" s="36">
        <f>IF(AP19="5",BI19,0)</f>
        <v>0</v>
      </c>
      <c r="AA19" s="36">
        <f>IF(AP19="1",BG19,0)</f>
        <v>0</v>
      </c>
      <c r="AB19" s="36">
        <f>IF(AP19="1",BH19,0)</f>
        <v>0</v>
      </c>
      <c r="AC19" s="36">
        <f>IF(AP19="7",BG19,0)</f>
        <v>0</v>
      </c>
      <c r="AD19" s="36">
        <f>IF(AP19="7",BH19,0)</f>
        <v>0</v>
      </c>
      <c r="AE19" s="36">
        <f>IF(AP19="2",BG19,0)</f>
        <v>0</v>
      </c>
      <c r="AF19" s="36">
        <f>IF(AP19="2",BH19,0)</f>
        <v>0</v>
      </c>
      <c r="AG19" s="36">
        <f>IF(AP19="0",BI19,0)</f>
        <v>0</v>
      </c>
      <c r="AH19" s="54" t="s">
        <v>70</v>
      </c>
      <c r="AI19" s="50">
        <f>IF(AM19=0,K19,0)</f>
        <v>0</v>
      </c>
      <c r="AJ19" s="50">
        <f>IF(AM19=15,K19,0)</f>
        <v>0</v>
      </c>
      <c r="AK19" s="50">
        <f>IF(AM19=21,K19,0)</f>
        <v>0</v>
      </c>
      <c r="AM19" s="36">
        <v>21</v>
      </c>
      <c r="AN19" s="36">
        <f>H19*0</f>
        <v>0</v>
      </c>
      <c r="AO19" s="36">
        <f>H19*(1-0)</f>
        <v>0</v>
      </c>
      <c r="AP19" s="55" t="s">
        <v>92</v>
      </c>
      <c r="AU19" s="36">
        <f>AV19+AW19</f>
        <v>0</v>
      </c>
      <c r="AV19" s="36">
        <f>G19*AN19</f>
        <v>0</v>
      </c>
      <c r="AW19" s="36">
        <f>G19*AO19</f>
        <v>0</v>
      </c>
      <c r="AX19" s="57" t="s">
        <v>772</v>
      </c>
      <c r="AY19" s="57" t="s">
        <v>811</v>
      </c>
      <c r="AZ19" s="54" t="s">
        <v>834</v>
      </c>
      <c r="BB19" s="36">
        <f>AV19+AW19</f>
        <v>0</v>
      </c>
      <c r="BC19" s="36">
        <f>H19/(100-BD19)*100</f>
        <v>0</v>
      </c>
      <c r="BD19" s="36">
        <v>0</v>
      </c>
      <c r="BE19" s="36">
        <f>19</f>
        <v>19</v>
      </c>
      <c r="BG19" s="50">
        <f>G19*AN19</f>
        <v>0</v>
      </c>
      <c r="BH19" s="50">
        <f>G19*AO19</f>
        <v>0</v>
      </c>
      <c r="BI19" s="50">
        <f>G19*H19</f>
        <v>0</v>
      </c>
    </row>
    <row r="20" spans="1:61" ht="12.75">
      <c r="A20" s="82" t="s">
        <v>103</v>
      </c>
      <c r="B20" s="82" t="s">
        <v>308</v>
      </c>
      <c r="C20" s="179" t="s">
        <v>523</v>
      </c>
      <c r="D20" s="180"/>
      <c r="E20" s="181"/>
      <c r="F20" s="82" t="s">
        <v>748</v>
      </c>
      <c r="G20" s="83">
        <v>4.13</v>
      </c>
      <c r="H20" s="83">
        <v>0</v>
      </c>
      <c r="I20" s="83">
        <f>G20*AN20</f>
        <v>0</v>
      </c>
      <c r="J20" s="83">
        <f>G20*AO20</f>
        <v>0</v>
      </c>
      <c r="K20" s="83">
        <f>G20*H20</f>
        <v>0</v>
      </c>
      <c r="Y20" s="36">
        <f>IF(AP20="5",BI20,0)</f>
        <v>0</v>
      </c>
      <c r="AA20" s="36">
        <f>IF(AP20="1",BG20,0)</f>
        <v>0</v>
      </c>
      <c r="AB20" s="36">
        <f>IF(AP20="1",BH20,0)</f>
        <v>0</v>
      </c>
      <c r="AC20" s="36">
        <f>IF(AP20="7",BG20,0)</f>
        <v>0</v>
      </c>
      <c r="AD20" s="36">
        <f>IF(AP20="7",BH20,0)</f>
        <v>0</v>
      </c>
      <c r="AE20" s="36">
        <f>IF(AP20="2",BG20,0)</f>
        <v>0</v>
      </c>
      <c r="AF20" s="36">
        <f>IF(AP20="2",BH20,0)</f>
        <v>0</v>
      </c>
      <c r="AG20" s="36">
        <f>IF(AP20="0",BI20,0)</f>
        <v>0</v>
      </c>
      <c r="AH20" s="54" t="s">
        <v>70</v>
      </c>
      <c r="AI20" s="50">
        <f>IF(AM20=0,K20,0)</f>
        <v>0</v>
      </c>
      <c r="AJ20" s="50">
        <f>IF(AM20=15,K20,0)</f>
        <v>0</v>
      </c>
      <c r="AK20" s="50">
        <f>IF(AM20=21,K20,0)</f>
        <v>0</v>
      </c>
      <c r="AM20" s="36">
        <v>21</v>
      </c>
      <c r="AN20" s="36">
        <f>H20*0</f>
        <v>0</v>
      </c>
      <c r="AO20" s="36">
        <f>H20*(1-0)</f>
        <v>0</v>
      </c>
      <c r="AP20" s="55" t="s">
        <v>92</v>
      </c>
      <c r="AU20" s="36">
        <f>AV20+AW20</f>
        <v>0</v>
      </c>
      <c r="AV20" s="36">
        <f>G20*AN20</f>
        <v>0</v>
      </c>
      <c r="AW20" s="36">
        <f>G20*AO20</f>
        <v>0</v>
      </c>
      <c r="AX20" s="57" t="s">
        <v>772</v>
      </c>
      <c r="AY20" s="57" t="s">
        <v>811</v>
      </c>
      <c r="AZ20" s="54" t="s">
        <v>834</v>
      </c>
      <c r="BB20" s="36">
        <f>AV20+AW20</f>
        <v>0</v>
      </c>
      <c r="BC20" s="36">
        <f>H20/(100-BD20)*100</f>
        <v>0</v>
      </c>
      <c r="BD20" s="36">
        <v>0</v>
      </c>
      <c r="BE20" s="36">
        <f>20</f>
        <v>20</v>
      </c>
      <c r="BG20" s="50">
        <f>G20*AN20</f>
        <v>0</v>
      </c>
      <c r="BH20" s="50">
        <f>G20*AO20</f>
        <v>0</v>
      </c>
      <c r="BI20" s="50">
        <f>G20*H20</f>
        <v>0</v>
      </c>
    </row>
    <row r="21" spans="1:46" ht="12.75">
      <c r="A21" s="77"/>
      <c r="B21" s="78" t="s">
        <v>128</v>
      </c>
      <c r="C21" s="176" t="s">
        <v>524</v>
      </c>
      <c r="D21" s="177"/>
      <c r="E21" s="178"/>
      <c r="F21" s="77" t="s">
        <v>68</v>
      </c>
      <c r="G21" s="77" t="s">
        <v>68</v>
      </c>
      <c r="H21" s="77" t="s">
        <v>68</v>
      </c>
      <c r="I21" s="81">
        <f>SUM(I22:I23)</f>
        <v>0</v>
      </c>
      <c r="J21" s="81">
        <f>SUM(J22:J23)</f>
        <v>0</v>
      </c>
      <c r="K21" s="81">
        <f>SUM(K22:K23)</f>
        <v>0</v>
      </c>
      <c r="AH21" s="54" t="s">
        <v>70</v>
      </c>
      <c r="AR21" s="58">
        <f>SUM(AI22:AI23)</f>
        <v>0</v>
      </c>
      <c r="AS21" s="58">
        <f>SUM(AJ22:AJ23)</f>
        <v>0</v>
      </c>
      <c r="AT21" s="58">
        <f>SUM(AK22:AK23)</f>
        <v>0</v>
      </c>
    </row>
    <row r="22" spans="1:61" ht="12.75">
      <c r="A22" s="82" t="s">
        <v>96</v>
      </c>
      <c r="B22" s="82" t="s">
        <v>309</v>
      </c>
      <c r="C22" s="179" t="s">
        <v>525</v>
      </c>
      <c r="D22" s="180"/>
      <c r="E22" s="181"/>
      <c r="F22" s="82" t="s">
        <v>748</v>
      </c>
      <c r="G22" s="83">
        <v>12.38</v>
      </c>
      <c r="H22" s="83">
        <v>0</v>
      </c>
      <c r="I22" s="83">
        <f>G22*AN22</f>
        <v>0</v>
      </c>
      <c r="J22" s="83">
        <f>G22*AO22</f>
        <v>0</v>
      </c>
      <c r="K22" s="83">
        <f>G22*H22</f>
        <v>0</v>
      </c>
      <c r="Y22" s="36">
        <f>IF(AP22="5",BI22,0)</f>
        <v>0</v>
      </c>
      <c r="AA22" s="36">
        <f>IF(AP22="1",BG22,0)</f>
        <v>0</v>
      </c>
      <c r="AB22" s="36">
        <f>IF(AP22="1",BH22,0)</f>
        <v>0</v>
      </c>
      <c r="AC22" s="36">
        <f>IF(AP22="7",BG22,0)</f>
        <v>0</v>
      </c>
      <c r="AD22" s="36">
        <f>IF(AP22="7",BH22,0)</f>
        <v>0</v>
      </c>
      <c r="AE22" s="36">
        <f>IF(AP22="2",BG22,0)</f>
        <v>0</v>
      </c>
      <c r="AF22" s="36">
        <f>IF(AP22="2",BH22,0)</f>
        <v>0</v>
      </c>
      <c r="AG22" s="36">
        <f>IF(AP22="0",BI22,0)</f>
        <v>0</v>
      </c>
      <c r="AH22" s="54" t="s">
        <v>70</v>
      </c>
      <c r="AI22" s="50">
        <f>IF(AM22=0,K22,0)</f>
        <v>0</v>
      </c>
      <c r="AJ22" s="50">
        <f>IF(AM22=15,K22,0)</f>
        <v>0</v>
      </c>
      <c r="AK22" s="50">
        <f>IF(AM22=21,K22,0)</f>
        <v>0</v>
      </c>
      <c r="AM22" s="36">
        <v>21</v>
      </c>
      <c r="AN22" s="36">
        <f>H22*0</f>
        <v>0</v>
      </c>
      <c r="AO22" s="36">
        <f>H22*(1-0)</f>
        <v>0</v>
      </c>
      <c r="AP22" s="55" t="s">
        <v>92</v>
      </c>
      <c r="AU22" s="36">
        <f>AV22+AW22</f>
        <v>0</v>
      </c>
      <c r="AV22" s="36">
        <f>G22*AN22</f>
        <v>0</v>
      </c>
      <c r="AW22" s="36">
        <f>G22*AO22</f>
        <v>0</v>
      </c>
      <c r="AX22" s="57" t="s">
        <v>773</v>
      </c>
      <c r="AY22" s="57" t="s">
        <v>811</v>
      </c>
      <c r="AZ22" s="54" t="s">
        <v>834</v>
      </c>
      <c r="BB22" s="36">
        <f>AV22+AW22</f>
        <v>0</v>
      </c>
      <c r="BC22" s="36">
        <f>H22/(100-BD22)*100</f>
        <v>0</v>
      </c>
      <c r="BD22" s="36">
        <v>0</v>
      </c>
      <c r="BE22" s="36">
        <f>22</f>
        <v>22</v>
      </c>
      <c r="BG22" s="50">
        <f>G22*AN22</f>
        <v>0</v>
      </c>
      <c r="BH22" s="50">
        <f>G22*AO22</f>
        <v>0</v>
      </c>
      <c r="BI22" s="50">
        <f>G22*H22</f>
        <v>0</v>
      </c>
    </row>
    <row r="23" spans="1:61" ht="12.75">
      <c r="A23" s="82" t="s">
        <v>121</v>
      </c>
      <c r="B23" s="82" t="s">
        <v>310</v>
      </c>
      <c r="C23" s="179" t="s">
        <v>526</v>
      </c>
      <c r="D23" s="180"/>
      <c r="E23" s="181"/>
      <c r="F23" s="82" t="s">
        <v>748</v>
      </c>
      <c r="G23" s="83">
        <v>12.38</v>
      </c>
      <c r="H23" s="83">
        <v>0</v>
      </c>
      <c r="I23" s="83">
        <f>G23*AN23</f>
        <v>0</v>
      </c>
      <c r="J23" s="83">
        <f>G23*AO23</f>
        <v>0</v>
      </c>
      <c r="K23" s="83">
        <f>G23*H23</f>
        <v>0</v>
      </c>
      <c r="Y23" s="36">
        <f>IF(AP23="5",BI23,0)</f>
        <v>0</v>
      </c>
      <c r="AA23" s="36">
        <f>IF(AP23="1",BG23,0)</f>
        <v>0</v>
      </c>
      <c r="AB23" s="36">
        <f>IF(AP23="1",BH23,0)</f>
        <v>0</v>
      </c>
      <c r="AC23" s="36">
        <f>IF(AP23="7",BG23,0)</f>
        <v>0</v>
      </c>
      <c r="AD23" s="36">
        <f>IF(AP23="7",BH23,0)</f>
        <v>0</v>
      </c>
      <c r="AE23" s="36">
        <f>IF(AP23="2",BG23,0)</f>
        <v>0</v>
      </c>
      <c r="AF23" s="36">
        <f>IF(AP23="2",BH23,0)</f>
        <v>0</v>
      </c>
      <c r="AG23" s="36">
        <f>IF(AP23="0",BI23,0)</f>
        <v>0</v>
      </c>
      <c r="AH23" s="54" t="s">
        <v>70</v>
      </c>
      <c r="AI23" s="50">
        <f>IF(AM23=0,K23,0)</f>
        <v>0</v>
      </c>
      <c r="AJ23" s="50">
        <f>IF(AM23=15,K23,0)</f>
        <v>0</v>
      </c>
      <c r="AK23" s="50">
        <f>IF(AM23=21,K23,0)</f>
        <v>0</v>
      </c>
      <c r="AM23" s="36">
        <v>21</v>
      </c>
      <c r="AN23" s="36">
        <f>H23*0</f>
        <v>0</v>
      </c>
      <c r="AO23" s="36">
        <f>H23*(1-0)</f>
        <v>0</v>
      </c>
      <c r="AP23" s="55" t="s">
        <v>92</v>
      </c>
      <c r="AU23" s="36">
        <f>AV23+AW23</f>
        <v>0</v>
      </c>
      <c r="AV23" s="36">
        <f>G23*AN23</f>
        <v>0</v>
      </c>
      <c r="AW23" s="36">
        <f>G23*AO23</f>
        <v>0</v>
      </c>
      <c r="AX23" s="57" t="s">
        <v>773</v>
      </c>
      <c r="AY23" s="57" t="s">
        <v>811</v>
      </c>
      <c r="AZ23" s="54" t="s">
        <v>834</v>
      </c>
      <c r="BB23" s="36">
        <f>AV23+AW23</f>
        <v>0</v>
      </c>
      <c r="BC23" s="36">
        <f>H23/(100-BD23)*100</f>
        <v>0</v>
      </c>
      <c r="BD23" s="36">
        <v>0</v>
      </c>
      <c r="BE23" s="36">
        <f>23</f>
        <v>23</v>
      </c>
      <c r="BG23" s="50">
        <f>G23*AN23</f>
        <v>0</v>
      </c>
      <c r="BH23" s="50">
        <f>G23*AO23</f>
        <v>0</v>
      </c>
      <c r="BI23" s="50">
        <f>G23*H23</f>
        <v>0</v>
      </c>
    </row>
    <row r="24" spans="1:46" ht="12.75">
      <c r="A24" s="77"/>
      <c r="B24" s="78" t="s">
        <v>129</v>
      </c>
      <c r="C24" s="176" t="s">
        <v>527</v>
      </c>
      <c r="D24" s="177"/>
      <c r="E24" s="178"/>
      <c r="F24" s="77" t="s">
        <v>68</v>
      </c>
      <c r="G24" s="77" t="s">
        <v>68</v>
      </c>
      <c r="H24" s="77" t="s">
        <v>68</v>
      </c>
      <c r="I24" s="81">
        <f>SUM(I25:I27)</f>
        <v>0</v>
      </c>
      <c r="J24" s="81">
        <f>SUM(J25:J27)</f>
        <v>0</v>
      </c>
      <c r="K24" s="81">
        <f>SUM(K25:K27)</f>
        <v>0</v>
      </c>
      <c r="AH24" s="54" t="s">
        <v>70</v>
      </c>
      <c r="AR24" s="58">
        <f>SUM(AI25:AI27)</f>
        <v>0</v>
      </c>
      <c r="AS24" s="58">
        <f>SUM(AJ25:AJ27)</f>
        <v>0</v>
      </c>
      <c r="AT24" s="58">
        <f>SUM(AK25:AK27)</f>
        <v>0</v>
      </c>
    </row>
    <row r="25" spans="1:61" ht="12.75">
      <c r="A25" s="82" t="s">
        <v>104</v>
      </c>
      <c r="B25" s="82" t="s">
        <v>311</v>
      </c>
      <c r="C25" s="179" t="s">
        <v>528</v>
      </c>
      <c r="D25" s="180"/>
      <c r="E25" s="181"/>
      <c r="F25" s="82" t="s">
        <v>748</v>
      </c>
      <c r="G25" s="83">
        <v>12.38</v>
      </c>
      <c r="H25" s="83">
        <v>0</v>
      </c>
      <c r="I25" s="83">
        <f>G25*AN25</f>
        <v>0</v>
      </c>
      <c r="J25" s="83">
        <f>G25*AO25</f>
        <v>0</v>
      </c>
      <c r="K25" s="83">
        <f>G25*H25</f>
        <v>0</v>
      </c>
      <c r="Y25" s="36">
        <f>IF(AP25="5",BI25,0)</f>
        <v>0</v>
      </c>
      <c r="AA25" s="36">
        <f>IF(AP25="1",BG25,0)</f>
        <v>0</v>
      </c>
      <c r="AB25" s="36">
        <f>IF(AP25="1",BH25,0)</f>
        <v>0</v>
      </c>
      <c r="AC25" s="36">
        <f>IF(AP25="7",BG25,0)</f>
        <v>0</v>
      </c>
      <c r="AD25" s="36">
        <f>IF(AP25="7",BH25,0)</f>
        <v>0</v>
      </c>
      <c r="AE25" s="36">
        <f>IF(AP25="2",BG25,0)</f>
        <v>0</v>
      </c>
      <c r="AF25" s="36">
        <f>IF(AP25="2",BH25,0)</f>
        <v>0</v>
      </c>
      <c r="AG25" s="36">
        <f>IF(AP25="0",BI25,0)</f>
        <v>0</v>
      </c>
      <c r="AH25" s="54" t="s">
        <v>70</v>
      </c>
      <c r="AI25" s="50">
        <f>IF(AM25=0,K25,0)</f>
        <v>0</v>
      </c>
      <c r="AJ25" s="50">
        <f>IF(AM25=15,K25,0)</f>
        <v>0</v>
      </c>
      <c r="AK25" s="50">
        <f>IF(AM25=21,K25,0)</f>
        <v>0</v>
      </c>
      <c r="AM25" s="36">
        <v>21</v>
      </c>
      <c r="AN25" s="36">
        <f>H25*0</f>
        <v>0</v>
      </c>
      <c r="AO25" s="36">
        <f>H25*(1-0)</f>
        <v>0</v>
      </c>
      <c r="AP25" s="55" t="s">
        <v>92</v>
      </c>
      <c r="AU25" s="36">
        <f>AV25+AW25</f>
        <v>0</v>
      </c>
      <c r="AV25" s="36">
        <f>G25*AN25</f>
        <v>0</v>
      </c>
      <c r="AW25" s="36">
        <f>G25*AO25</f>
        <v>0</v>
      </c>
      <c r="AX25" s="57" t="s">
        <v>774</v>
      </c>
      <c r="AY25" s="57" t="s">
        <v>811</v>
      </c>
      <c r="AZ25" s="54" t="s">
        <v>834</v>
      </c>
      <c r="BB25" s="36">
        <f>AV25+AW25</f>
        <v>0</v>
      </c>
      <c r="BC25" s="36">
        <f>H25/(100-BD25)*100</f>
        <v>0</v>
      </c>
      <c r="BD25" s="36">
        <v>0</v>
      </c>
      <c r="BE25" s="36">
        <f>25</f>
        <v>25</v>
      </c>
      <c r="BG25" s="50">
        <f>G25*AN25</f>
        <v>0</v>
      </c>
      <c r="BH25" s="50">
        <f>G25*AO25</f>
        <v>0</v>
      </c>
      <c r="BI25" s="50">
        <f>G25*H25</f>
        <v>0</v>
      </c>
    </row>
    <row r="26" spans="1:61" ht="12.75">
      <c r="A26" s="82" t="s">
        <v>101</v>
      </c>
      <c r="B26" s="82" t="s">
        <v>312</v>
      </c>
      <c r="C26" s="179" t="s">
        <v>529</v>
      </c>
      <c r="D26" s="180"/>
      <c r="E26" s="181"/>
      <c r="F26" s="82" t="s">
        <v>748</v>
      </c>
      <c r="G26" s="83">
        <v>3.91</v>
      </c>
      <c r="H26" s="83">
        <v>0</v>
      </c>
      <c r="I26" s="83">
        <f>G26*AN26</f>
        <v>0</v>
      </c>
      <c r="J26" s="83">
        <f>G26*AO26</f>
        <v>0</v>
      </c>
      <c r="K26" s="83">
        <f>G26*H26</f>
        <v>0</v>
      </c>
      <c r="Y26" s="36">
        <f>IF(AP26="5",BI26,0)</f>
        <v>0</v>
      </c>
      <c r="AA26" s="36">
        <f>IF(AP26="1",BG26,0)</f>
        <v>0</v>
      </c>
      <c r="AB26" s="36">
        <f>IF(AP26="1",BH26,0)</f>
        <v>0</v>
      </c>
      <c r="AC26" s="36">
        <f>IF(AP26="7",BG26,0)</f>
        <v>0</v>
      </c>
      <c r="AD26" s="36">
        <f>IF(AP26="7",BH26,0)</f>
        <v>0</v>
      </c>
      <c r="AE26" s="36">
        <f>IF(AP26="2",BG26,0)</f>
        <v>0</v>
      </c>
      <c r="AF26" s="36">
        <f>IF(AP26="2",BH26,0)</f>
        <v>0</v>
      </c>
      <c r="AG26" s="36">
        <f>IF(AP26="0",BI26,0)</f>
        <v>0</v>
      </c>
      <c r="AH26" s="54" t="s">
        <v>70</v>
      </c>
      <c r="AI26" s="50">
        <f>IF(AM26=0,K26,0)</f>
        <v>0</v>
      </c>
      <c r="AJ26" s="50">
        <f>IF(AM26=15,K26,0)</f>
        <v>0</v>
      </c>
      <c r="AK26" s="50">
        <f>IF(AM26=21,K26,0)</f>
        <v>0</v>
      </c>
      <c r="AM26" s="36">
        <v>21</v>
      </c>
      <c r="AN26" s="36">
        <f>H26*0</f>
        <v>0</v>
      </c>
      <c r="AO26" s="36">
        <f>H26*(1-0)</f>
        <v>0</v>
      </c>
      <c r="AP26" s="55" t="s">
        <v>92</v>
      </c>
      <c r="AU26" s="36">
        <f>AV26+AW26</f>
        <v>0</v>
      </c>
      <c r="AV26" s="36">
        <f>G26*AN26</f>
        <v>0</v>
      </c>
      <c r="AW26" s="36">
        <f>G26*AO26</f>
        <v>0</v>
      </c>
      <c r="AX26" s="57" t="s">
        <v>774</v>
      </c>
      <c r="AY26" s="57" t="s">
        <v>811</v>
      </c>
      <c r="AZ26" s="54" t="s">
        <v>834</v>
      </c>
      <c r="BB26" s="36">
        <f>AV26+AW26</f>
        <v>0</v>
      </c>
      <c r="BC26" s="36">
        <f>H26/(100-BD26)*100</f>
        <v>0</v>
      </c>
      <c r="BD26" s="36">
        <v>0</v>
      </c>
      <c r="BE26" s="36">
        <f>26</f>
        <v>26</v>
      </c>
      <c r="BG26" s="50">
        <f>G26*AN26</f>
        <v>0</v>
      </c>
      <c r="BH26" s="50">
        <f>G26*AO26</f>
        <v>0</v>
      </c>
      <c r="BI26" s="50">
        <f>G26*H26</f>
        <v>0</v>
      </c>
    </row>
    <row r="27" spans="1:61" ht="12.75">
      <c r="A27" s="82" t="s">
        <v>122</v>
      </c>
      <c r="B27" s="82" t="s">
        <v>313</v>
      </c>
      <c r="C27" s="179" t="s">
        <v>530</v>
      </c>
      <c r="D27" s="180"/>
      <c r="E27" s="181"/>
      <c r="F27" s="82" t="s">
        <v>748</v>
      </c>
      <c r="G27" s="83">
        <v>3.91</v>
      </c>
      <c r="H27" s="83">
        <v>0</v>
      </c>
      <c r="I27" s="83">
        <f>G27*AN27</f>
        <v>0</v>
      </c>
      <c r="J27" s="83">
        <f>G27*AO27</f>
        <v>0</v>
      </c>
      <c r="K27" s="83">
        <f>G27*H27</f>
        <v>0</v>
      </c>
      <c r="Y27" s="36">
        <f>IF(AP27="5",BI27,0)</f>
        <v>0</v>
      </c>
      <c r="AA27" s="36">
        <f>IF(AP27="1",BG27,0)</f>
        <v>0</v>
      </c>
      <c r="AB27" s="36">
        <f>IF(AP27="1",BH27,0)</f>
        <v>0</v>
      </c>
      <c r="AC27" s="36">
        <f>IF(AP27="7",BG27,0)</f>
        <v>0</v>
      </c>
      <c r="AD27" s="36">
        <f>IF(AP27="7",BH27,0)</f>
        <v>0</v>
      </c>
      <c r="AE27" s="36">
        <f>IF(AP27="2",BG27,0)</f>
        <v>0</v>
      </c>
      <c r="AF27" s="36">
        <f>IF(AP27="2",BH27,0)</f>
        <v>0</v>
      </c>
      <c r="AG27" s="36">
        <f>IF(AP27="0",BI27,0)</f>
        <v>0</v>
      </c>
      <c r="AH27" s="54" t="s">
        <v>70</v>
      </c>
      <c r="AI27" s="50">
        <f>IF(AM27=0,K27,0)</f>
        <v>0</v>
      </c>
      <c r="AJ27" s="50">
        <f>IF(AM27=15,K27,0)</f>
        <v>0</v>
      </c>
      <c r="AK27" s="50">
        <f>IF(AM27=21,K27,0)</f>
        <v>0</v>
      </c>
      <c r="AM27" s="36">
        <v>21</v>
      </c>
      <c r="AN27" s="36">
        <f>H27*0.513065326633166</f>
        <v>0</v>
      </c>
      <c r="AO27" s="36">
        <f>H27*(1-0.513065326633166)</f>
        <v>0</v>
      </c>
      <c r="AP27" s="55" t="s">
        <v>92</v>
      </c>
      <c r="AU27" s="36">
        <f>AV27+AW27</f>
        <v>0</v>
      </c>
      <c r="AV27" s="36">
        <f>G27*AN27</f>
        <v>0</v>
      </c>
      <c r="AW27" s="36">
        <f>G27*AO27</f>
        <v>0</v>
      </c>
      <c r="AX27" s="57" t="s">
        <v>774</v>
      </c>
      <c r="AY27" s="57" t="s">
        <v>811</v>
      </c>
      <c r="AZ27" s="54" t="s">
        <v>834</v>
      </c>
      <c r="BB27" s="36">
        <f>AV27+AW27</f>
        <v>0</v>
      </c>
      <c r="BC27" s="36">
        <f>H27/(100-BD27)*100</f>
        <v>0</v>
      </c>
      <c r="BD27" s="36">
        <v>0</v>
      </c>
      <c r="BE27" s="36">
        <f>27</f>
        <v>27</v>
      </c>
      <c r="BG27" s="50">
        <f>G27*AN27</f>
        <v>0</v>
      </c>
      <c r="BH27" s="50">
        <f>G27*AO27</f>
        <v>0</v>
      </c>
      <c r="BI27" s="50">
        <f>G27*H27</f>
        <v>0</v>
      </c>
    </row>
    <row r="28" spans="1:46" ht="12.75">
      <c r="A28" s="77"/>
      <c r="B28" s="78" t="s">
        <v>139</v>
      </c>
      <c r="C28" s="176" t="s">
        <v>531</v>
      </c>
      <c r="D28" s="177"/>
      <c r="E28" s="178"/>
      <c r="F28" s="77" t="s">
        <v>68</v>
      </c>
      <c r="G28" s="77" t="s">
        <v>68</v>
      </c>
      <c r="H28" s="77" t="s">
        <v>68</v>
      </c>
      <c r="I28" s="81">
        <f>SUM(I29:I35)</f>
        <v>0</v>
      </c>
      <c r="J28" s="81">
        <f>SUM(J29:J35)</f>
        <v>0</v>
      </c>
      <c r="K28" s="81">
        <f>SUM(K29:K35)</f>
        <v>0</v>
      </c>
      <c r="AH28" s="54" t="s">
        <v>70</v>
      </c>
      <c r="AR28" s="58">
        <f>SUM(AI29:AI35)</f>
        <v>0</v>
      </c>
      <c r="AS28" s="58">
        <f>SUM(AJ29:AJ35)</f>
        <v>0</v>
      </c>
      <c r="AT28" s="58">
        <f>SUM(AK29:AK35)</f>
        <v>0</v>
      </c>
    </row>
    <row r="29" spans="1:61" ht="12.75">
      <c r="A29" s="82" t="s">
        <v>123</v>
      </c>
      <c r="B29" s="82" t="s">
        <v>314</v>
      </c>
      <c r="C29" s="179" t="s">
        <v>532</v>
      </c>
      <c r="D29" s="180"/>
      <c r="E29" s="181"/>
      <c r="F29" s="82" t="s">
        <v>749</v>
      </c>
      <c r="G29" s="83">
        <v>11</v>
      </c>
      <c r="H29" s="83">
        <v>0</v>
      </c>
      <c r="I29" s="83">
        <f aca="true" t="shared" si="0" ref="I29:I35">G29*AN29</f>
        <v>0</v>
      </c>
      <c r="J29" s="83">
        <f aca="true" t="shared" si="1" ref="J29:J35">G29*AO29</f>
        <v>0</v>
      </c>
      <c r="K29" s="83">
        <f aca="true" t="shared" si="2" ref="K29:K35">G29*H29</f>
        <v>0</v>
      </c>
      <c r="Y29" s="36">
        <f aca="true" t="shared" si="3" ref="Y29:Y35">IF(AP29="5",BI29,0)</f>
        <v>0</v>
      </c>
      <c r="AA29" s="36">
        <f aca="true" t="shared" si="4" ref="AA29:AA35">IF(AP29="1",BG29,0)</f>
        <v>0</v>
      </c>
      <c r="AB29" s="36">
        <f aca="true" t="shared" si="5" ref="AB29:AB35">IF(AP29="1",BH29,0)</f>
        <v>0</v>
      </c>
      <c r="AC29" s="36">
        <f aca="true" t="shared" si="6" ref="AC29:AC35">IF(AP29="7",BG29,0)</f>
        <v>0</v>
      </c>
      <c r="AD29" s="36">
        <f aca="true" t="shared" si="7" ref="AD29:AD35">IF(AP29="7",BH29,0)</f>
        <v>0</v>
      </c>
      <c r="AE29" s="36">
        <f aca="true" t="shared" si="8" ref="AE29:AE35">IF(AP29="2",BG29,0)</f>
        <v>0</v>
      </c>
      <c r="AF29" s="36">
        <f aca="true" t="shared" si="9" ref="AF29:AF35">IF(AP29="2",BH29,0)</f>
        <v>0</v>
      </c>
      <c r="AG29" s="36">
        <f aca="true" t="shared" si="10" ref="AG29:AG35">IF(AP29="0",BI29,0)</f>
        <v>0</v>
      </c>
      <c r="AH29" s="54" t="s">
        <v>70</v>
      </c>
      <c r="AI29" s="50">
        <f aca="true" t="shared" si="11" ref="AI29:AI35">IF(AM29=0,K29,0)</f>
        <v>0</v>
      </c>
      <c r="AJ29" s="50">
        <f aca="true" t="shared" si="12" ref="AJ29:AJ35">IF(AM29=15,K29,0)</f>
        <v>0</v>
      </c>
      <c r="AK29" s="50">
        <f aca="true" t="shared" si="13" ref="AK29:AK35">IF(AM29=21,K29,0)</f>
        <v>0</v>
      </c>
      <c r="AM29" s="36">
        <v>21</v>
      </c>
      <c r="AN29" s="36">
        <f>H29*0.332620904836193</f>
        <v>0</v>
      </c>
      <c r="AO29" s="36">
        <f>H29*(1-0.332620904836193)</f>
        <v>0</v>
      </c>
      <c r="AP29" s="55" t="s">
        <v>92</v>
      </c>
      <c r="AU29" s="36">
        <f aca="true" t="shared" si="14" ref="AU29:AU35">AV29+AW29</f>
        <v>0</v>
      </c>
      <c r="AV29" s="36">
        <f aca="true" t="shared" si="15" ref="AV29:AV35">G29*AN29</f>
        <v>0</v>
      </c>
      <c r="AW29" s="36">
        <f aca="true" t="shared" si="16" ref="AW29:AW35">G29*AO29</f>
        <v>0</v>
      </c>
      <c r="AX29" s="57" t="s">
        <v>775</v>
      </c>
      <c r="AY29" s="57" t="s">
        <v>812</v>
      </c>
      <c r="AZ29" s="54" t="s">
        <v>834</v>
      </c>
      <c r="BB29" s="36">
        <f aca="true" t="shared" si="17" ref="BB29:BB35">AV29+AW29</f>
        <v>0</v>
      </c>
      <c r="BC29" s="36">
        <f aca="true" t="shared" si="18" ref="BC29:BC35">H29/(100-BD29)*100</f>
        <v>0</v>
      </c>
      <c r="BD29" s="36">
        <v>0</v>
      </c>
      <c r="BE29" s="36">
        <f>29</f>
        <v>29</v>
      </c>
      <c r="BG29" s="50">
        <f aca="true" t="shared" si="19" ref="BG29:BG35">G29*AN29</f>
        <v>0</v>
      </c>
      <c r="BH29" s="50">
        <f aca="true" t="shared" si="20" ref="BH29:BH35">G29*AO29</f>
        <v>0</v>
      </c>
      <c r="BI29" s="50">
        <f aca="true" t="shared" si="21" ref="BI29:BI35">G29*H29</f>
        <v>0</v>
      </c>
    </row>
    <row r="30" spans="1:61" ht="12.75">
      <c r="A30" s="82" t="s">
        <v>124</v>
      </c>
      <c r="B30" s="82" t="s">
        <v>315</v>
      </c>
      <c r="C30" s="179" t="s">
        <v>533</v>
      </c>
      <c r="D30" s="180"/>
      <c r="E30" s="181"/>
      <c r="F30" s="82" t="s">
        <v>748</v>
      </c>
      <c r="G30" s="83">
        <v>12.38</v>
      </c>
      <c r="H30" s="83">
        <v>0</v>
      </c>
      <c r="I30" s="83">
        <f t="shared" si="0"/>
        <v>0</v>
      </c>
      <c r="J30" s="83">
        <f t="shared" si="1"/>
        <v>0</v>
      </c>
      <c r="K30" s="83">
        <f t="shared" si="2"/>
        <v>0</v>
      </c>
      <c r="Y30" s="36">
        <f t="shared" si="3"/>
        <v>0</v>
      </c>
      <c r="AA30" s="36">
        <f t="shared" si="4"/>
        <v>0</v>
      </c>
      <c r="AB30" s="36">
        <f t="shared" si="5"/>
        <v>0</v>
      </c>
      <c r="AC30" s="36">
        <f t="shared" si="6"/>
        <v>0</v>
      </c>
      <c r="AD30" s="36">
        <f t="shared" si="7"/>
        <v>0</v>
      </c>
      <c r="AE30" s="36">
        <f t="shared" si="8"/>
        <v>0</v>
      </c>
      <c r="AF30" s="36">
        <f t="shared" si="9"/>
        <v>0</v>
      </c>
      <c r="AG30" s="36">
        <f t="shared" si="10"/>
        <v>0</v>
      </c>
      <c r="AH30" s="54" t="s">
        <v>70</v>
      </c>
      <c r="AI30" s="50">
        <f t="shared" si="11"/>
        <v>0</v>
      </c>
      <c r="AJ30" s="50">
        <f t="shared" si="12"/>
        <v>0</v>
      </c>
      <c r="AK30" s="50">
        <f t="shared" si="13"/>
        <v>0</v>
      </c>
      <c r="AM30" s="36">
        <v>21</v>
      </c>
      <c r="AN30" s="36">
        <f>H30*0.909525498891353</f>
        <v>0</v>
      </c>
      <c r="AO30" s="36">
        <f>H30*(1-0.909525498891353)</f>
        <v>0</v>
      </c>
      <c r="AP30" s="55" t="s">
        <v>92</v>
      </c>
      <c r="AU30" s="36">
        <f t="shared" si="14"/>
        <v>0</v>
      </c>
      <c r="AV30" s="36">
        <f t="shared" si="15"/>
        <v>0</v>
      </c>
      <c r="AW30" s="36">
        <f t="shared" si="16"/>
        <v>0</v>
      </c>
      <c r="AX30" s="57" t="s">
        <v>775</v>
      </c>
      <c r="AY30" s="57" t="s">
        <v>812</v>
      </c>
      <c r="AZ30" s="54" t="s">
        <v>834</v>
      </c>
      <c r="BB30" s="36">
        <f t="shared" si="17"/>
        <v>0</v>
      </c>
      <c r="BC30" s="36">
        <f t="shared" si="18"/>
        <v>0</v>
      </c>
      <c r="BD30" s="36">
        <v>0</v>
      </c>
      <c r="BE30" s="36">
        <f>30</f>
        <v>30</v>
      </c>
      <c r="BG30" s="50">
        <f t="shared" si="19"/>
        <v>0</v>
      </c>
      <c r="BH30" s="50">
        <f t="shared" si="20"/>
        <v>0</v>
      </c>
      <c r="BI30" s="50">
        <f t="shared" si="21"/>
        <v>0</v>
      </c>
    </row>
    <row r="31" spans="1:61" ht="12.75">
      <c r="A31" s="82" t="s">
        <v>125</v>
      </c>
      <c r="B31" s="82" t="s">
        <v>316</v>
      </c>
      <c r="C31" s="179" t="s">
        <v>534</v>
      </c>
      <c r="D31" s="180"/>
      <c r="E31" s="181"/>
      <c r="F31" s="82" t="s">
        <v>748</v>
      </c>
      <c r="G31" s="83">
        <v>5.29</v>
      </c>
      <c r="H31" s="83">
        <v>0</v>
      </c>
      <c r="I31" s="83">
        <f t="shared" si="0"/>
        <v>0</v>
      </c>
      <c r="J31" s="83">
        <f t="shared" si="1"/>
        <v>0</v>
      </c>
      <c r="K31" s="83">
        <f t="shared" si="2"/>
        <v>0</v>
      </c>
      <c r="Y31" s="36">
        <f t="shared" si="3"/>
        <v>0</v>
      </c>
      <c r="AA31" s="36">
        <f t="shared" si="4"/>
        <v>0</v>
      </c>
      <c r="AB31" s="36">
        <f t="shared" si="5"/>
        <v>0</v>
      </c>
      <c r="AC31" s="36">
        <f t="shared" si="6"/>
        <v>0</v>
      </c>
      <c r="AD31" s="36">
        <f t="shared" si="7"/>
        <v>0</v>
      </c>
      <c r="AE31" s="36">
        <f t="shared" si="8"/>
        <v>0</v>
      </c>
      <c r="AF31" s="36">
        <f t="shared" si="9"/>
        <v>0</v>
      </c>
      <c r="AG31" s="36">
        <f t="shared" si="10"/>
        <v>0</v>
      </c>
      <c r="AH31" s="54" t="s">
        <v>70</v>
      </c>
      <c r="AI31" s="50">
        <f t="shared" si="11"/>
        <v>0</v>
      </c>
      <c r="AJ31" s="50">
        <f t="shared" si="12"/>
        <v>0</v>
      </c>
      <c r="AK31" s="50">
        <f t="shared" si="13"/>
        <v>0</v>
      </c>
      <c r="AM31" s="36">
        <v>21</v>
      </c>
      <c r="AN31" s="36">
        <f>H31*0.901351180975413</f>
        <v>0</v>
      </c>
      <c r="AO31" s="36">
        <f>H31*(1-0.901351180975413)</f>
        <v>0</v>
      </c>
      <c r="AP31" s="55" t="s">
        <v>92</v>
      </c>
      <c r="AU31" s="36">
        <f t="shared" si="14"/>
        <v>0</v>
      </c>
      <c r="AV31" s="36">
        <f t="shared" si="15"/>
        <v>0</v>
      </c>
      <c r="AW31" s="36">
        <f t="shared" si="16"/>
        <v>0</v>
      </c>
      <c r="AX31" s="57" t="s">
        <v>775</v>
      </c>
      <c r="AY31" s="57" t="s">
        <v>812</v>
      </c>
      <c r="AZ31" s="54" t="s">
        <v>834</v>
      </c>
      <c r="BB31" s="36">
        <f t="shared" si="17"/>
        <v>0</v>
      </c>
      <c r="BC31" s="36">
        <f t="shared" si="18"/>
        <v>0</v>
      </c>
      <c r="BD31" s="36">
        <v>0</v>
      </c>
      <c r="BE31" s="36">
        <f>31</f>
        <v>31</v>
      </c>
      <c r="BG31" s="50">
        <f t="shared" si="19"/>
        <v>0</v>
      </c>
      <c r="BH31" s="50">
        <f t="shared" si="20"/>
        <v>0</v>
      </c>
      <c r="BI31" s="50">
        <f t="shared" si="21"/>
        <v>0</v>
      </c>
    </row>
    <row r="32" spans="1:61" ht="12.75">
      <c r="A32" s="82" t="s">
        <v>126</v>
      </c>
      <c r="B32" s="82" t="s">
        <v>317</v>
      </c>
      <c r="C32" s="179" t="s">
        <v>535</v>
      </c>
      <c r="D32" s="180"/>
      <c r="E32" s="181"/>
      <c r="F32" s="82" t="s">
        <v>750</v>
      </c>
      <c r="G32" s="83">
        <v>3.81</v>
      </c>
      <c r="H32" s="83">
        <v>0</v>
      </c>
      <c r="I32" s="83">
        <f t="shared" si="0"/>
        <v>0</v>
      </c>
      <c r="J32" s="83">
        <f t="shared" si="1"/>
        <v>0</v>
      </c>
      <c r="K32" s="83">
        <f t="shared" si="2"/>
        <v>0</v>
      </c>
      <c r="Y32" s="36">
        <f t="shared" si="3"/>
        <v>0</v>
      </c>
      <c r="AA32" s="36">
        <f t="shared" si="4"/>
        <v>0</v>
      </c>
      <c r="AB32" s="36">
        <f t="shared" si="5"/>
        <v>0</v>
      </c>
      <c r="AC32" s="36">
        <f t="shared" si="6"/>
        <v>0</v>
      </c>
      <c r="AD32" s="36">
        <f t="shared" si="7"/>
        <v>0</v>
      </c>
      <c r="AE32" s="36">
        <f t="shared" si="8"/>
        <v>0</v>
      </c>
      <c r="AF32" s="36">
        <f t="shared" si="9"/>
        <v>0</v>
      </c>
      <c r="AG32" s="36">
        <f t="shared" si="10"/>
        <v>0</v>
      </c>
      <c r="AH32" s="54" t="s">
        <v>70</v>
      </c>
      <c r="AI32" s="50">
        <f t="shared" si="11"/>
        <v>0</v>
      </c>
      <c r="AJ32" s="50">
        <f t="shared" si="12"/>
        <v>0</v>
      </c>
      <c r="AK32" s="50">
        <f t="shared" si="13"/>
        <v>0</v>
      </c>
      <c r="AM32" s="36">
        <v>21</v>
      </c>
      <c r="AN32" s="36">
        <f>H32*0.26024154589372</f>
        <v>0</v>
      </c>
      <c r="AO32" s="36">
        <f>H32*(1-0.26024154589372)</f>
        <v>0</v>
      </c>
      <c r="AP32" s="55" t="s">
        <v>92</v>
      </c>
      <c r="AU32" s="36">
        <f t="shared" si="14"/>
        <v>0</v>
      </c>
      <c r="AV32" s="36">
        <f t="shared" si="15"/>
        <v>0</v>
      </c>
      <c r="AW32" s="36">
        <f t="shared" si="16"/>
        <v>0</v>
      </c>
      <c r="AX32" s="57" t="s">
        <v>775</v>
      </c>
      <c r="AY32" s="57" t="s">
        <v>812</v>
      </c>
      <c r="AZ32" s="54" t="s">
        <v>834</v>
      </c>
      <c r="BB32" s="36">
        <f t="shared" si="17"/>
        <v>0</v>
      </c>
      <c r="BC32" s="36">
        <f t="shared" si="18"/>
        <v>0</v>
      </c>
      <c r="BD32" s="36">
        <v>0</v>
      </c>
      <c r="BE32" s="36">
        <f>32</f>
        <v>32</v>
      </c>
      <c r="BG32" s="50">
        <f t="shared" si="19"/>
        <v>0</v>
      </c>
      <c r="BH32" s="50">
        <f t="shared" si="20"/>
        <v>0</v>
      </c>
      <c r="BI32" s="50">
        <f t="shared" si="21"/>
        <v>0</v>
      </c>
    </row>
    <row r="33" spans="1:61" ht="12.75">
      <c r="A33" s="82" t="s">
        <v>127</v>
      </c>
      <c r="B33" s="82" t="s">
        <v>318</v>
      </c>
      <c r="C33" s="179" t="s">
        <v>536</v>
      </c>
      <c r="D33" s="180"/>
      <c r="E33" s="181"/>
      <c r="F33" s="82" t="s">
        <v>750</v>
      </c>
      <c r="G33" s="83">
        <v>3.81</v>
      </c>
      <c r="H33" s="83">
        <v>0</v>
      </c>
      <c r="I33" s="83">
        <f t="shared" si="0"/>
        <v>0</v>
      </c>
      <c r="J33" s="83">
        <f t="shared" si="1"/>
        <v>0</v>
      </c>
      <c r="K33" s="83">
        <f t="shared" si="2"/>
        <v>0</v>
      </c>
      <c r="Y33" s="36">
        <f t="shared" si="3"/>
        <v>0</v>
      </c>
      <c r="AA33" s="36">
        <f t="shared" si="4"/>
        <v>0</v>
      </c>
      <c r="AB33" s="36">
        <f t="shared" si="5"/>
        <v>0</v>
      </c>
      <c r="AC33" s="36">
        <f t="shared" si="6"/>
        <v>0</v>
      </c>
      <c r="AD33" s="36">
        <f t="shared" si="7"/>
        <v>0</v>
      </c>
      <c r="AE33" s="36">
        <f t="shared" si="8"/>
        <v>0</v>
      </c>
      <c r="AF33" s="36">
        <f t="shared" si="9"/>
        <v>0</v>
      </c>
      <c r="AG33" s="36">
        <f t="shared" si="10"/>
        <v>0</v>
      </c>
      <c r="AH33" s="54" t="s">
        <v>70</v>
      </c>
      <c r="AI33" s="50">
        <f t="shared" si="11"/>
        <v>0</v>
      </c>
      <c r="AJ33" s="50">
        <f t="shared" si="12"/>
        <v>0</v>
      </c>
      <c r="AK33" s="50">
        <f t="shared" si="13"/>
        <v>0</v>
      </c>
      <c r="AM33" s="36">
        <v>21</v>
      </c>
      <c r="AN33" s="36">
        <f>H33*0</f>
        <v>0</v>
      </c>
      <c r="AO33" s="36">
        <f>H33*(1-0)</f>
        <v>0</v>
      </c>
      <c r="AP33" s="55" t="s">
        <v>92</v>
      </c>
      <c r="AU33" s="36">
        <f t="shared" si="14"/>
        <v>0</v>
      </c>
      <c r="AV33" s="36">
        <f t="shared" si="15"/>
        <v>0</v>
      </c>
      <c r="AW33" s="36">
        <f t="shared" si="16"/>
        <v>0</v>
      </c>
      <c r="AX33" s="57" t="s">
        <v>775</v>
      </c>
      <c r="AY33" s="57" t="s">
        <v>812</v>
      </c>
      <c r="AZ33" s="54" t="s">
        <v>834</v>
      </c>
      <c r="BB33" s="36">
        <f t="shared" si="17"/>
        <v>0</v>
      </c>
      <c r="BC33" s="36">
        <f t="shared" si="18"/>
        <v>0</v>
      </c>
      <c r="BD33" s="36">
        <v>0</v>
      </c>
      <c r="BE33" s="36">
        <f>33</f>
        <v>33</v>
      </c>
      <c r="BG33" s="50">
        <f t="shared" si="19"/>
        <v>0</v>
      </c>
      <c r="BH33" s="50">
        <f t="shared" si="20"/>
        <v>0</v>
      </c>
      <c r="BI33" s="50">
        <f t="shared" si="21"/>
        <v>0</v>
      </c>
    </row>
    <row r="34" spans="1:61" ht="12.75">
      <c r="A34" s="82" t="s">
        <v>128</v>
      </c>
      <c r="B34" s="82" t="s">
        <v>319</v>
      </c>
      <c r="C34" s="179" t="s">
        <v>537</v>
      </c>
      <c r="D34" s="180"/>
      <c r="E34" s="181"/>
      <c r="F34" s="82" t="s">
        <v>751</v>
      </c>
      <c r="G34" s="83">
        <v>0.28</v>
      </c>
      <c r="H34" s="83">
        <v>0</v>
      </c>
      <c r="I34" s="83">
        <f t="shared" si="0"/>
        <v>0</v>
      </c>
      <c r="J34" s="83">
        <f t="shared" si="1"/>
        <v>0</v>
      </c>
      <c r="K34" s="83">
        <f t="shared" si="2"/>
        <v>0</v>
      </c>
      <c r="Y34" s="36">
        <f t="shared" si="3"/>
        <v>0</v>
      </c>
      <c r="AA34" s="36">
        <f t="shared" si="4"/>
        <v>0</v>
      </c>
      <c r="AB34" s="36">
        <f t="shared" si="5"/>
        <v>0</v>
      </c>
      <c r="AC34" s="36">
        <f t="shared" si="6"/>
        <v>0</v>
      </c>
      <c r="AD34" s="36">
        <f t="shared" si="7"/>
        <v>0</v>
      </c>
      <c r="AE34" s="36">
        <f t="shared" si="8"/>
        <v>0</v>
      </c>
      <c r="AF34" s="36">
        <f t="shared" si="9"/>
        <v>0</v>
      </c>
      <c r="AG34" s="36">
        <f t="shared" si="10"/>
        <v>0</v>
      </c>
      <c r="AH34" s="54" t="s">
        <v>70</v>
      </c>
      <c r="AI34" s="50">
        <f t="shared" si="11"/>
        <v>0</v>
      </c>
      <c r="AJ34" s="50">
        <f t="shared" si="12"/>
        <v>0</v>
      </c>
      <c r="AK34" s="50">
        <f t="shared" si="13"/>
        <v>0</v>
      </c>
      <c r="AM34" s="36">
        <v>21</v>
      </c>
      <c r="AN34" s="36">
        <f>H34*0.803621760182284</f>
        <v>0</v>
      </c>
      <c r="AO34" s="36">
        <f>H34*(1-0.803621760182284)</f>
        <v>0</v>
      </c>
      <c r="AP34" s="55" t="s">
        <v>92</v>
      </c>
      <c r="AU34" s="36">
        <f t="shared" si="14"/>
        <v>0</v>
      </c>
      <c r="AV34" s="36">
        <f t="shared" si="15"/>
        <v>0</v>
      </c>
      <c r="AW34" s="36">
        <f t="shared" si="16"/>
        <v>0</v>
      </c>
      <c r="AX34" s="57" t="s">
        <v>775</v>
      </c>
      <c r="AY34" s="57" t="s">
        <v>812</v>
      </c>
      <c r="AZ34" s="54" t="s">
        <v>834</v>
      </c>
      <c r="BB34" s="36">
        <f t="shared" si="17"/>
        <v>0</v>
      </c>
      <c r="BC34" s="36">
        <f t="shared" si="18"/>
        <v>0</v>
      </c>
      <c r="BD34" s="36">
        <v>0</v>
      </c>
      <c r="BE34" s="36">
        <f>34</f>
        <v>34</v>
      </c>
      <c r="BG34" s="50">
        <f t="shared" si="19"/>
        <v>0</v>
      </c>
      <c r="BH34" s="50">
        <f t="shared" si="20"/>
        <v>0</v>
      </c>
      <c r="BI34" s="50">
        <f t="shared" si="21"/>
        <v>0</v>
      </c>
    </row>
    <row r="35" spans="1:61" ht="12.75">
      <c r="A35" s="82" t="s">
        <v>129</v>
      </c>
      <c r="B35" s="82" t="s">
        <v>320</v>
      </c>
      <c r="C35" s="179" t="s">
        <v>538</v>
      </c>
      <c r="D35" s="180"/>
      <c r="E35" s="181"/>
      <c r="F35" s="82" t="s">
        <v>751</v>
      </c>
      <c r="G35" s="83">
        <v>20.55</v>
      </c>
      <c r="H35" s="83">
        <v>0</v>
      </c>
      <c r="I35" s="83">
        <f t="shared" si="0"/>
        <v>0</v>
      </c>
      <c r="J35" s="83">
        <f t="shared" si="1"/>
        <v>0</v>
      </c>
      <c r="K35" s="83">
        <f t="shared" si="2"/>
        <v>0</v>
      </c>
      <c r="Y35" s="36">
        <f t="shared" si="3"/>
        <v>0</v>
      </c>
      <c r="AA35" s="36">
        <f t="shared" si="4"/>
        <v>0</v>
      </c>
      <c r="AB35" s="36">
        <f t="shared" si="5"/>
        <v>0</v>
      </c>
      <c r="AC35" s="36">
        <f t="shared" si="6"/>
        <v>0</v>
      </c>
      <c r="AD35" s="36">
        <f t="shared" si="7"/>
        <v>0</v>
      </c>
      <c r="AE35" s="36">
        <f t="shared" si="8"/>
        <v>0</v>
      </c>
      <c r="AF35" s="36">
        <f t="shared" si="9"/>
        <v>0</v>
      </c>
      <c r="AG35" s="36">
        <f t="shared" si="10"/>
        <v>0</v>
      </c>
      <c r="AH35" s="54" t="s">
        <v>70</v>
      </c>
      <c r="AI35" s="50">
        <f t="shared" si="11"/>
        <v>0</v>
      </c>
      <c r="AJ35" s="50">
        <f t="shared" si="12"/>
        <v>0</v>
      </c>
      <c r="AK35" s="50">
        <f t="shared" si="13"/>
        <v>0</v>
      </c>
      <c r="AM35" s="36">
        <v>21</v>
      </c>
      <c r="AN35" s="36">
        <f>H35*0</f>
        <v>0</v>
      </c>
      <c r="AO35" s="36">
        <f>H35*(1-0)</f>
        <v>0</v>
      </c>
      <c r="AP35" s="55" t="s">
        <v>103</v>
      </c>
      <c r="AU35" s="36">
        <f t="shared" si="14"/>
        <v>0</v>
      </c>
      <c r="AV35" s="36">
        <f t="shared" si="15"/>
        <v>0</v>
      </c>
      <c r="AW35" s="36">
        <f t="shared" si="16"/>
        <v>0</v>
      </c>
      <c r="AX35" s="57" t="s">
        <v>775</v>
      </c>
      <c r="AY35" s="57" t="s">
        <v>812</v>
      </c>
      <c r="AZ35" s="54" t="s">
        <v>834</v>
      </c>
      <c r="BB35" s="36">
        <f t="shared" si="17"/>
        <v>0</v>
      </c>
      <c r="BC35" s="36">
        <f t="shared" si="18"/>
        <v>0</v>
      </c>
      <c r="BD35" s="36">
        <v>0</v>
      </c>
      <c r="BE35" s="36">
        <f>35</f>
        <v>35</v>
      </c>
      <c r="BG35" s="50">
        <f t="shared" si="19"/>
        <v>0</v>
      </c>
      <c r="BH35" s="50">
        <f t="shared" si="20"/>
        <v>0</v>
      </c>
      <c r="BI35" s="50">
        <f t="shared" si="21"/>
        <v>0</v>
      </c>
    </row>
    <row r="36" spans="1:46" ht="12.75">
      <c r="A36" s="77"/>
      <c r="B36" s="78" t="s">
        <v>143</v>
      </c>
      <c r="C36" s="176" t="s">
        <v>539</v>
      </c>
      <c r="D36" s="177"/>
      <c r="E36" s="178"/>
      <c r="F36" s="77" t="s">
        <v>68</v>
      </c>
      <c r="G36" s="77" t="s">
        <v>68</v>
      </c>
      <c r="H36" s="77" t="s">
        <v>68</v>
      </c>
      <c r="I36" s="81">
        <f>SUM(I37:I38)</f>
        <v>0</v>
      </c>
      <c r="J36" s="81">
        <f>SUM(J37:J38)</f>
        <v>0</v>
      </c>
      <c r="K36" s="81">
        <f>SUM(K37:K38)</f>
        <v>0</v>
      </c>
      <c r="AH36" s="54" t="s">
        <v>70</v>
      </c>
      <c r="AR36" s="58">
        <f>SUM(AI37:AI38)</f>
        <v>0</v>
      </c>
      <c r="AS36" s="58">
        <f>SUM(AJ37:AJ38)</f>
        <v>0</v>
      </c>
      <c r="AT36" s="58">
        <f>SUM(AK37:AK38)</f>
        <v>0</v>
      </c>
    </row>
    <row r="37" spans="1:61" ht="12.75">
      <c r="A37" s="82" t="s">
        <v>130</v>
      </c>
      <c r="B37" s="82" t="s">
        <v>321</v>
      </c>
      <c r="C37" s="179" t="s">
        <v>540</v>
      </c>
      <c r="D37" s="180"/>
      <c r="E37" s="181"/>
      <c r="F37" s="82" t="s">
        <v>750</v>
      </c>
      <c r="G37" s="83">
        <v>86.65</v>
      </c>
      <c r="H37" s="83">
        <v>0</v>
      </c>
      <c r="I37" s="83">
        <f>G37*AN37</f>
        <v>0</v>
      </c>
      <c r="J37" s="83">
        <f>G37*AO37</f>
        <v>0</v>
      </c>
      <c r="K37" s="83">
        <f>G37*H37</f>
        <v>0</v>
      </c>
      <c r="Y37" s="36">
        <f>IF(AP37="5",BI37,0)</f>
        <v>0</v>
      </c>
      <c r="AA37" s="36">
        <f>IF(AP37="1",BG37,0)</f>
        <v>0</v>
      </c>
      <c r="AB37" s="36">
        <f>IF(AP37="1",BH37,0)</f>
        <v>0</v>
      </c>
      <c r="AC37" s="36">
        <f>IF(AP37="7",BG37,0)</f>
        <v>0</v>
      </c>
      <c r="AD37" s="36">
        <f>IF(AP37="7",BH37,0)</f>
        <v>0</v>
      </c>
      <c r="AE37" s="36">
        <f>IF(AP37="2",BG37,0)</f>
        <v>0</v>
      </c>
      <c r="AF37" s="36">
        <f>IF(AP37="2",BH37,0)</f>
        <v>0</v>
      </c>
      <c r="AG37" s="36">
        <f>IF(AP37="0",BI37,0)</f>
        <v>0</v>
      </c>
      <c r="AH37" s="54" t="s">
        <v>70</v>
      </c>
      <c r="AI37" s="50">
        <f>IF(AM37=0,K37,0)</f>
        <v>0</v>
      </c>
      <c r="AJ37" s="50">
        <f>IF(AM37=15,K37,0)</f>
        <v>0</v>
      </c>
      <c r="AK37" s="50">
        <f>IF(AM37=21,K37,0)</f>
        <v>0</v>
      </c>
      <c r="AM37" s="36">
        <v>21</v>
      </c>
      <c r="AN37" s="36">
        <f>H37*0.747356828193833</f>
        <v>0</v>
      </c>
      <c r="AO37" s="36">
        <f>H37*(1-0.747356828193833)</f>
        <v>0</v>
      </c>
      <c r="AP37" s="55" t="s">
        <v>92</v>
      </c>
      <c r="AU37" s="36">
        <f>AV37+AW37</f>
        <v>0</v>
      </c>
      <c r="AV37" s="36">
        <f>G37*AN37</f>
        <v>0</v>
      </c>
      <c r="AW37" s="36">
        <f>G37*AO37</f>
        <v>0</v>
      </c>
      <c r="AX37" s="57" t="s">
        <v>776</v>
      </c>
      <c r="AY37" s="57" t="s">
        <v>813</v>
      </c>
      <c r="AZ37" s="54" t="s">
        <v>834</v>
      </c>
      <c r="BB37" s="36">
        <f>AV37+AW37</f>
        <v>0</v>
      </c>
      <c r="BC37" s="36">
        <f>H37/(100-BD37)*100</f>
        <v>0</v>
      </c>
      <c r="BD37" s="36">
        <v>0</v>
      </c>
      <c r="BE37" s="36">
        <f>37</f>
        <v>37</v>
      </c>
      <c r="BG37" s="50">
        <f>G37*AN37</f>
        <v>0</v>
      </c>
      <c r="BH37" s="50">
        <f>G37*AO37</f>
        <v>0</v>
      </c>
      <c r="BI37" s="50">
        <f>G37*H37</f>
        <v>0</v>
      </c>
    </row>
    <row r="38" spans="1:61" ht="12.75">
      <c r="A38" s="82" t="s">
        <v>131</v>
      </c>
      <c r="B38" s="82" t="s">
        <v>322</v>
      </c>
      <c r="C38" s="179" t="s">
        <v>541</v>
      </c>
      <c r="D38" s="180"/>
      <c r="E38" s="181"/>
      <c r="F38" s="82" t="s">
        <v>751</v>
      </c>
      <c r="G38" s="83">
        <v>20.04</v>
      </c>
      <c r="H38" s="83">
        <v>0</v>
      </c>
      <c r="I38" s="83">
        <f>G38*AN38</f>
        <v>0</v>
      </c>
      <c r="J38" s="83">
        <f>G38*AO38</f>
        <v>0</v>
      </c>
      <c r="K38" s="83">
        <f>G38*H38</f>
        <v>0</v>
      </c>
      <c r="Y38" s="36">
        <f>IF(AP38="5",BI38,0)</f>
        <v>0</v>
      </c>
      <c r="AA38" s="36">
        <f>IF(AP38="1",BG38,0)</f>
        <v>0</v>
      </c>
      <c r="AB38" s="36">
        <f>IF(AP38="1",BH38,0)</f>
        <v>0</v>
      </c>
      <c r="AC38" s="36">
        <f>IF(AP38="7",BG38,0)</f>
        <v>0</v>
      </c>
      <c r="AD38" s="36">
        <f>IF(AP38="7",BH38,0)</f>
        <v>0</v>
      </c>
      <c r="AE38" s="36">
        <f>IF(AP38="2",BG38,0)</f>
        <v>0</v>
      </c>
      <c r="AF38" s="36">
        <f>IF(AP38="2",BH38,0)</f>
        <v>0</v>
      </c>
      <c r="AG38" s="36">
        <f>IF(AP38="0",BI38,0)</f>
        <v>0</v>
      </c>
      <c r="AH38" s="54" t="s">
        <v>70</v>
      </c>
      <c r="AI38" s="50">
        <f>IF(AM38=0,K38,0)</f>
        <v>0</v>
      </c>
      <c r="AJ38" s="50">
        <f>IF(AM38=15,K38,0)</f>
        <v>0</v>
      </c>
      <c r="AK38" s="50">
        <f>IF(AM38=21,K38,0)</f>
        <v>0</v>
      </c>
      <c r="AM38" s="36">
        <v>21</v>
      </c>
      <c r="AN38" s="36">
        <f>H38*0</f>
        <v>0</v>
      </c>
      <c r="AO38" s="36">
        <f>H38*(1-0)</f>
        <v>0</v>
      </c>
      <c r="AP38" s="55" t="s">
        <v>103</v>
      </c>
      <c r="AU38" s="36">
        <f>AV38+AW38</f>
        <v>0</v>
      </c>
      <c r="AV38" s="36">
        <f>G38*AN38</f>
        <v>0</v>
      </c>
      <c r="AW38" s="36">
        <f>G38*AO38</f>
        <v>0</v>
      </c>
      <c r="AX38" s="57" t="s">
        <v>776</v>
      </c>
      <c r="AY38" s="57" t="s">
        <v>813</v>
      </c>
      <c r="AZ38" s="54" t="s">
        <v>834</v>
      </c>
      <c r="BB38" s="36">
        <f>AV38+AW38</f>
        <v>0</v>
      </c>
      <c r="BC38" s="36">
        <f>H38/(100-BD38)*100</f>
        <v>0</v>
      </c>
      <c r="BD38" s="36">
        <v>0</v>
      </c>
      <c r="BE38" s="36">
        <f>38</f>
        <v>38</v>
      </c>
      <c r="BG38" s="50">
        <f>G38*AN38</f>
        <v>0</v>
      </c>
      <c r="BH38" s="50">
        <f>G38*AO38</f>
        <v>0</v>
      </c>
      <c r="BI38" s="50">
        <f>G38*H38</f>
        <v>0</v>
      </c>
    </row>
    <row r="39" spans="1:46" ht="12.75">
      <c r="A39" s="77"/>
      <c r="B39" s="78" t="s">
        <v>146</v>
      </c>
      <c r="C39" s="176" t="s">
        <v>542</v>
      </c>
      <c r="D39" s="177"/>
      <c r="E39" s="178"/>
      <c r="F39" s="77" t="s">
        <v>68</v>
      </c>
      <c r="G39" s="77" t="s">
        <v>68</v>
      </c>
      <c r="H39" s="77" t="s">
        <v>68</v>
      </c>
      <c r="I39" s="81">
        <f>SUM(I40:I44)</f>
        <v>0</v>
      </c>
      <c r="J39" s="81">
        <f>SUM(J40:J44)</f>
        <v>0</v>
      </c>
      <c r="K39" s="81">
        <f>SUM(K40:K44)</f>
        <v>0</v>
      </c>
      <c r="AH39" s="54" t="s">
        <v>70</v>
      </c>
      <c r="AR39" s="58">
        <f>SUM(AI40:AI44)</f>
        <v>0</v>
      </c>
      <c r="AS39" s="58">
        <f>SUM(AJ40:AJ44)</f>
        <v>0</v>
      </c>
      <c r="AT39" s="58">
        <f>SUM(AK40:AK44)</f>
        <v>0</v>
      </c>
    </row>
    <row r="40" spans="1:61" ht="12.75">
      <c r="A40" s="82" t="s">
        <v>132</v>
      </c>
      <c r="B40" s="82" t="s">
        <v>323</v>
      </c>
      <c r="C40" s="179" t="s">
        <v>543</v>
      </c>
      <c r="D40" s="180"/>
      <c r="E40" s="181"/>
      <c r="F40" s="82" t="s">
        <v>750</v>
      </c>
      <c r="G40" s="83">
        <v>36.79</v>
      </c>
      <c r="H40" s="83">
        <v>0</v>
      </c>
      <c r="I40" s="83">
        <f>G40*AN40</f>
        <v>0</v>
      </c>
      <c r="J40" s="83">
        <f>G40*AO40</f>
        <v>0</v>
      </c>
      <c r="K40" s="83">
        <f>G40*H40</f>
        <v>0</v>
      </c>
      <c r="Y40" s="36">
        <f>IF(AP40="5",BI40,0)</f>
        <v>0</v>
      </c>
      <c r="AA40" s="36">
        <f>IF(AP40="1",BG40,0)</f>
        <v>0</v>
      </c>
      <c r="AB40" s="36">
        <f>IF(AP40="1",BH40,0)</f>
        <v>0</v>
      </c>
      <c r="AC40" s="36">
        <f>IF(AP40="7",BG40,0)</f>
        <v>0</v>
      </c>
      <c r="AD40" s="36">
        <f>IF(AP40="7",BH40,0)</f>
        <v>0</v>
      </c>
      <c r="AE40" s="36">
        <f>IF(AP40="2",BG40,0)</f>
        <v>0</v>
      </c>
      <c r="AF40" s="36">
        <f>IF(AP40="2",BH40,0)</f>
        <v>0</v>
      </c>
      <c r="AG40" s="36">
        <f>IF(AP40="0",BI40,0)</f>
        <v>0</v>
      </c>
      <c r="AH40" s="54" t="s">
        <v>70</v>
      </c>
      <c r="AI40" s="50">
        <f>IF(AM40=0,K40,0)</f>
        <v>0</v>
      </c>
      <c r="AJ40" s="50">
        <f>IF(AM40=15,K40,0)</f>
        <v>0</v>
      </c>
      <c r="AK40" s="50">
        <f>IF(AM40=21,K40,0)</f>
        <v>0</v>
      </c>
      <c r="AM40" s="36">
        <v>21</v>
      </c>
      <c r="AN40" s="36">
        <f>H40*0.452210743801653</f>
        <v>0</v>
      </c>
      <c r="AO40" s="36">
        <f>H40*(1-0.452210743801653)</f>
        <v>0</v>
      </c>
      <c r="AP40" s="55" t="s">
        <v>92</v>
      </c>
      <c r="AU40" s="36">
        <f>AV40+AW40</f>
        <v>0</v>
      </c>
      <c r="AV40" s="36">
        <f>G40*AN40</f>
        <v>0</v>
      </c>
      <c r="AW40" s="36">
        <f>G40*AO40</f>
        <v>0</v>
      </c>
      <c r="AX40" s="57" t="s">
        <v>777</v>
      </c>
      <c r="AY40" s="57" t="s">
        <v>813</v>
      </c>
      <c r="AZ40" s="54" t="s">
        <v>834</v>
      </c>
      <c r="BB40" s="36">
        <f>AV40+AW40</f>
        <v>0</v>
      </c>
      <c r="BC40" s="36">
        <f>H40/(100-BD40)*100</f>
        <v>0</v>
      </c>
      <c r="BD40" s="36">
        <v>0</v>
      </c>
      <c r="BE40" s="36">
        <f>40</f>
        <v>40</v>
      </c>
      <c r="BG40" s="50">
        <f>G40*AN40</f>
        <v>0</v>
      </c>
      <c r="BH40" s="50">
        <f>G40*AO40</f>
        <v>0</v>
      </c>
      <c r="BI40" s="50">
        <f>G40*H40</f>
        <v>0</v>
      </c>
    </row>
    <row r="41" spans="1:61" ht="12.75">
      <c r="A41" s="82" t="s">
        <v>133</v>
      </c>
      <c r="B41" s="82" t="s">
        <v>324</v>
      </c>
      <c r="C41" s="179" t="s">
        <v>544</v>
      </c>
      <c r="D41" s="180"/>
      <c r="E41" s="181"/>
      <c r="F41" s="82" t="s">
        <v>752</v>
      </c>
      <c r="G41" s="83">
        <v>18.2</v>
      </c>
      <c r="H41" s="83">
        <v>0</v>
      </c>
      <c r="I41" s="83">
        <f>G41*AN41</f>
        <v>0</v>
      </c>
      <c r="J41" s="83">
        <f>G41*AO41</f>
        <v>0</v>
      </c>
      <c r="K41" s="83">
        <f>G41*H41</f>
        <v>0</v>
      </c>
      <c r="Y41" s="36">
        <f>IF(AP41="5",BI41,0)</f>
        <v>0</v>
      </c>
      <c r="AA41" s="36">
        <f>IF(AP41="1",BG41,0)</f>
        <v>0</v>
      </c>
      <c r="AB41" s="36">
        <f>IF(AP41="1",BH41,0)</f>
        <v>0</v>
      </c>
      <c r="AC41" s="36">
        <f>IF(AP41="7",BG41,0)</f>
        <v>0</v>
      </c>
      <c r="AD41" s="36">
        <f>IF(AP41="7",BH41,0)</f>
        <v>0</v>
      </c>
      <c r="AE41" s="36">
        <f>IF(AP41="2",BG41,0)</f>
        <v>0</v>
      </c>
      <c r="AF41" s="36">
        <f>IF(AP41="2",BH41,0)</f>
        <v>0</v>
      </c>
      <c r="AG41" s="36">
        <f>IF(AP41="0",BI41,0)</f>
        <v>0</v>
      </c>
      <c r="AH41" s="54" t="s">
        <v>70</v>
      </c>
      <c r="AI41" s="50">
        <f>IF(AM41=0,K41,0)</f>
        <v>0</v>
      </c>
      <c r="AJ41" s="50">
        <f>IF(AM41=15,K41,0)</f>
        <v>0</v>
      </c>
      <c r="AK41" s="50">
        <f>IF(AM41=21,K41,0)</f>
        <v>0</v>
      </c>
      <c r="AM41" s="36">
        <v>21</v>
      </c>
      <c r="AN41" s="36">
        <f>H41*0.208093385214008</f>
        <v>0</v>
      </c>
      <c r="AO41" s="36">
        <f>H41*(1-0.208093385214008)</f>
        <v>0</v>
      </c>
      <c r="AP41" s="55" t="s">
        <v>92</v>
      </c>
      <c r="AU41" s="36">
        <f>AV41+AW41</f>
        <v>0</v>
      </c>
      <c r="AV41" s="36">
        <f>G41*AN41</f>
        <v>0</v>
      </c>
      <c r="AW41" s="36">
        <f>G41*AO41</f>
        <v>0</v>
      </c>
      <c r="AX41" s="57" t="s">
        <v>777</v>
      </c>
      <c r="AY41" s="57" t="s">
        <v>813</v>
      </c>
      <c r="AZ41" s="54" t="s">
        <v>834</v>
      </c>
      <c r="BB41" s="36">
        <f>AV41+AW41</f>
        <v>0</v>
      </c>
      <c r="BC41" s="36">
        <f>H41/(100-BD41)*100</f>
        <v>0</v>
      </c>
      <c r="BD41" s="36">
        <v>0</v>
      </c>
      <c r="BE41" s="36">
        <f>41</f>
        <v>41</v>
      </c>
      <c r="BG41" s="50">
        <f>G41*AN41</f>
        <v>0</v>
      </c>
      <c r="BH41" s="50">
        <f>G41*AO41</f>
        <v>0</v>
      </c>
      <c r="BI41" s="50">
        <f>G41*H41</f>
        <v>0</v>
      </c>
    </row>
    <row r="42" spans="1:61" ht="12.75">
      <c r="A42" s="82" t="s">
        <v>134</v>
      </c>
      <c r="B42" s="82" t="s">
        <v>325</v>
      </c>
      <c r="C42" s="179" t="s">
        <v>545</v>
      </c>
      <c r="D42" s="180"/>
      <c r="E42" s="181"/>
      <c r="F42" s="82" t="s">
        <v>752</v>
      </c>
      <c r="G42" s="83">
        <v>12</v>
      </c>
      <c r="H42" s="83">
        <v>0</v>
      </c>
      <c r="I42" s="83">
        <f>G42*AN42</f>
        <v>0</v>
      </c>
      <c r="J42" s="83">
        <f>G42*AO42</f>
        <v>0</v>
      </c>
      <c r="K42" s="83">
        <f>G42*H42</f>
        <v>0</v>
      </c>
      <c r="Y42" s="36">
        <f>IF(AP42="5",BI42,0)</f>
        <v>0</v>
      </c>
      <c r="AA42" s="36">
        <f>IF(AP42="1",BG42,0)</f>
        <v>0</v>
      </c>
      <c r="AB42" s="36">
        <f>IF(AP42="1",BH42,0)</f>
        <v>0</v>
      </c>
      <c r="AC42" s="36">
        <f>IF(AP42="7",BG42,0)</f>
        <v>0</v>
      </c>
      <c r="AD42" s="36">
        <f>IF(AP42="7",BH42,0)</f>
        <v>0</v>
      </c>
      <c r="AE42" s="36">
        <f>IF(AP42="2",BG42,0)</f>
        <v>0</v>
      </c>
      <c r="AF42" s="36">
        <f>IF(AP42="2",BH42,0)</f>
        <v>0</v>
      </c>
      <c r="AG42" s="36">
        <f>IF(AP42="0",BI42,0)</f>
        <v>0</v>
      </c>
      <c r="AH42" s="54" t="s">
        <v>70</v>
      </c>
      <c r="AI42" s="50">
        <f>IF(AM42=0,K42,0)</f>
        <v>0</v>
      </c>
      <c r="AJ42" s="50">
        <f>IF(AM42=15,K42,0)</f>
        <v>0</v>
      </c>
      <c r="AK42" s="50">
        <f>IF(AM42=21,K42,0)</f>
        <v>0</v>
      </c>
      <c r="AM42" s="36">
        <v>21</v>
      </c>
      <c r="AN42" s="36">
        <f>H42*0.228497409326425</f>
        <v>0</v>
      </c>
      <c r="AO42" s="36">
        <f>H42*(1-0.228497409326425)</f>
        <v>0</v>
      </c>
      <c r="AP42" s="55" t="s">
        <v>92</v>
      </c>
      <c r="AU42" s="36">
        <f>AV42+AW42</f>
        <v>0</v>
      </c>
      <c r="AV42" s="36">
        <f>G42*AN42</f>
        <v>0</v>
      </c>
      <c r="AW42" s="36">
        <f>G42*AO42</f>
        <v>0</v>
      </c>
      <c r="AX42" s="57" t="s">
        <v>777</v>
      </c>
      <c r="AY42" s="57" t="s">
        <v>813</v>
      </c>
      <c r="AZ42" s="54" t="s">
        <v>834</v>
      </c>
      <c r="BB42" s="36">
        <f>AV42+AW42</f>
        <v>0</v>
      </c>
      <c r="BC42" s="36">
        <f>H42/(100-BD42)*100</f>
        <v>0</v>
      </c>
      <c r="BD42" s="36">
        <v>0</v>
      </c>
      <c r="BE42" s="36">
        <f>42</f>
        <v>42</v>
      </c>
      <c r="BG42" s="50">
        <f>G42*AN42</f>
        <v>0</v>
      </c>
      <c r="BH42" s="50">
        <f>G42*AO42</f>
        <v>0</v>
      </c>
      <c r="BI42" s="50">
        <f>G42*H42</f>
        <v>0</v>
      </c>
    </row>
    <row r="43" spans="1:61" ht="12.75">
      <c r="A43" s="82" t="s">
        <v>135</v>
      </c>
      <c r="B43" s="82" t="s">
        <v>326</v>
      </c>
      <c r="C43" s="179" t="s">
        <v>546</v>
      </c>
      <c r="D43" s="180"/>
      <c r="E43" s="181"/>
      <c r="F43" s="82" t="s">
        <v>749</v>
      </c>
      <c r="G43" s="83">
        <v>4</v>
      </c>
      <c r="H43" s="83">
        <v>0</v>
      </c>
      <c r="I43" s="83">
        <f>G43*AN43</f>
        <v>0</v>
      </c>
      <c r="J43" s="83">
        <f>G43*AO43</f>
        <v>0</v>
      </c>
      <c r="K43" s="83">
        <f>G43*H43</f>
        <v>0</v>
      </c>
      <c r="Y43" s="36">
        <f>IF(AP43="5",BI43,0)</f>
        <v>0</v>
      </c>
      <c r="AA43" s="36">
        <f>IF(AP43="1",BG43,0)</f>
        <v>0</v>
      </c>
      <c r="AB43" s="36">
        <f>IF(AP43="1",BH43,0)</f>
        <v>0</v>
      </c>
      <c r="AC43" s="36">
        <f>IF(AP43="7",BG43,0)</f>
        <v>0</v>
      </c>
      <c r="AD43" s="36">
        <f>IF(AP43="7",BH43,0)</f>
        <v>0</v>
      </c>
      <c r="AE43" s="36">
        <f>IF(AP43="2",BG43,0)</f>
        <v>0</v>
      </c>
      <c r="AF43" s="36">
        <f>IF(AP43="2",BH43,0)</f>
        <v>0</v>
      </c>
      <c r="AG43" s="36">
        <f>IF(AP43="0",BI43,0)</f>
        <v>0</v>
      </c>
      <c r="AH43" s="54" t="s">
        <v>70</v>
      </c>
      <c r="AI43" s="50">
        <f>IF(AM43=0,K43,0)</f>
        <v>0</v>
      </c>
      <c r="AJ43" s="50">
        <f>IF(AM43=15,K43,0)</f>
        <v>0</v>
      </c>
      <c r="AK43" s="50">
        <f>IF(AM43=21,K43,0)</f>
        <v>0</v>
      </c>
      <c r="AM43" s="36">
        <v>21</v>
      </c>
      <c r="AN43" s="36">
        <f>H43*0.456495327102804</f>
        <v>0</v>
      </c>
      <c r="AO43" s="36">
        <f>H43*(1-0.456495327102804)</f>
        <v>0</v>
      </c>
      <c r="AP43" s="55" t="s">
        <v>92</v>
      </c>
      <c r="AU43" s="36">
        <f>AV43+AW43</f>
        <v>0</v>
      </c>
      <c r="AV43" s="36">
        <f>G43*AN43</f>
        <v>0</v>
      </c>
      <c r="AW43" s="36">
        <f>G43*AO43</f>
        <v>0</v>
      </c>
      <c r="AX43" s="57" t="s">
        <v>777</v>
      </c>
      <c r="AY43" s="57" t="s">
        <v>813</v>
      </c>
      <c r="AZ43" s="54" t="s">
        <v>834</v>
      </c>
      <c r="BB43" s="36">
        <f>AV43+AW43</f>
        <v>0</v>
      </c>
      <c r="BC43" s="36">
        <f>H43/(100-BD43)*100</f>
        <v>0</v>
      </c>
      <c r="BD43" s="36">
        <v>0</v>
      </c>
      <c r="BE43" s="36">
        <f>43</f>
        <v>43</v>
      </c>
      <c r="BG43" s="50">
        <f>G43*AN43</f>
        <v>0</v>
      </c>
      <c r="BH43" s="50">
        <f>G43*AO43</f>
        <v>0</v>
      </c>
      <c r="BI43" s="50">
        <f>G43*H43</f>
        <v>0</v>
      </c>
    </row>
    <row r="44" spans="1:61" ht="12.75">
      <c r="A44" s="82" t="s">
        <v>136</v>
      </c>
      <c r="B44" s="82" t="s">
        <v>322</v>
      </c>
      <c r="C44" s="179" t="s">
        <v>541</v>
      </c>
      <c r="D44" s="180"/>
      <c r="E44" s="181"/>
      <c r="F44" s="82" t="s">
        <v>751</v>
      </c>
      <c r="G44" s="83">
        <v>0.95</v>
      </c>
      <c r="H44" s="83">
        <v>0</v>
      </c>
      <c r="I44" s="83">
        <f>G44*AN44</f>
        <v>0</v>
      </c>
      <c r="J44" s="83">
        <f>G44*AO44</f>
        <v>0</v>
      </c>
      <c r="K44" s="83">
        <f>G44*H44</f>
        <v>0</v>
      </c>
      <c r="Y44" s="36">
        <f>IF(AP44="5",BI44,0)</f>
        <v>0</v>
      </c>
      <c r="AA44" s="36">
        <f>IF(AP44="1",BG44,0)</f>
        <v>0</v>
      </c>
      <c r="AB44" s="36">
        <f>IF(AP44="1",BH44,0)</f>
        <v>0</v>
      </c>
      <c r="AC44" s="36">
        <f>IF(AP44="7",BG44,0)</f>
        <v>0</v>
      </c>
      <c r="AD44" s="36">
        <f>IF(AP44="7",BH44,0)</f>
        <v>0</v>
      </c>
      <c r="AE44" s="36">
        <f>IF(AP44="2",BG44,0)</f>
        <v>0</v>
      </c>
      <c r="AF44" s="36">
        <f>IF(AP44="2",BH44,0)</f>
        <v>0</v>
      </c>
      <c r="AG44" s="36">
        <f>IF(AP44="0",BI44,0)</f>
        <v>0</v>
      </c>
      <c r="AH44" s="54" t="s">
        <v>70</v>
      </c>
      <c r="AI44" s="50">
        <f>IF(AM44=0,K44,0)</f>
        <v>0</v>
      </c>
      <c r="AJ44" s="50">
        <f>IF(AM44=15,K44,0)</f>
        <v>0</v>
      </c>
      <c r="AK44" s="50">
        <f>IF(AM44=21,K44,0)</f>
        <v>0</v>
      </c>
      <c r="AM44" s="36">
        <v>21</v>
      </c>
      <c r="AN44" s="36">
        <f>H44*0</f>
        <v>0</v>
      </c>
      <c r="AO44" s="36">
        <f>H44*(1-0)</f>
        <v>0</v>
      </c>
      <c r="AP44" s="55" t="s">
        <v>103</v>
      </c>
      <c r="AU44" s="36">
        <f>AV44+AW44</f>
        <v>0</v>
      </c>
      <c r="AV44" s="36">
        <f>G44*AN44</f>
        <v>0</v>
      </c>
      <c r="AW44" s="36">
        <f>G44*AO44</f>
        <v>0</v>
      </c>
      <c r="AX44" s="57" t="s">
        <v>777</v>
      </c>
      <c r="AY44" s="57" t="s">
        <v>813</v>
      </c>
      <c r="AZ44" s="54" t="s">
        <v>834</v>
      </c>
      <c r="BB44" s="36">
        <f>AV44+AW44</f>
        <v>0</v>
      </c>
      <c r="BC44" s="36">
        <f>H44/(100-BD44)*100</f>
        <v>0</v>
      </c>
      <c r="BD44" s="36">
        <v>0</v>
      </c>
      <c r="BE44" s="36">
        <f>44</f>
        <v>44</v>
      </c>
      <c r="BG44" s="50">
        <f>G44*AN44</f>
        <v>0</v>
      </c>
      <c r="BH44" s="50">
        <f>G44*AO44</f>
        <v>0</v>
      </c>
      <c r="BI44" s="50">
        <f>G44*H44</f>
        <v>0</v>
      </c>
    </row>
    <row r="45" spans="1:46" ht="12.75">
      <c r="A45" s="77"/>
      <c r="B45" s="78" t="s">
        <v>153</v>
      </c>
      <c r="C45" s="176" t="s">
        <v>547</v>
      </c>
      <c r="D45" s="177"/>
      <c r="E45" s="178"/>
      <c r="F45" s="77" t="s">
        <v>68</v>
      </c>
      <c r="G45" s="77" t="s">
        <v>68</v>
      </c>
      <c r="H45" s="77" t="s">
        <v>68</v>
      </c>
      <c r="I45" s="81">
        <f>SUM(I46:I53)</f>
        <v>0</v>
      </c>
      <c r="J45" s="81">
        <f>SUM(J46:J53)</f>
        <v>0</v>
      </c>
      <c r="K45" s="81">
        <f>SUM(K46:K53)</f>
        <v>0</v>
      </c>
      <c r="AH45" s="54" t="s">
        <v>70</v>
      </c>
      <c r="AR45" s="58">
        <f>SUM(AI46:AI53)</f>
        <v>0</v>
      </c>
      <c r="AS45" s="58">
        <f>SUM(AJ46:AJ53)</f>
        <v>0</v>
      </c>
      <c r="AT45" s="58">
        <f>SUM(AK46:AK53)</f>
        <v>0</v>
      </c>
    </row>
    <row r="46" spans="1:61" ht="12.75">
      <c r="A46" s="82" t="s">
        <v>137</v>
      </c>
      <c r="B46" s="82" t="s">
        <v>327</v>
      </c>
      <c r="C46" s="179" t="s">
        <v>548</v>
      </c>
      <c r="D46" s="180"/>
      <c r="E46" s="181"/>
      <c r="F46" s="82" t="s">
        <v>748</v>
      </c>
      <c r="G46" s="83">
        <v>1.5</v>
      </c>
      <c r="H46" s="83">
        <v>0</v>
      </c>
      <c r="I46" s="83">
        <f aca="true" t="shared" si="22" ref="I46:I53">G46*AN46</f>
        <v>0</v>
      </c>
      <c r="J46" s="83">
        <f aca="true" t="shared" si="23" ref="J46:J53">G46*AO46</f>
        <v>0</v>
      </c>
      <c r="K46" s="83">
        <f aca="true" t="shared" si="24" ref="K46:K53">G46*H46</f>
        <v>0</v>
      </c>
      <c r="Y46" s="36">
        <f aca="true" t="shared" si="25" ref="Y46:Y53">IF(AP46="5",BI46,0)</f>
        <v>0</v>
      </c>
      <c r="AA46" s="36">
        <f aca="true" t="shared" si="26" ref="AA46:AA53">IF(AP46="1",BG46,0)</f>
        <v>0</v>
      </c>
      <c r="AB46" s="36">
        <f aca="true" t="shared" si="27" ref="AB46:AB53">IF(AP46="1",BH46,0)</f>
        <v>0</v>
      </c>
      <c r="AC46" s="36">
        <f aca="true" t="shared" si="28" ref="AC46:AC53">IF(AP46="7",BG46,0)</f>
        <v>0</v>
      </c>
      <c r="AD46" s="36">
        <f aca="true" t="shared" si="29" ref="AD46:AD53">IF(AP46="7",BH46,0)</f>
        <v>0</v>
      </c>
      <c r="AE46" s="36">
        <f aca="true" t="shared" si="30" ref="AE46:AE53">IF(AP46="2",BG46,0)</f>
        <v>0</v>
      </c>
      <c r="AF46" s="36">
        <f aca="true" t="shared" si="31" ref="AF46:AF53">IF(AP46="2",BH46,0)</f>
        <v>0</v>
      </c>
      <c r="AG46" s="36">
        <f aca="true" t="shared" si="32" ref="AG46:AG53">IF(AP46="0",BI46,0)</f>
        <v>0</v>
      </c>
      <c r="AH46" s="54" t="s">
        <v>70</v>
      </c>
      <c r="AI46" s="50">
        <f aca="true" t="shared" si="33" ref="AI46:AI53">IF(AM46=0,K46,0)</f>
        <v>0</v>
      </c>
      <c r="AJ46" s="50">
        <f aca="true" t="shared" si="34" ref="AJ46:AJ53">IF(AM46=15,K46,0)</f>
        <v>0</v>
      </c>
      <c r="AK46" s="50">
        <f aca="true" t="shared" si="35" ref="AK46:AK53">IF(AM46=21,K46,0)</f>
        <v>0</v>
      </c>
      <c r="AM46" s="36">
        <v>21</v>
      </c>
      <c r="AN46" s="36">
        <f>H46*0.794559738134206</f>
        <v>0</v>
      </c>
      <c r="AO46" s="36">
        <f>H46*(1-0.794559738134206)</f>
        <v>0</v>
      </c>
      <c r="AP46" s="55" t="s">
        <v>92</v>
      </c>
      <c r="AU46" s="36">
        <f aca="true" t="shared" si="36" ref="AU46:AU53">AV46+AW46</f>
        <v>0</v>
      </c>
      <c r="AV46" s="36">
        <f aca="true" t="shared" si="37" ref="AV46:AV53">G46*AN46</f>
        <v>0</v>
      </c>
      <c r="AW46" s="36">
        <f aca="true" t="shared" si="38" ref="AW46:AW53">G46*AO46</f>
        <v>0</v>
      </c>
      <c r="AX46" s="57" t="s">
        <v>778</v>
      </c>
      <c r="AY46" s="57" t="s">
        <v>814</v>
      </c>
      <c r="AZ46" s="54" t="s">
        <v>834</v>
      </c>
      <c r="BB46" s="36">
        <f aca="true" t="shared" si="39" ref="BB46:BB53">AV46+AW46</f>
        <v>0</v>
      </c>
      <c r="BC46" s="36">
        <f aca="true" t="shared" si="40" ref="BC46:BC53">H46/(100-BD46)*100</f>
        <v>0</v>
      </c>
      <c r="BD46" s="36">
        <v>0</v>
      </c>
      <c r="BE46" s="36">
        <f>46</f>
        <v>46</v>
      </c>
      <c r="BG46" s="50">
        <f aca="true" t="shared" si="41" ref="BG46:BG53">G46*AN46</f>
        <v>0</v>
      </c>
      <c r="BH46" s="50">
        <f aca="true" t="shared" si="42" ref="BH46:BH53">G46*AO46</f>
        <v>0</v>
      </c>
      <c r="BI46" s="50">
        <f aca="true" t="shared" si="43" ref="BI46:BI53">G46*H46</f>
        <v>0</v>
      </c>
    </row>
    <row r="47" spans="1:61" ht="12.75">
      <c r="A47" s="79" t="s">
        <v>138</v>
      </c>
      <c r="B47" s="79" t="s">
        <v>328</v>
      </c>
      <c r="C47" s="182" t="s">
        <v>549</v>
      </c>
      <c r="D47" s="180"/>
      <c r="E47" s="183"/>
      <c r="F47" s="79" t="s">
        <v>751</v>
      </c>
      <c r="G47" s="80">
        <v>0.13</v>
      </c>
      <c r="H47" s="80">
        <v>0</v>
      </c>
      <c r="I47" s="80">
        <f t="shared" si="22"/>
        <v>0</v>
      </c>
      <c r="J47" s="80">
        <f t="shared" si="23"/>
        <v>0</v>
      </c>
      <c r="K47" s="80">
        <f t="shared" si="24"/>
        <v>0</v>
      </c>
      <c r="Y47" s="36">
        <f t="shared" si="25"/>
        <v>0</v>
      </c>
      <c r="AA47" s="36">
        <f t="shared" si="26"/>
        <v>0</v>
      </c>
      <c r="AB47" s="36">
        <f t="shared" si="27"/>
        <v>0</v>
      </c>
      <c r="AC47" s="36">
        <f t="shared" si="28"/>
        <v>0</v>
      </c>
      <c r="AD47" s="36">
        <f t="shared" si="29"/>
        <v>0</v>
      </c>
      <c r="AE47" s="36">
        <f t="shared" si="30"/>
        <v>0</v>
      </c>
      <c r="AF47" s="36">
        <f t="shared" si="31"/>
        <v>0</v>
      </c>
      <c r="AG47" s="36">
        <f t="shared" si="32"/>
        <v>0</v>
      </c>
      <c r="AH47" s="54" t="s">
        <v>70</v>
      </c>
      <c r="AI47" s="50">
        <f t="shared" si="33"/>
        <v>0</v>
      </c>
      <c r="AJ47" s="50">
        <f t="shared" si="34"/>
        <v>0</v>
      </c>
      <c r="AK47" s="50">
        <f t="shared" si="35"/>
        <v>0</v>
      </c>
      <c r="AM47" s="36">
        <v>21</v>
      </c>
      <c r="AN47" s="36">
        <f>H47*0.674282485875706</f>
        <v>0</v>
      </c>
      <c r="AO47" s="36">
        <f>H47*(1-0.674282485875706)</f>
        <v>0</v>
      </c>
      <c r="AP47" s="55" t="s">
        <v>92</v>
      </c>
      <c r="AU47" s="36">
        <f t="shared" si="36"/>
        <v>0</v>
      </c>
      <c r="AV47" s="36">
        <f t="shared" si="37"/>
        <v>0</v>
      </c>
      <c r="AW47" s="36">
        <f t="shared" si="38"/>
        <v>0</v>
      </c>
      <c r="AX47" s="57" t="s">
        <v>778</v>
      </c>
      <c r="AY47" s="57" t="s">
        <v>814</v>
      </c>
      <c r="AZ47" s="54" t="s">
        <v>834</v>
      </c>
      <c r="BB47" s="36">
        <f t="shared" si="39"/>
        <v>0</v>
      </c>
      <c r="BC47" s="36">
        <f t="shared" si="40"/>
        <v>0</v>
      </c>
      <c r="BD47" s="36">
        <v>0</v>
      </c>
      <c r="BE47" s="36">
        <f>47</f>
        <v>47</v>
      </c>
      <c r="BG47" s="50">
        <f t="shared" si="41"/>
        <v>0</v>
      </c>
      <c r="BH47" s="50">
        <f t="shared" si="42"/>
        <v>0</v>
      </c>
      <c r="BI47" s="50">
        <f t="shared" si="43"/>
        <v>0</v>
      </c>
    </row>
    <row r="48" spans="1:61" ht="12.75">
      <c r="A48" s="42" t="s">
        <v>139</v>
      </c>
      <c r="B48" s="42" t="s">
        <v>329</v>
      </c>
      <c r="C48" s="184" t="s">
        <v>550</v>
      </c>
      <c r="D48" s="180"/>
      <c r="E48" s="180"/>
      <c r="F48" s="42" t="s">
        <v>749</v>
      </c>
      <c r="G48" s="50">
        <v>2</v>
      </c>
      <c r="H48" s="50">
        <v>0</v>
      </c>
      <c r="I48" s="50">
        <f t="shared" si="22"/>
        <v>0</v>
      </c>
      <c r="J48" s="50">
        <f t="shared" si="23"/>
        <v>0</v>
      </c>
      <c r="K48" s="50">
        <f t="shared" si="24"/>
        <v>0</v>
      </c>
      <c r="Y48" s="36">
        <f t="shared" si="25"/>
        <v>0</v>
      </c>
      <c r="AA48" s="36">
        <f t="shared" si="26"/>
        <v>0</v>
      </c>
      <c r="AB48" s="36">
        <f t="shared" si="27"/>
        <v>0</v>
      </c>
      <c r="AC48" s="36">
        <f t="shared" si="28"/>
        <v>0</v>
      </c>
      <c r="AD48" s="36">
        <f t="shared" si="29"/>
        <v>0</v>
      </c>
      <c r="AE48" s="36">
        <f t="shared" si="30"/>
        <v>0</v>
      </c>
      <c r="AF48" s="36">
        <f t="shared" si="31"/>
        <v>0</v>
      </c>
      <c r="AG48" s="36">
        <f t="shared" si="32"/>
        <v>0</v>
      </c>
      <c r="AH48" s="54" t="s">
        <v>70</v>
      </c>
      <c r="AI48" s="50">
        <f t="shared" si="33"/>
        <v>0</v>
      </c>
      <c r="AJ48" s="50">
        <f t="shared" si="34"/>
        <v>0</v>
      </c>
      <c r="AK48" s="50">
        <f t="shared" si="35"/>
        <v>0</v>
      </c>
      <c r="AM48" s="36">
        <v>21</v>
      </c>
      <c r="AN48" s="36">
        <f>H48*0.0109672365328787</f>
        <v>0</v>
      </c>
      <c r="AO48" s="36">
        <f>H48*(1-0.0109672365328787)</f>
        <v>0</v>
      </c>
      <c r="AP48" s="55" t="s">
        <v>92</v>
      </c>
      <c r="AU48" s="36">
        <f t="shared" si="36"/>
        <v>0</v>
      </c>
      <c r="AV48" s="36">
        <f t="shared" si="37"/>
        <v>0</v>
      </c>
      <c r="AW48" s="36">
        <f t="shared" si="38"/>
        <v>0</v>
      </c>
      <c r="AX48" s="57" t="s">
        <v>778</v>
      </c>
      <c r="AY48" s="57" t="s">
        <v>814</v>
      </c>
      <c r="AZ48" s="54" t="s">
        <v>834</v>
      </c>
      <c r="BB48" s="36">
        <f t="shared" si="39"/>
        <v>0</v>
      </c>
      <c r="BC48" s="36">
        <f t="shared" si="40"/>
        <v>0</v>
      </c>
      <c r="BD48" s="36">
        <v>0</v>
      </c>
      <c r="BE48" s="36">
        <f>48</f>
        <v>48</v>
      </c>
      <c r="BG48" s="50">
        <f t="shared" si="41"/>
        <v>0</v>
      </c>
      <c r="BH48" s="50">
        <f t="shared" si="42"/>
        <v>0</v>
      </c>
      <c r="BI48" s="50">
        <f t="shared" si="43"/>
        <v>0</v>
      </c>
    </row>
    <row r="49" spans="1:61" ht="12.75">
      <c r="A49" s="43" t="s">
        <v>140</v>
      </c>
      <c r="B49" s="43" t="s">
        <v>330</v>
      </c>
      <c r="C49" s="185" t="s">
        <v>551</v>
      </c>
      <c r="D49" s="186"/>
      <c r="E49" s="186"/>
      <c r="F49" s="43" t="s">
        <v>749</v>
      </c>
      <c r="G49" s="51">
        <v>2</v>
      </c>
      <c r="H49" s="51">
        <v>0</v>
      </c>
      <c r="I49" s="51">
        <f t="shared" si="22"/>
        <v>0</v>
      </c>
      <c r="J49" s="51">
        <f t="shared" si="23"/>
        <v>0</v>
      </c>
      <c r="K49" s="51">
        <f t="shared" si="24"/>
        <v>0</v>
      </c>
      <c r="Y49" s="36">
        <f t="shared" si="25"/>
        <v>0</v>
      </c>
      <c r="AA49" s="36">
        <f t="shared" si="26"/>
        <v>0</v>
      </c>
      <c r="AB49" s="36">
        <f t="shared" si="27"/>
        <v>0</v>
      </c>
      <c r="AC49" s="36">
        <f t="shared" si="28"/>
        <v>0</v>
      </c>
      <c r="AD49" s="36">
        <f t="shared" si="29"/>
        <v>0</v>
      </c>
      <c r="AE49" s="36">
        <f t="shared" si="30"/>
        <v>0</v>
      </c>
      <c r="AF49" s="36">
        <f t="shared" si="31"/>
        <v>0</v>
      </c>
      <c r="AG49" s="36">
        <f t="shared" si="32"/>
        <v>0</v>
      </c>
      <c r="AH49" s="54" t="s">
        <v>70</v>
      </c>
      <c r="AI49" s="51">
        <f t="shared" si="33"/>
        <v>0</v>
      </c>
      <c r="AJ49" s="51">
        <f t="shared" si="34"/>
        <v>0</v>
      </c>
      <c r="AK49" s="51">
        <f t="shared" si="35"/>
        <v>0</v>
      </c>
      <c r="AM49" s="36">
        <v>21</v>
      </c>
      <c r="AN49" s="36">
        <f>H49*1</f>
        <v>0</v>
      </c>
      <c r="AO49" s="36">
        <f>H49*(1-1)</f>
        <v>0</v>
      </c>
      <c r="AP49" s="56" t="s">
        <v>92</v>
      </c>
      <c r="AU49" s="36">
        <f t="shared" si="36"/>
        <v>0</v>
      </c>
      <c r="AV49" s="36">
        <f t="shared" si="37"/>
        <v>0</v>
      </c>
      <c r="AW49" s="36">
        <f t="shared" si="38"/>
        <v>0</v>
      </c>
      <c r="AX49" s="57" t="s">
        <v>778</v>
      </c>
      <c r="AY49" s="57" t="s">
        <v>814</v>
      </c>
      <c r="AZ49" s="54" t="s">
        <v>834</v>
      </c>
      <c r="BB49" s="36">
        <f t="shared" si="39"/>
        <v>0</v>
      </c>
      <c r="BC49" s="36">
        <f t="shared" si="40"/>
        <v>0</v>
      </c>
      <c r="BD49" s="36">
        <v>0</v>
      </c>
      <c r="BE49" s="36">
        <f>49</f>
        <v>49</v>
      </c>
      <c r="BG49" s="51">
        <f t="shared" si="41"/>
        <v>0</v>
      </c>
      <c r="BH49" s="51">
        <f t="shared" si="42"/>
        <v>0</v>
      </c>
      <c r="BI49" s="51">
        <f t="shared" si="43"/>
        <v>0</v>
      </c>
    </row>
    <row r="50" spans="1:61" ht="12.75">
      <c r="A50" s="82" t="s">
        <v>141</v>
      </c>
      <c r="B50" s="82" t="s">
        <v>331</v>
      </c>
      <c r="C50" s="179" t="s">
        <v>552</v>
      </c>
      <c r="D50" s="180"/>
      <c r="E50" s="181"/>
      <c r="F50" s="82" t="s">
        <v>752</v>
      </c>
      <c r="G50" s="83">
        <v>24</v>
      </c>
      <c r="H50" s="83">
        <v>0</v>
      </c>
      <c r="I50" s="83">
        <f t="shared" si="22"/>
        <v>0</v>
      </c>
      <c r="J50" s="83">
        <f t="shared" si="23"/>
        <v>0</v>
      </c>
      <c r="K50" s="83">
        <f t="shared" si="24"/>
        <v>0</v>
      </c>
      <c r="Y50" s="36">
        <f t="shared" si="25"/>
        <v>0</v>
      </c>
      <c r="AA50" s="36">
        <f t="shared" si="26"/>
        <v>0</v>
      </c>
      <c r="AB50" s="36">
        <f t="shared" si="27"/>
        <v>0</v>
      </c>
      <c r="AC50" s="36">
        <f t="shared" si="28"/>
        <v>0</v>
      </c>
      <c r="AD50" s="36">
        <f t="shared" si="29"/>
        <v>0</v>
      </c>
      <c r="AE50" s="36">
        <f t="shared" si="30"/>
        <v>0</v>
      </c>
      <c r="AF50" s="36">
        <f t="shared" si="31"/>
        <v>0</v>
      </c>
      <c r="AG50" s="36">
        <f t="shared" si="32"/>
        <v>0</v>
      </c>
      <c r="AH50" s="54" t="s">
        <v>70</v>
      </c>
      <c r="AI50" s="50">
        <f t="shared" si="33"/>
        <v>0</v>
      </c>
      <c r="AJ50" s="50">
        <f t="shared" si="34"/>
        <v>0</v>
      </c>
      <c r="AK50" s="50">
        <f t="shared" si="35"/>
        <v>0</v>
      </c>
      <c r="AM50" s="36">
        <v>21</v>
      </c>
      <c r="AN50" s="36">
        <f>H50*0.261459143968872</f>
        <v>0</v>
      </c>
      <c r="AO50" s="36">
        <f>H50*(1-0.261459143968872)</f>
        <v>0</v>
      </c>
      <c r="AP50" s="55" t="s">
        <v>92</v>
      </c>
      <c r="AU50" s="36">
        <f t="shared" si="36"/>
        <v>0</v>
      </c>
      <c r="AV50" s="36">
        <f t="shared" si="37"/>
        <v>0</v>
      </c>
      <c r="AW50" s="36">
        <f t="shared" si="38"/>
        <v>0</v>
      </c>
      <c r="AX50" s="57" t="s">
        <v>778</v>
      </c>
      <c r="AY50" s="57" t="s">
        <v>814</v>
      </c>
      <c r="AZ50" s="54" t="s">
        <v>834</v>
      </c>
      <c r="BB50" s="36">
        <f t="shared" si="39"/>
        <v>0</v>
      </c>
      <c r="BC50" s="36">
        <f t="shared" si="40"/>
        <v>0</v>
      </c>
      <c r="BD50" s="36">
        <v>0</v>
      </c>
      <c r="BE50" s="36">
        <f>50</f>
        <v>50</v>
      </c>
      <c r="BG50" s="50">
        <f t="shared" si="41"/>
        <v>0</v>
      </c>
      <c r="BH50" s="50">
        <f t="shared" si="42"/>
        <v>0</v>
      </c>
      <c r="BI50" s="50">
        <f t="shared" si="43"/>
        <v>0</v>
      </c>
    </row>
    <row r="51" spans="1:61" ht="12.75">
      <c r="A51" s="82" t="s">
        <v>142</v>
      </c>
      <c r="B51" s="82" t="s">
        <v>332</v>
      </c>
      <c r="C51" s="179" t="s">
        <v>553</v>
      </c>
      <c r="D51" s="180"/>
      <c r="E51" s="181"/>
      <c r="F51" s="82" t="s">
        <v>752</v>
      </c>
      <c r="G51" s="83">
        <v>24</v>
      </c>
      <c r="H51" s="83">
        <v>0</v>
      </c>
      <c r="I51" s="83">
        <f t="shared" si="22"/>
        <v>0</v>
      </c>
      <c r="J51" s="83">
        <f t="shared" si="23"/>
        <v>0</v>
      </c>
      <c r="K51" s="83">
        <f t="shared" si="24"/>
        <v>0</v>
      </c>
      <c r="Y51" s="36">
        <f t="shared" si="25"/>
        <v>0</v>
      </c>
      <c r="AA51" s="36">
        <f t="shared" si="26"/>
        <v>0</v>
      </c>
      <c r="AB51" s="36">
        <f t="shared" si="27"/>
        <v>0</v>
      </c>
      <c r="AC51" s="36">
        <f t="shared" si="28"/>
        <v>0</v>
      </c>
      <c r="AD51" s="36">
        <f t="shared" si="29"/>
        <v>0</v>
      </c>
      <c r="AE51" s="36">
        <f t="shared" si="30"/>
        <v>0</v>
      </c>
      <c r="AF51" s="36">
        <f t="shared" si="31"/>
        <v>0</v>
      </c>
      <c r="AG51" s="36">
        <f t="shared" si="32"/>
        <v>0</v>
      </c>
      <c r="AH51" s="54" t="s">
        <v>70</v>
      </c>
      <c r="AI51" s="50">
        <f t="shared" si="33"/>
        <v>0</v>
      </c>
      <c r="AJ51" s="50">
        <f t="shared" si="34"/>
        <v>0</v>
      </c>
      <c r="AK51" s="50">
        <f t="shared" si="35"/>
        <v>0</v>
      </c>
      <c r="AM51" s="36">
        <v>21</v>
      </c>
      <c r="AN51" s="36">
        <f>H51*0</f>
        <v>0</v>
      </c>
      <c r="AO51" s="36">
        <f>H51*(1-0)</f>
        <v>0</v>
      </c>
      <c r="AP51" s="55" t="s">
        <v>92</v>
      </c>
      <c r="AU51" s="36">
        <f t="shared" si="36"/>
        <v>0</v>
      </c>
      <c r="AV51" s="36">
        <f t="shared" si="37"/>
        <v>0</v>
      </c>
      <c r="AW51" s="36">
        <f t="shared" si="38"/>
        <v>0</v>
      </c>
      <c r="AX51" s="57" t="s">
        <v>778</v>
      </c>
      <c r="AY51" s="57" t="s">
        <v>814</v>
      </c>
      <c r="AZ51" s="54" t="s">
        <v>834</v>
      </c>
      <c r="BB51" s="36">
        <f t="shared" si="39"/>
        <v>0</v>
      </c>
      <c r="BC51" s="36">
        <f t="shared" si="40"/>
        <v>0</v>
      </c>
      <c r="BD51" s="36">
        <v>0</v>
      </c>
      <c r="BE51" s="36">
        <f>51</f>
        <v>51</v>
      </c>
      <c r="BG51" s="50">
        <f t="shared" si="41"/>
        <v>0</v>
      </c>
      <c r="BH51" s="50">
        <f t="shared" si="42"/>
        <v>0</v>
      </c>
      <c r="BI51" s="50">
        <f t="shared" si="43"/>
        <v>0</v>
      </c>
    </row>
    <row r="52" spans="1:61" ht="12.75">
      <c r="A52" s="82" t="s">
        <v>143</v>
      </c>
      <c r="B52" s="82" t="s">
        <v>333</v>
      </c>
      <c r="C52" s="179" t="s">
        <v>554</v>
      </c>
      <c r="D52" s="180"/>
      <c r="E52" s="181"/>
      <c r="F52" s="82" t="s">
        <v>750</v>
      </c>
      <c r="G52" s="83">
        <v>28</v>
      </c>
      <c r="H52" s="83">
        <v>0</v>
      </c>
      <c r="I52" s="83">
        <f t="shared" si="22"/>
        <v>0</v>
      </c>
      <c r="J52" s="83">
        <f t="shared" si="23"/>
        <v>0</v>
      </c>
      <c r="K52" s="83">
        <f t="shared" si="24"/>
        <v>0</v>
      </c>
      <c r="Y52" s="36">
        <f t="shared" si="25"/>
        <v>0</v>
      </c>
      <c r="AA52" s="36">
        <f t="shared" si="26"/>
        <v>0</v>
      </c>
      <c r="AB52" s="36">
        <f t="shared" si="27"/>
        <v>0</v>
      </c>
      <c r="AC52" s="36">
        <f t="shared" si="28"/>
        <v>0</v>
      </c>
      <c r="AD52" s="36">
        <f t="shared" si="29"/>
        <v>0</v>
      </c>
      <c r="AE52" s="36">
        <f t="shared" si="30"/>
        <v>0</v>
      </c>
      <c r="AF52" s="36">
        <f t="shared" si="31"/>
        <v>0</v>
      </c>
      <c r="AG52" s="36">
        <f t="shared" si="32"/>
        <v>0</v>
      </c>
      <c r="AH52" s="54" t="s">
        <v>70</v>
      </c>
      <c r="AI52" s="50">
        <f t="shared" si="33"/>
        <v>0</v>
      </c>
      <c r="AJ52" s="50">
        <f t="shared" si="34"/>
        <v>0</v>
      </c>
      <c r="AK52" s="50">
        <f t="shared" si="35"/>
        <v>0</v>
      </c>
      <c r="AM52" s="36">
        <v>21</v>
      </c>
      <c r="AN52" s="36">
        <f>H52*0.45484052532833</f>
        <v>0</v>
      </c>
      <c r="AO52" s="36">
        <f>H52*(1-0.45484052532833)</f>
        <v>0</v>
      </c>
      <c r="AP52" s="55" t="s">
        <v>92</v>
      </c>
      <c r="AU52" s="36">
        <f t="shared" si="36"/>
        <v>0</v>
      </c>
      <c r="AV52" s="36">
        <f t="shared" si="37"/>
        <v>0</v>
      </c>
      <c r="AW52" s="36">
        <f t="shared" si="38"/>
        <v>0</v>
      </c>
      <c r="AX52" s="57" t="s">
        <v>778</v>
      </c>
      <c r="AY52" s="57" t="s">
        <v>814</v>
      </c>
      <c r="AZ52" s="54" t="s">
        <v>834</v>
      </c>
      <c r="BB52" s="36">
        <f t="shared" si="39"/>
        <v>0</v>
      </c>
      <c r="BC52" s="36">
        <f t="shared" si="40"/>
        <v>0</v>
      </c>
      <c r="BD52" s="36">
        <v>0</v>
      </c>
      <c r="BE52" s="36">
        <f>52</f>
        <v>52</v>
      </c>
      <c r="BG52" s="50">
        <f t="shared" si="41"/>
        <v>0</v>
      </c>
      <c r="BH52" s="50">
        <f t="shared" si="42"/>
        <v>0</v>
      </c>
      <c r="BI52" s="50">
        <f t="shared" si="43"/>
        <v>0</v>
      </c>
    </row>
    <row r="53" spans="1:61" ht="12.75">
      <c r="A53" s="82" t="s">
        <v>144</v>
      </c>
      <c r="B53" s="82" t="s">
        <v>322</v>
      </c>
      <c r="C53" s="179" t="s">
        <v>541</v>
      </c>
      <c r="D53" s="180"/>
      <c r="E53" s="181"/>
      <c r="F53" s="82" t="s">
        <v>751</v>
      </c>
      <c r="G53" s="83">
        <v>5.73</v>
      </c>
      <c r="H53" s="83">
        <v>0</v>
      </c>
      <c r="I53" s="83">
        <f t="shared" si="22"/>
        <v>0</v>
      </c>
      <c r="J53" s="83">
        <f t="shared" si="23"/>
        <v>0</v>
      </c>
      <c r="K53" s="83">
        <f t="shared" si="24"/>
        <v>0</v>
      </c>
      <c r="Y53" s="36">
        <f t="shared" si="25"/>
        <v>0</v>
      </c>
      <c r="AA53" s="36">
        <f t="shared" si="26"/>
        <v>0</v>
      </c>
      <c r="AB53" s="36">
        <f t="shared" si="27"/>
        <v>0</v>
      </c>
      <c r="AC53" s="36">
        <f t="shared" si="28"/>
        <v>0</v>
      </c>
      <c r="AD53" s="36">
        <f t="shared" si="29"/>
        <v>0</v>
      </c>
      <c r="AE53" s="36">
        <f t="shared" si="30"/>
        <v>0</v>
      </c>
      <c r="AF53" s="36">
        <f t="shared" si="31"/>
        <v>0</v>
      </c>
      <c r="AG53" s="36">
        <f t="shared" si="32"/>
        <v>0</v>
      </c>
      <c r="AH53" s="54" t="s">
        <v>70</v>
      </c>
      <c r="AI53" s="50">
        <f t="shared" si="33"/>
        <v>0</v>
      </c>
      <c r="AJ53" s="50">
        <f t="shared" si="34"/>
        <v>0</v>
      </c>
      <c r="AK53" s="50">
        <f t="shared" si="35"/>
        <v>0</v>
      </c>
      <c r="AM53" s="36">
        <v>21</v>
      </c>
      <c r="AN53" s="36">
        <f>H53*0</f>
        <v>0</v>
      </c>
      <c r="AO53" s="36">
        <f>H53*(1-0)</f>
        <v>0</v>
      </c>
      <c r="AP53" s="55" t="s">
        <v>103</v>
      </c>
      <c r="AU53" s="36">
        <f t="shared" si="36"/>
        <v>0</v>
      </c>
      <c r="AV53" s="36">
        <f t="shared" si="37"/>
        <v>0</v>
      </c>
      <c r="AW53" s="36">
        <f t="shared" si="38"/>
        <v>0</v>
      </c>
      <c r="AX53" s="57" t="s">
        <v>778</v>
      </c>
      <c r="AY53" s="57" t="s">
        <v>814</v>
      </c>
      <c r="AZ53" s="54" t="s">
        <v>834</v>
      </c>
      <c r="BB53" s="36">
        <f t="shared" si="39"/>
        <v>0</v>
      </c>
      <c r="BC53" s="36">
        <f t="shared" si="40"/>
        <v>0</v>
      </c>
      <c r="BD53" s="36">
        <v>0</v>
      </c>
      <c r="BE53" s="36">
        <f>53</f>
        <v>53</v>
      </c>
      <c r="BG53" s="50">
        <f t="shared" si="41"/>
        <v>0</v>
      </c>
      <c r="BH53" s="50">
        <f t="shared" si="42"/>
        <v>0</v>
      </c>
      <c r="BI53" s="50">
        <f t="shared" si="43"/>
        <v>0</v>
      </c>
    </row>
    <row r="54" spans="1:46" ht="12.75">
      <c r="A54" s="77"/>
      <c r="B54" s="78" t="s">
        <v>173</v>
      </c>
      <c r="C54" s="176" t="s">
        <v>555</v>
      </c>
      <c r="D54" s="177"/>
      <c r="E54" s="178"/>
      <c r="F54" s="77" t="s">
        <v>68</v>
      </c>
      <c r="G54" s="77" t="s">
        <v>68</v>
      </c>
      <c r="H54" s="77" t="s">
        <v>68</v>
      </c>
      <c r="I54" s="81">
        <f>SUM(I55:I57)</f>
        <v>0</v>
      </c>
      <c r="J54" s="81">
        <f>SUM(J55:J57)</f>
        <v>0</v>
      </c>
      <c r="K54" s="81">
        <f>SUM(K55:K57)</f>
        <v>0</v>
      </c>
      <c r="AH54" s="54" t="s">
        <v>70</v>
      </c>
      <c r="AR54" s="58">
        <f>SUM(AI55:AI57)</f>
        <v>0</v>
      </c>
      <c r="AS54" s="58">
        <f>SUM(AJ55:AJ57)</f>
        <v>0</v>
      </c>
      <c r="AT54" s="58">
        <f>SUM(AK55:AK57)</f>
        <v>0</v>
      </c>
    </row>
    <row r="55" spans="1:61" ht="12.75">
      <c r="A55" s="82" t="s">
        <v>145</v>
      </c>
      <c r="B55" s="82" t="s">
        <v>334</v>
      </c>
      <c r="C55" s="179" t="s">
        <v>556</v>
      </c>
      <c r="D55" s="180"/>
      <c r="E55" s="181"/>
      <c r="F55" s="82" t="s">
        <v>750</v>
      </c>
      <c r="G55" s="83">
        <v>8.28</v>
      </c>
      <c r="H55" s="83">
        <v>0</v>
      </c>
      <c r="I55" s="83">
        <f>G55*AN55</f>
        <v>0</v>
      </c>
      <c r="J55" s="83">
        <f>G55*AO55</f>
        <v>0</v>
      </c>
      <c r="K55" s="83">
        <f>G55*H55</f>
        <v>0</v>
      </c>
      <c r="Y55" s="36">
        <f>IF(AP55="5",BI55,0)</f>
        <v>0</v>
      </c>
      <c r="AA55" s="36">
        <f>IF(AP55="1",BG55,0)</f>
        <v>0</v>
      </c>
      <c r="AB55" s="36">
        <f>IF(AP55="1",BH55,0)</f>
        <v>0</v>
      </c>
      <c r="AC55" s="36">
        <f>IF(AP55="7",BG55,0)</f>
        <v>0</v>
      </c>
      <c r="AD55" s="36">
        <f>IF(AP55="7",BH55,0)</f>
        <v>0</v>
      </c>
      <c r="AE55" s="36">
        <f>IF(AP55="2",BG55,0)</f>
        <v>0</v>
      </c>
      <c r="AF55" s="36">
        <f>IF(AP55="2",BH55,0)</f>
        <v>0</v>
      </c>
      <c r="AG55" s="36">
        <f>IF(AP55="0",BI55,0)</f>
        <v>0</v>
      </c>
      <c r="AH55" s="54" t="s">
        <v>70</v>
      </c>
      <c r="AI55" s="50">
        <f>IF(AM55=0,K55,0)</f>
        <v>0</v>
      </c>
      <c r="AJ55" s="50">
        <f>IF(AM55=15,K55,0)</f>
        <v>0</v>
      </c>
      <c r="AK55" s="50">
        <f>IF(AM55=21,K55,0)</f>
        <v>0</v>
      </c>
      <c r="AM55" s="36">
        <v>21</v>
      </c>
      <c r="AN55" s="36">
        <f>H55*0.293419498371163</f>
        <v>0</v>
      </c>
      <c r="AO55" s="36">
        <f>H55*(1-0.293419498371163)</f>
        <v>0</v>
      </c>
      <c r="AP55" s="55" t="s">
        <v>92</v>
      </c>
      <c r="AU55" s="36">
        <f>AV55+AW55</f>
        <v>0</v>
      </c>
      <c r="AV55" s="36">
        <f>G55*AN55</f>
        <v>0</v>
      </c>
      <c r="AW55" s="36">
        <f>G55*AO55</f>
        <v>0</v>
      </c>
      <c r="AX55" s="57" t="s">
        <v>779</v>
      </c>
      <c r="AY55" s="57" t="s">
        <v>815</v>
      </c>
      <c r="AZ55" s="54" t="s">
        <v>834</v>
      </c>
      <c r="BB55" s="36">
        <f>AV55+AW55</f>
        <v>0</v>
      </c>
      <c r="BC55" s="36">
        <f>H55/(100-BD55)*100</f>
        <v>0</v>
      </c>
      <c r="BD55" s="36">
        <v>0</v>
      </c>
      <c r="BE55" s="36">
        <f>55</f>
        <v>55</v>
      </c>
      <c r="BG55" s="50">
        <f>G55*AN55</f>
        <v>0</v>
      </c>
      <c r="BH55" s="50">
        <f>G55*AO55</f>
        <v>0</v>
      </c>
      <c r="BI55" s="50">
        <f>G55*H55</f>
        <v>0</v>
      </c>
    </row>
    <row r="56" spans="1:61" ht="12.75">
      <c r="A56" s="82" t="s">
        <v>146</v>
      </c>
      <c r="B56" s="82" t="s">
        <v>335</v>
      </c>
      <c r="C56" s="179" t="s">
        <v>557</v>
      </c>
      <c r="D56" s="180"/>
      <c r="E56" s="181"/>
      <c r="F56" s="82" t="s">
        <v>750</v>
      </c>
      <c r="G56" s="83">
        <v>37.19</v>
      </c>
      <c r="H56" s="83">
        <v>0</v>
      </c>
      <c r="I56" s="83">
        <f>G56*AN56</f>
        <v>0</v>
      </c>
      <c r="J56" s="83">
        <f>G56*AO56</f>
        <v>0</v>
      </c>
      <c r="K56" s="83">
        <f>G56*H56</f>
        <v>0</v>
      </c>
      <c r="Y56" s="36">
        <f>IF(AP56="5",BI56,0)</f>
        <v>0</v>
      </c>
      <c r="AA56" s="36">
        <f>IF(AP56="1",BG56,0)</f>
        <v>0</v>
      </c>
      <c r="AB56" s="36">
        <f>IF(AP56="1",BH56,0)</f>
        <v>0</v>
      </c>
      <c r="AC56" s="36">
        <f>IF(AP56="7",BG56,0)</f>
        <v>0</v>
      </c>
      <c r="AD56" s="36">
        <f>IF(AP56="7",BH56,0)</f>
        <v>0</v>
      </c>
      <c r="AE56" s="36">
        <f>IF(AP56="2",BG56,0)</f>
        <v>0</v>
      </c>
      <c r="AF56" s="36">
        <f>IF(AP56="2",BH56,0)</f>
        <v>0</v>
      </c>
      <c r="AG56" s="36">
        <f>IF(AP56="0",BI56,0)</f>
        <v>0</v>
      </c>
      <c r="AH56" s="54" t="s">
        <v>70</v>
      </c>
      <c r="AI56" s="50">
        <f>IF(AM56=0,K56,0)</f>
        <v>0</v>
      </c>
      <c r="AJ56" s="50">
        <f>IF(AM56=15,K56,0)</f>
        <v>0</v>
      </c>
      <c r="AK56" s="50">
        <f>IF(AM56=21,K56,0)</f>
        <v>0</v>
      </c>
      <c r="AM56" s="36">
        <v>21</v>
      </c>
      <c r="AN56" s="36">
        <f>H56*0.10583094507889</f>
        <v>0</v>
      </c>
      <c r="AO56" s="36">
        <f>H56*(1-0.10583094507889)</f>
        <v>0</v>
      </c>
      <c r="AP56" s="55" t="s">
        <v>92</v>
      </c>
      <c r="AU56" s="36">
        <f>AV56+AW56</f>
        <v>0</v>
      </c>
      <c r="AV56" s="36">
        <f>G56*AN56</f>
        <v>0</v>
      </c>
      <c r="AW56" s="36">
        <f>G56*AO56</f>
        <v>0</v>
      </c>
      <c r="AX56" s="57" t="s">
        <v>779</v>
      </c>
      <c r="AY56" s="57" t="s">
        <v>815</v>
      </c>
      <c r="AZ56" s="54" t="s">
        <v>834</v>
      </c>
      <c r="BB56" s="36">
        <f>AV56+AW56</f>
        <v>0</v>
      </c>
      <c r="BC56" s="36">
        <f>H56/(100-BD56)*100</f>
        <v>0</v>
      </c>
      <c r="BD56" s="36">
        <v>0</v>
      </c>
      <c r="BE56" s="36">
        <f>56</f>
        <v>56</v>
      </c>
      <c r="BG56" s="50">
        <f>G56*AN56</f>
        <v>0</v>
      </c>
      <c r="BH56" s="50">
        <f>G56*AO56</f>
        <v>0</v>
      </c>
      <c r="BI56" s="50">
        <f>G56*H56</f>
        <v>0</v>
      </c>
    </row>
    <row r="57" spans="1:61" ht="12.75">
      <c r="A57" s="82" t="s">
        <v>147</v>
      </c>
      <c r="B57" s="82" t="s">
        <v>322</v>
      </c>
      <c r="C57" s="179" t="s">
        <v>541</v>
      </c>
      <c r="D57" s="180"/>
      <c r="E57" s="181"/>
      <c r="F57" s="82" t="s">
        <v>751</v>
      </c>
      <c r="G57" s="83">
        <v>1.77</v>
      </c>
      <c r="H57" s="83">
        <v>0</v>
      </c>
      <c r="I57" s="83">
        <f>G57*AN57</f>
        <v>0</v>
      </c>
      <c r="J57" s="83">
        <f>G57*AO57</f>
        <v>0</v>
      </c>
      <c r="K57" s="83">
        <f>G57*H57</f>
        <v>0</v>
      </c>
      <c r="Y57" s="36">
        <f>IF(AP57="5",BI57,0)</f>
        <v>0</v>
      </c>
      <c r="AA57" s="36">
        <f>IF(AP57="1",BG57,0)</f>
        <v>0</v>
      </c>
      <c r="AB57" s="36">
        <f>IF(AP57="1",BH57,0)</f>
        <v>0</v>
      </c>
      <c r="AC57" s="36">
        <f>IF(AP57="7",BG57,0)</f>
        <v>0</v>
      </c>
      <c r="AD57" s="36">
        <f>IF(AP57="7",BH57,0)</f>
        <v>0</v>
      </c>
      <c r="AE57" s="36">
        <f>IF(AP57="2",BG57,0)</f>
        <v>0</v>
      </c>
      <c r="AF57" s="36">
        <f>IF(AP57="2",BH57,0)</f>
        <v>0</v>
      </c>
      <c r="AG57" s="36">
        <f>IF(AP57="0",BI57,0)</f>
        <v>0</v>
      </c>
      <c r="AH57" s="54" t="s">
        <v>70</v>
      </c>
      <c r="AI57" s="50">
        <f>IF(AM57=0,K57,0)</f>
        <v>0</v>
      </c>
      <c r="AJ57" s="50">
        <f>IF(AM57=15,K57,0)</f>
        <v>0</v>
      </c>
      <c r="AK57" s="50">
        <f>IF(AM57=21,K57,0)</f>
        <v>0</v>
      </c>
      <c r="AM57" s="36">
        <v>21</v>
      </c>
      <c r="AN57" s="36">
        <f>H57*0</f>
        <v>0</v>
      </c>
      <c r="AO57" s="36">
        <f>H57*(1-0)</f>
        <v>0</v>
      </c>
      <c r="AP57" s="55" t="s">
        <v>103</v>
      </c>
      <c r="AU57" s="36">
        <f>AV57+AW57</f>
        <v>0</v>
      </c>
      <c r="AV57" s="36">
        <f>G57*AN57</f>
        <v>0</v>
      </c>
      <c r="AW57" s="36">
        <f>G57*AO57</f>
        <v>0</v>
      </c>
      <c r="AX57" s="57" t="s">
        <v>779</v>
      </c>
      <c r="AY57" s="57" t="s">
        <v>815</v>
      </c>
      <c r="AZ57" s="54" t="s">
        <v>834</v>
      </c>
      <c r="BB57" s="36">
        <f>AV57+AW57</f>
        <v>0</v>
      </c>
      <c r="BC57" s="36">
        <f>H57/(100-BD57)*100</f>
        <v>0</v>
      </c>
      <c r="BD57" s="36">
        <v>0</v>
      </c>
      <c r="BE57" s="36">
        <f>57</f>
        <v>57</v>
      </c>
      <c r="BG57" s="50">
        <f>G57*AN57</f>
        <v>0</v>
      </c>
      <c r="BH57" s="50">
        <f>G57*AO57</f>
        <v>0</v>
      </c>
      <c r="BI57" s="50">
        <f>G57*H57</f>
        <v>0</v>
      </c>
    </row>
    <row r="58" spans="1:46" ht="12.75">
      <c r="A58" s="77"/>
      <c r="B58" s="78" t="s">
        <v>174</v>
      </c>
      <c r="C58" s="176" t="s">
        <v>558</v>
      </c>
      <c r="D58" s="177"/>
      <c r="E58" s="178"/>
      <c r="F58" s="77" t="s">
        <v>68</v>
      </c>
      <c r="G58" s="77" t="s">
        <v>68</v>
      </c>
      <c r="H58" s="77" t="s">
        <v>68</v>
      </c>
      <c r="I58" s="81">
        <f>SUM(I59:I61)</f>
        <v>0</v>
      </c>
      <c r="J58" s="81">
        <f>SUM(J59:J61)</f>
        <v>0</v>
      </c>
      <c r="K58" s="81">
        <f>SUM(K59:K61)</f>
        <v>0</v>
      </c>
      <c r="AH58" s="54" t="s">
        <v>70</v>
      </c>
      <c r="AR58" s="58">
        <f>SUM(AI59:AI61)</f>
        <v>0</v>
      </c>
      <c r="AS58" s="58">
        <f>SUM(AJ59:AJ61)</f>
        <v>0</v>
      </c>
      <c r="AT58" s="58">
        <f>SUM(AK59:AK61)</f>
        <v>0</v>
      </c>
    </row>
    <row r="59" spans="1:61" ht="12.75">
      <c r="A59" s="82" t="s">
        <v>148</v>
      </c>
      <c r="B59" s="82" t="s">
        <v>336</v>
      </c>
      <c r="C59" s="179" t="s">
        <v>559</v>
      </c>
      <c r="D59" s="180"/>
      <c r="E59" s="181"/>
      <c r="F59" s="82" t="s">
        <v>750</v>
      </c>
      <c r="G59" s="83">
        <v>9.18</v>
      </c>
      <c r="H59" s="83">
        <v>0</v>
      </c>
      <c r="I59" s="83">
        <f>G59*AN59</f>
        <v>0</v>
      </c>
      <c r="J59" s="83">
        <f>G59*AO59</f>
        <v>0</v>
      </c>
      <c r="K59" s="83">
        <f>G59*H59</f>
        <v>0</v>
      </c>
      <c r="Y59" s="36">
        <f>IF(AP59="5",BI59,0)</f>
        <v>0</v>
      </c>
      <c r="AA59" s="36">
        <f>IF(AP59="1",BG59,0)</f>
        <v>0</v>
      </c>
      <c r="AB59" s="36">
        <f>IF(AP59="1",BH59,0)</f>
        <v>0</v>
      </c>
      <c r="AC59" s="36">
        <f>IF(AP59="7",BG59,0)</f>
        <v>0</v>
      </c>
      <c r="AD59" s="36">
        <f>IF(AP59="7",BH59,0)</f>
        <v>0</v>
      </c>
      <c r="AE59" s="36">
        <f>IF(AP59="2",BG59,0)</f>
        <v>0</v>
      </c>
      <c r="AF59" s="36">
        <f>IF(AP59="2",BH59,0)</f>
        <v>0</v>
      </c>
      <c r="AG59" s="36">
        <f>IF(AP59="0",BI59,0)</f>
        <v>0</v>
      </c>
      <c r="AH59" s="54" t="s">
        <v>70</v>
      </c>
      <c r="AI59" s="50">
        <f>IF(AM59=0,K59,0)</f>
        <v>0</v>
      </c>
      <c r="AJ59" s="50">
        <f>IF(AM59=15,K59,0)</f>
        <v>0</v>
      </c>
      <c r="AK59" s="50">
        <f>IF(AM59=21,K59,0)</f>
        <v>0</v>
      </c>
      <c r="AM59" s="36">
        <v>21</v>
      </c>
      <c r="AN59" s="36">
        <f>H59*0.293651467117965</f>
        <v>0</v>
      </c>
      <c r="AO59" s="36">
        <f>H59*(1-0.293651467117965)</f>
        <v>0</v>
      </c>
      <c r="AP59" s="55" t="s">
        <v>92</v>
      </c>
      <c r="AU59" s="36">
        <f>AV59+AW59</f>
        <v>0</v>
      </c>
      <c r="AV59" s="36">
        <f>G59*AN59</f>
        <v>0</v>
      </c>
      <c r="AW59" s="36">
        <f>G59*AO59</f>
        <v>0</v>
      </c>
      <c r="AX59" s="57" t="s">
        <v>780</v>
      </c>
      <c r="AY59" s="57" t="s">
        <v>815</v>
      </c>
      <c r="AZ59" s="54" t="s">
        <v>834</v>
      </c>
      <c r="BB59" s="36">
        <f>AV59+AW59</f>
        <v>0</v>
      </c>
      <c r="BC59" s="36">
        <f>H59/(100-BD59)*100</f>
        <v>0</v>
      </c>
      <c r="BD59" s="36">
        <v>0</v>
      </c>
      <c r="BE59" s="36">
        <f>59</f>
        <v>59</v>
      </c>
      <c r="BG59" s="50">
        <f>G59*AN59</f>
        <v>0</v>
      </c>
      <c r="BH59" s="50">
        <f>G59*AO59</f>
        <v>0</v>
      </c>
      <c r="BI59" s="50">
        <f>G59*H59</f>
        <v>0</v>
      </c>
    </row>
    <row r="60" spans="1:61" ht="12.75">
      <c r="A60" s="82" t="s">
        <v>149</v>
      </c>
      <c r="B60" s="82" t="s">
        <v>337</v>
      </c>
      <c r="C60" s="179" t="s">
        <v>560</v>
      </c>
      <c r="D60" s="180"/>
      <c r="E60" s="181"/>
      <c r="F60" s="82" t="s">
        <v>750</v>
      </c>
      <c r="G60" s="83">
        <v>80.65</v>
      </c>
      <c r="H60" s="83">
        <v>0</v>
      </c>
      <c r="I60" s="83">
        <f>G60*AN60</f>
        <v>0</v>
      </c>
      <c r="J60" s="83">
        <f>G60*AO60</f>
        <v>0</v>
      </c>
      <c r="K60" s="83">
        <f>G60*H60</f>
        <v>0</v>
      </c>
      <c r="Y60" s="36">
        <f>IF(AP60="5",BI60,0)</f>
        <v>0</v>
      </c>
      <c r="AA60" s="36">
        <f>IF(AP60="1",BG60,0)</f>
        <v>0</v>
      </c>
      <c r="AB60" s="36">
        <f>IF(AP60="1",BH60,0)</f>
        <v>0</v>
      </c>
      <c r="AC60" s="36">
        <f>IF(AP60="7",BG60,0)</f>
        <v>0</v>
      </c>
      <c r="AD60" s="36">
        <f>IF(AP60="7",BH60,0)</f>
        <v>0</v>
      </c>
      <c r="AE60" s="36">
        <f>IF(AP60="2",BG60,0)</f>
        <v>0</v>
      </c>
      <c r="AF60" s="36">
        <f>IF(AP60="2",BH60,0)</f>
        <v>0</v>
      </c>
      <c r="AG60" s="36">
        <f>IF(AP60="0",BI60,0)</f>
        <v>0</v>
      </c>
      <c r="AH60" s="54" t="s">
        <v>70</v>
      </c>
      <c r="AI60" s="50">
        <f>IF(AM60=0,K60,0)</f>
        <v>0</v>
      </c>
      <c r="AJ60" s="50">
        <f>IF(AM60=15,K60,0)</f>
        <v>0</v>
      </c>
      <c r="AK60" s="50">
        <f>IF(AM60=21,K60,0)</f>
        <v>0</v>
      </c>
      <c r="AM60" s="36">
        <v>21</v>
      </c>
      <c r="AN60" s="36">
        <f>H60*0.456216236692117</f>
        <v>0</v>
      </c>
      <c r="AO60" s="36">
        <f>H60*(1-0.456216236692117)</f>
        <v>0</v>
      </c>
      <c r="AP60" s="55" t="s">
        <v>92</v>
      </c>
      <c r="AU60" s="36">
        <f>AV60+AW60</f>
        <v>0</v>
      </c>
      <c r="AV60" s="36">
        <f>G60*AN60</f>
        <v>0</v>
      </c>
      <c r="AW60" s="36">
        <f>G60*AO60</f>
        <v>0</v>
      </c>
      <c r="AX60" s="57" t="s">
        <v>780</v>
      </c>
      <c r="AY60" s="57" t="s">
        <v>815</v>
      </c>
      <c r="AZ60" s="54" t="s">
        <v>834</v>
      </c>
      <c r="BB60" s="36">
        <f>AV60+AW60</f>
        <v>0</v>
      </c>
      <c r="BC60" s="36">
        <f>H60/(100-BD60)*100</f>
        <v>0</v>
      </c>
      <c r="BD60" s="36">
        <v>0</v>
      </c>
      <c r="BE60" s="36">
        <f>60</f>
        <v>60</v>
      </c>
      <c r="BG60" s="50">
        <f>G60*AN60</f>
        <v>0</v>
      </c>
      <c r="BH60" s="50">
        <f>G60*AO60</f>
        <v>0</v>
      </c>
      <c r="BI60" s="50">
        <f>G60*H60</f>
        <v>0</v>
      </c>
    </row>
    <row r="61" spans="1:61" ht="12.75">
      <c r="A61" s="82" t="s">
        <v>150</v>
      </c>
      <c r="B61" s="82" t="s">
        <v>322</v>
      </c>
      <c r="C61" s="179" t="s">
        <v>541</v>
      </c>
      <c r="D61" s="180"/>
      <c r="E61" s="181"/>
      <c r="F61" s="82" t="s">
        <v>751</v>
      </c>
      <c r="G61" s="83">
        <v>6.77</v>
      </c>
      <c r="H61" s="83">
        <v>0</v>
      </c>
      <c r="I61" s="83">
        <f>G61*AN61</f>
        <v>0</v>
      </c>
      <c r="J61" s="83">
        <f>G61*AO61</f>
        <v>0</v>
      </c>
      <c r="K61" s="83">
        <f>G61*H61</f>
        <v>0</v>
      </c>
      <c r="Y61" s="36">
        <f>IF(AP61="5",BI61,0)</f>
        <v>0</v>
      </c>
      <c r="AA61" s="36">
        <f>IF(AP61="1",BG61,0)</f>
        <v>0</v>
      </c>
      <c r="AB61" s="36">
        <f>IF(AP61="1",BH61,0)</f>
        <v>0</v>
      </c>
      <c r="AC61" s="36">
        <f>IF(AP61="7",BG61,0)</f>
        <v>0</v>
      </c>
      <c r="AD61" s="36">
        <f>IF(AP61="7",BH61,0)</f>
        <v>0</v>
      </c>
      <c r="AE61" s="36">
        <f>IF(AP61="2",BG61,0)</f>
        <v>0</v>
      </c>
      <c r="AF61" s="36">
        <f>IF(AP61="2",BH61,0)</f>
        <v>0</v>
      </c>
      <c r="AG61" s="36">
        <f>IF(AP61="0",BI61,0)</f>
        <v>0</v>
      </c>
      <c r="AH61" s="54" t="s">
        <v>70</v>
      </c>
      <c r="AI61" s="50">
        <f>IF(AM61=0,K61,0)</f>
        <v>0</v>
      </c>
      <c r="AJ61" s="50">
        <f>IF(AM61=15,K61,0)</f>
        <v>0</v>
      </c>
      <c r="AK61" s="50">
        <f>IF(AM61=21,K61,0)</f>
        <v>0</v>
      </c>
      <c r="AM61" s="36">
        <v>21</v>
      </c>
      <c r="AN61" s="36">
        <f>H61*0</f>
        <v>0</v>
      </c>
      <c r="AO61" s="36">
        <f>H61*(1-0)</f>
        <v>0</v>
      </c>
      <c r="AP61" s="55" t="s">
        <v>103</v>
      </c>
      <c r="AU61" s="36">
        <f>AV61+AW61</f>
        <v>0</v>
      </c>
      <c r="AV61" s="36">
        <f>G61*AN61</f>
        <v>0</v>
      </c>
      <c r="AW61" s="36">
        <f>G61*AO61</f>
        <v>0</v>
      </c>
      <c r="AX61" s="57" t="s">
        <v>780</v>
      </c>
      <c r="AY61" s="57" t="s">
        <v>815</v>
      </c>
      <c r="AZ61" s="54" t="s">
        <v>834</v>
      </c>
      <c r="BB61" s="36">
        <f>AV61+AW61</f>
        <v>0</v>
      </c>
      <c r="BC61" s="36">
        <f>H61/(100-BD61)*100</f>
        <v>0</v>
      </c>
      <c r="BD61" s="36">
        <v>0</v>
      </c>
      <c r="BE61" s="36">
        <f>61</f>
        <v>61</v>
      </c>
      <c r="BG61" s="50">
        <f>G61*AN61</f>
        <v>0</v>
      </c>
      <c r="BH61" s="50">
        <f>G61*AO61</f>
        <v>0</v>
      </c>
      <c r="BI61" s="50">
        <f>G61*H61</f>
        <v>0</v>
      </c>
    </row>
    <row r="62" spans="1:46" ht="12.75">
      <c r="A62" s="73"/>
      <c r="B62" s="74" t="s">
        <v>175</v>
      </c>
      <c r="C62" s="187" t="s">
        <v>561</v>
      </c>
      <c r="D62" s="177"/>
      <c r="E62" s="188"/>
      <c r="F62" s="73" t="s">
        <v>68</v>
      </c>
      <c r="G62" s="73" t="s">
        <v>68</v>
      </c>
      <c r="H62" s="73" t="s">
        <v>68</v>
      </c>
      <c r="I62" s="76">
        <f>SUM(I63:I66)</f>
        <v>0</v>
      </c>
      <c r="J62" s="76">
        <f>SUM(J63:J66)</f>
        <v>0</v>
      </c>
      <c r="K62" s="76">
        <f>SUM(K63:K66)</f>
        <v>0</v>
      </c>
      <c r="AH62" s="54" t="s">
        <v>70</v>
      </c>
      <c r="AR62" s="58">
        <f>SUM(AI63:AI66)</f>
        <v>0</v>
      </c>
      <c r="AS62" s="58">
        <f>SUM(AJ63:AJ66)</f>
        <v>0</v>
      </c>
      <c r="AT62" s="58">
        <f>SUM(AK63:AK66)</f>
        <v>0</v>
      </c>
    </row>
    <row r="63" spans="1:61" ht="12.75">
      <c r="A63" s="42" t="s">
        <v>151</v>
      </c>
      <c r="B63" s="42" t="s">
        <v>338</v>
      </c>
      <c r="C63" s="184" t="s">
        <v>562</v>
      </c>
      <c r="D63" s="180"/>
      <c r="E63" s="180"/>
      <c r="F63" s="42" t="s">
        <v>750</v>
      </c>
      <c r="G63" s="50">
        <v>28</v>
      </c>
      <c r="H63" s="50">
        <v>0</v>
      </c>
      <c r="I63" s="50">
        <f>G63*AN63</f>
        <v>0</v>
      </c>
      <c r="J63" s="50">
        <f>G63*AO63</f>
        <v>0</v>
      </c>
      <c r="K63" s="50">
        <f>G63*H63</f>
        <v>0</v>
      </c>
      <c r="Y63" s="36">
        <f>IF(AP63="5",BI63,0)</f>
        <v>0</v>
      </c>
      <c r="AA63" s="36">
        <f>IF(AP63="1",BG63,0)</f>
        <v>0</v>
      </c>
      <c r="AB63" s="36">
        <f>IF(AP63="1",BH63,0)</f>
        <v>0</v>
      </c>
      <c r="AC63" s="36">
        <f>IF(AP63="7",BG63,0)</f>
        <v>0</v>
      </c>
      <c r="AD63" s="36">
        <f>IF(AP63="7",BH63,0)</f>
        <v>0</v>
      </c>
      <c r="AE63" s="36">
        <f>IF(AP63="2",BG63,0)</f>
        <v>0</v>
      </c>
      <c r="AF63" s="36">
        <f>IF(AP63="2",BH63,0)</f>
        <v>0</v>
      </c>
      <c r="AG63" s="36">
        <f>IF(AP63="0",BI63,0)</f>
        <v>0</v>
      </c>
      <c r="AH63" s="54" t="s">
        <v>70</v>
      </c>
      <c r="AI63" s="50">
        <f>IF(AM63=0,K63,0)</f>
        <v>0</v>
      </c>
      <c r="AJ63" s="50">
        <f>IF(AM63=15,K63,0)</f>
        <v>0</v>
      </c>
      <c r="AK63" s="50">
        <f>IF(AM63=21,K63,0)</f>
        <v>0</v>
      </c>
      <c r="AM63" s="36">
        <v>21</v>
      </c>
      <c r="AN63" s="36">
        <f>H63*0.724916286149163</f>
        <v>0</v>
      </c>
      <c r="AO63" s="36">
        <f>H63*(1-0.724916286149163)</f>
        <v>0</v>
      </c>
      <c r="AP63" s="55" t="s">
        <v>92</v>
      </c>
      <c r="AU63" s="36">
        <f>AV63+AW63</f>
        <v>0</v>
      </c>
      <c r="AV63" s="36">
        <f>G63*AN63</f>
        <v>0</v>
      </c>
      <c r="AW63" s="36">
        <f>G63*AO63</f>
        <v>0</v>
      </c>
      <c r="AX63" s="57" t="s">
        <v>781</v>
      </c>
      <c r="AY63" s="57" t="s">
        <v>815</v>
      </c>
      <c r="AZ63" s="54" t="s">
        <v>834</v>
      </c>
      <c r="BB63" s="36">
        <f>AV63+AW63</f>
        <v>0</v>
      </c>
      <c r="BC63" s="36">
        <f>H63/(100-BD63)*100</f>
        <v>0</v>
      </c>
      <c r="BD63" s="36">
        <v>0</v>
      </c>
      <c r="BE63" s="36">
        <f>63</f>
        <v>63</v>
      </c>
      <c r="BG63" s="50">
        <f>G63*AN63</f>
        <v>0</v>
      </c>
      <c r="BH63" s="50">
        <f>G63*AO63</f>
        <v>0</v>
      </c>
      <c r="BI63" s="50">
        <f>G63*H63</f>
        <v>0</v>
      </c>
    </row>
    <row r="64" spans="1:61" ht="12.75">
      <c r="A64" s="79" t="s">
        <v>152</v>
      </c>
      <c r="B64" s="79" t="s">
        <v>339</v>
      </c>
      <c r="C64" s="182" t="s">
        <v>563</v>
      </c>
      <c r="D64" s="180"/>
      <c r="E64" s="183"/>
      <c r="F64" s="79" t="s">
        <v>750</v>
      </c>
      <c r="G64" s="80">
        <v>12</v>
      </c>
      <c r="H64" s="80">
        <v>0</v>
      </c>
      <c r="I64" s="80">
        <f>G64*AN64</f>
        <v>0</v>
      </c>
      <c r="J64" s="80">
        <f>G64*AO64</f>
        <v>0</v>
      </c>
      <c r="K64" s="80">
        <f>G64*H64</f>
        <v>0</v>
      </c>
      <c r="Y64" s="36">
        <f>IF(AP64="5",BI64,0)</f>
        <v>0</v>
      </c>
      <c r="AA64" s="36">
        <f>IF(AP64="1",BG64,0)</f>
        <v>0</v>
      </c>
      <c r="AB64" s="36">
        <f>IF(AP64="1",BH64,0)</f>
        <v>0</v>
      </c>
      <c r="AC64" s="36">
        <f>IF(AP64="7",BG64,0)</f>
        <v>0</v>
      </c>
      <c r="AD64" s="36">
        <f>IF(AP64="7",BH64,0)</f>
        <v>0</v>
      </c>
      <c r="AE64" s="36">
        <f>IF(AP64="2",BG64,0)</f>
        <v>0</v>
      </c>
      <c r="AF64" s="36">
        <f>IF(AP64="2",BH64,0)</f>
        <v>0</v>
      </c>
      <c r="AG64" s="36">
        <f>IF(AP64="0",BI64,0)</f>
        <v>0</v>
      </c>
      <c r="AH64" s="54" t="s">
        <v>70</v>
      </c>
      <c r="AI64" s="50">
        <f>IF(AM64=0,K64,0)</f>
        <v>0</v>
      </c>
      <c r="AJ64" s="50">
        <f>IF(AM64=15,K64,0)</f>
        <v>0</v>
      </c>
      <c r="AK64" s="50">
        <f>IF(AM64=21,K64,0)</f>
        <v>0</v>
      </c>
      <c r="AM64" s="36">
        <v>21</v>
      </c>
      <c r="AN64" s="36">
        <f>H64*0.285531914893617</f>
        <v>0</v>
      </c>
      <c r="AO64" s="36">
        <f>H64*(1-0.285531914893617)</f>
        <v>0</v>
      </c>
      <c r="AP64" s="55" t="s">
        <v>92</v>
      </c>
      <c r="AU64" s="36">
        <f>AV64+AW64</f>
        <v>0</v>
      </c>
      <c r="AV64" s="36">
        <f>G64*AN64</f>
        <v>0</v>
      </c>
      <c r="AW64" s="36">
        <f>G64*AO64</f>
        <v>0</v>
      </c>
      <c r="AX64" s="57" t="s">
        <v>781</v>
      </c>
      <c r="AY64" s="57" t="s">
        <v>815</v>
      </c>
      <c r="AZ64" s="54" t="s">
        <v>834</v>
      </c>
      <c r="BB64" s="36">
        <f>AV64+AW64</f>
        <v>0</v>
      </c>
      <c r="BC64" s="36">
        <f>H64/(100-BD64)*100</f>
        <v>0</v>
      </c>
      <c r="BD64" s="36">
        <v>0</v>
      </c>
      <c r="BE64" s="36">
        <f>64</f>
        <v>64</v>
      </c>
      <c r="BG64" s="50">
        <f>G64*AN64</f>
        <v>0</v>
      </c>
      <c r="BH64" s="50">
        <f>G64*AO64</f>
        <v>0</v>
      </c>
      <c r="BI64" s="50">
        <f>G64*H64</f>
        <v>0</v>
      </c>
    </row>
    <row r="65" spans="1:61" ht="12.75">
      <c r="A65" s="42" t="s">
        <v>153</v>
      </c>
      <c r="B65" s="42" t="s">
        <v>340</v>
      </c>
      <c r="C65" s="184" t="s">
        <v>564</v>
      </c>
      <c r="D65" s="180"/>
      <c r="E65" s="180"/>
      <c r="F65" s="42" t="s">
        <v>750</v>
      </c>
      <c r="G65" s="50">
        <v>28</v>
      </c>
      <c r="H65" s="50">
        <v>0</v>
      </c>
      <c r="I65" s="50">
        <f>G65*AN65</f>
        <v>0</v>
      </c>
      <c r="J65" s="50">
        <f>G65*AO65</f>
        <v>0</v>
      </c>
      <c r="K65" s="50">
        <f>G65*H65</f>
        <v>0</v>
      </c>
      <c r="Y65" s="36">
        <f>IF(AP65="5",BI65,0)</f>
        <v>0</v>
      </c>
      <c r="AA65" s="36">
        <f>IF(AP65="1",BG65,0)</f>
        <v>0</v>
      </c>
      <c r="AB65" s="36">
        <f>IF(AP65="1",BH65,0)</f>
        <v>0</v>
      </c>
      <c r="AC65" s="36">
        <f>IF(AP65="7",BG65,0)</f>
        <v>0</v>
      </c>
      <c r="AD65" s="36">
        <f>IF(AP65="7",BH65,0)</f>
        <v>0</v>
      </c>
      <c r="AE65" s="36">
        <f>IF(AP65="2",BG65,0)</f>
        <v>0</v>
      </c>
      <c r="AF65" s="36">
        <f>IF(AP65="2",BH65,0)</f>
        <v>0</v>
      </c>
      <c r="AG65" s="36">
        <f>IF(AP65="0",BI65,0)</f>
        <v>0</v>
      </c>
      <c r="AH65" s="54" t="s">
        <v>70</v>
      </c>
      <c r="AI65" s="50">
        <f>IF(AM65=0,K65,0)</f>
        <v>0</v>
      </c>
      <c r="AJ65" s="50">
        <f>IF(AM65=15,K65,0)</f>
        <v>0</v>
      </c>
      <c r="AK65" s="50">
        <f>IF(AM65=21,K65,0)</f>
        <v>0</v>
      </c>
      <c r="AM65" s="36">
        <v>21</v>
      </c>
      <c r="AN65" s="36">
        <f>H65*0</f>
        <v>0</v>
      </c>
      <c r="AO65" s="36">
        <f>H65*(1-0)</f>
        <v>0</v>
      </c>
      <c r="AP65" s="55" t="s">
        <v>92</v>
      </c>
      <c r="AU65" s="36">
        <f>AV65+AW65</f>
        <v>0</v>
      </c>
      <c r="AV65" s="36">
        <f>G65*AN65</f>
        <v>0</v>
      </c>
      <c r="AW65" s="36">
        <f>G65*AO65</f>
        <v>0</v>
      </c>
      <c r="AX65" s="57" t="s">
        <v>781</v>
      </c>
      <c r="AY65" s="57" t="s">
        <v>815</v>
      </c>
      <c r="AZ65" s="54" t="s">
        <v>834</v>
      </c>
      <c r="BB65" s="36">
        <f>AV65+AW65</f>
        <v>0</v>
      </c>
      <c r="BC65" s="36">
        <f>H65/(100-BD65)*100</f>
        <v>0</v>
      </c>
      <c r="BD65" s="36">
        <v>0</v>
      </c>
      <c r="BE65" s="36">
        <f>65</f>
        <v>65</v>
      </c>
      <c r="BG65" s="50">
        <f>G65*AN65</f>
        <v>0</v>
      </c>
      <c r="BH65" s="50">
        <f>G65*AO65</f>
        <v>0</v>
      </c>
      <c r="BI65" s="50">
        <f>G65*H65</f>
        <v>0</v>
      </c>
    </row>
    <row r="66" spans="1:61" ht="12.75">
      <c r="A66" s="82" t="s">
        <v>154</v>
      </c>
      <c r="B66" s="82" t="s">
        <v>322</v>
      </c>
      <c r="C66" s="179" t="s">
        <v>541</v>
      </c>
      <c r="D66" s="180"/>
      <c r="E66" s="181"/>
      <c r="F66" s="82" t="s">
        <v>751</v>
      </c>
      <c r="G66" s="83">
        <v>3.26</v>
      </c>
      <c r="H66" s="83">
        <v>0</v>
      </c>
      <c r="I66" s="83">
        <f>G66*AN66</f>
        <v>0</v>
      </c>
      <c r="J66" s="83">
        <f>G66*AO66</f>
        <v>0</v>
      </c>
      <c r="K66" s="83">
        <f>G66*H66</f>
        <v>0</v>
      </c>
      <c r="Y66" s="36">
        <f>IF(AP66="5",BI66,0)</f>
        <v>0</v>
      </c>
      <c r="AA66" s="36">
        <f>IF(AP66="1",BG66,0)</f>
        <v>0</v>
      </c>
      <c r="AB66" s="36">
        <f>IF(AP66="1",BH66,0)</f>
        <v>0</v>
      </c>
      <c r="AC66" s="36">
        <f>IF(AP66="7",BG66,0)</f>
        <v>0</v>
      </c>
      <c r="AD66" s="36">
        <f>IF(AP66="7",BH66,0)</f>
        <v>0</v>
      </c>
      <c r="AE66" s="36">
        <f>IF(AP66="2",BG66,0)</f>
        <v>0</v>
      </c>
      <c r="AF66" s="36">
        <f>IF(AP66="2",BH66,0)</f>
        <v>0</v>
      </c>
      <c r="AG66" s="36">
        <f>IF(AP66="0",BI66,0)</f>
        <v>0</v>
      </c>
      <c r="AH66" s="54" t="s">
        <v>70</v>
      </c>
      <c r="AI66" s="50">
        <f>IF(AM66=0,K66,0)</f>
        <v>0</v>
      </c>
      <c r="AJ66" s="50">
        <f>IF(AM66=15,K66,0)</f>
        <v>0</v>
      </c>
      <c r="AK66" s="50">
        <f>IF(AM66=21,K66,0)</f>
        <v>0</v>
      </c>
      <c r="AM66" s="36">
        <v>21</v>
      </c>
      <c r="AN66" s="36">
        <f>H66*0</f>
        <v>0</v>
      </c>
      <c r="AO66" s="36">
        <f>H66*(1-0)</f>
        <v>0</v>
      </c>
      <c r="AP66" s="55" t="s">
        <v>103</v>
      </c>
      <c r="AU66" s="36">
        <f>AV66+AW66</f>
        <v>0</v>
      </c>
      <c r="AV66" s="36">
        <f>G66*AN66</f>
        <v>0</v>
      </c>
      <c r="AW66" s="36">
        <f>G66*AO66</f>
        <v>0</v>
      </c>
      <c r="AX66" s="57" t="s">
        <v>781</v>
      </c>
      <c r="AY66" s="57" t="s">
        <v>815</v>
      </c>
      <c r="AZ66" s="54" t="s">
        <v>834</v>
      </c>
      <c r="BB66" s="36">
        <f>AV66+AW66</f>
        <v>0</v>
      </c>
      <c r="BC66" s="36">
        <f>H66/(100-BD66)*100</f>
        <v>0</v>
      </c>
      <c r="BD66" s="36">
        <v>0</v>
      </c>
      <c r="BE66" s="36">
        <f>66</f>
        <v>66</v>
      </c>
      <c r="BG66" s="50">
        <f>G66*AN66</f>
        <v>0</v>
      </c>
      <c r="BH66" s="50">
        <f>G66*AO66</f>
        <v>0</v>
      </c>
      <c r="BI66" s="50">
        <f>G66*H66</f>
        <v>0</v>
      </c>
    </row>
    <row r="67" spans="1:46" ht="12.75">
      <c r="A67" s="77"/>
      <c r="B67" s="78" t="s">
        <v>176</v>
      </c>
      <c r="C67" s="176" t="s">
        <v>565</v>
      </c>
      <c r="D67" s="177"/>
      <c r="E67" s="178"/>
      <c r="F67" s="77" t="s">
        <v>68</v>
      </c>
      <c r="G67" s="77" t="s">
        <v>68</v>
      </c>
      <c r="H67" s="77" t="s">
        <v>68</v>
      </c>
      <c r="I67" s="81">
        <f>SUM(I68:I71)</f>
        <v>0</v>
      </c>
      <c r="J67" s="81">
        <f>SUM(J68:J71)</f>
        <v>0</v>
      </c>
      <c r="K67" s="81">
        <f>SUM(K68:K71)</f>
        <v>0</v>
      </c>
      <c r="AH67" s="54" t="s">
        <v>70</v>
      </c>
      <c r="AR67" s="58">
        <f>SUM(AI68:AI71)</f>
        <v>0</v>
      </c>
      <c r="AS67" s="58">
        <f>SUM(AJ68:AJ71)</f>
        <v>0</v>
      </c>
      <c r="AT67" s="58">
        <f>SUM(AK68:AK71)</f>
        <v>0</v>
      </c>
    </row>
    <row r="68" spans="1:61" ht="12.75">
      <c r="A68" s="82" t="s">
        <v>155</v>
      </c>
      <c r="B68" s="82" t="s">
        <v>341</v>
      </c>
      <c r="C68" s="179" t="s">
        <v>566</v>
      </c>
      <c r="D68" s="180"/>
      <c r="E68" s="181"/>
      <c r="F68" s="82" t="s">
        <v>749</v>
      </c>
      <c r="G68" s="83">
        <v>4</v>
      </c>
      <c r="H68" s="83">
        <v>0</v>
      </c>
      <c r="I68" s="83">
        <f>G68*AN68</f>
        <v>0</v>
      </c>
      <c r="J68" s="83">
        <f>G68*AO68</f>
        <v>0</v>
      </c>
      <c r="K68" s="83">
        <f>G68*H68</f>
        <v>0</v>
      </c>
      <c r="Y68" s="36">
        <f>IF(AP68="5",BI68,0)</f>
        <v>0</v>
      </c>
      <c r="AA68" s="36">
        <f>IF(AP68="1",BG68,0)</f>
        <v>0</v>
      </c>
      <c r="AB68" s="36">
        <f>IF(AP68="1",BH68,0)</f>
        <v>0</v>
      </c>
      <c r="AC68" s="36">
        <f>IF(AP68="7",BG68,0)</f>
        <v>0</v>
      </c>
      <c r="AD68" s="36">
        <f>IF(AP68="7",BH68,0)</f>
        <v>0</v>
      </c>
      <c r="AE68" s="36">
        <f>IF(AP68="2",BG68,0)</f>
        <v>0</v>
      </c>
      <c r="AF68" s="36">
        <f>IF(AP68="2",BH68,0)</f>
        <v>0</v>
      </c>
      <c r="AG68" s="36">
        <f>IF(AP68="0",BI68,0)</f>
        <v>0</v>
      </c>
      <c r="AH68" s="54" t="s">
        <v>70</v>
      </c>
      <c r="AI68" s="50">
        <f>IF(AM68=0,K68,0)</f>
        <v>0</v>
      </c>
      <c r="AJ68" s="50">
        <f>IF(AM68=15,K68,0)</f>
        <v>0</v>
      </c>
      <c r="AK68" s="50">
        <f>IF(AM68=21,K68,0)</f>
        <v>0</v>
      </c>
      <c r="AM68" s="36">
        <v>21</v>
      </c>
      <c r="AN68" s="36">
        <f>H68*0</f>
        <v>0</v>
      </c>
      <c r="AO68" s="36">
        <f>H68*(1-0)</f>
        <v>0</v>
      </c>
      <c r="AP68" s="55" t="s">
        <v>92</v>
      </c>
      <c r="AU68" s="36">
        <f>AV68+AW68</f>
        <v>0</v>
      </c>
      <c r="AV68" s="36">
        <f>G68*AN68</f>
        <v>0</v>
      </c>
      <c r="AW68" s="36">
        <f>G68*AO68</f>
        <v>0</v>
      </c>
      <c r="AX68" s="57" t="s">
        <v>782</v>
      </c>
      <c r="AY68" s="57" t="s">
        <v>815</v>
      </c>
      <c r="AZ68" s="54" t="s">
        <v>834</v>
      </c>
      <c r="BB68" s="36">
        <f>AV68+AW68</f>
        <v>0</v>
      </c>
      <c r="BC68" s="36">
        <f>H68/(100-BD68)*100</f>
        <v>0</v>
      </c>
      <c r="BD68" s="36">
        <v>0</v>
      </c>
      <c r="BE68" s="36">
        <f>68</f>
        <v>68</v>
      </c>
      <c r="BG68" s="50">
        <f>G68*AN68</f>
        <v>0</v>
      </c>
      <c r="BH68" s="50">
        <f>G68*AO68</f>
        <v>0</v>
      </c>
      <c r="BI68" s="50">
        <f>G68*H68</f>
        <v>0</v>
      </c>
    </row>
    <row r="69" spans="1:61" ht="12.75">
      <c r="A69" s="84" t="s">
        <v>156</v>
      </c>
      <c r="B69" s="84" t="s">
        <v>342</v>
      </c>
      <c r="C69" s="189" t="s">
        <v>567</v>
      </c>
      <c r="D69" s="186"/>
      <c r="E69" s="190"/>
      <c r="F69" s="84" t="s">
        <v>749</v>
      </c>
      <c r="G69" s="85">
        <v>3</v>
      </c>
      <c r="H69" s="85">
        <v>0</v>
      </c>
      <c r="I69" s="85">
        <f>G69*AN69</f>
        <v>0</v>
      </c>
      <c r="J69" s="85">
        <f>G69*AO69</f>
        <v>0</v>
      </c>
      <c r="K69" s="85">
        <f>G69*H69</f>
        <v>0</v>
      </c>
      <c r="Y69" s="36">
        <f>IF(AP69="5",BI69,0)</f>
        <v>0</v>
      </c>
      <c r="AA69" s="36">
        <f>IF(AP69="1",BG69,0)</f>
        <v>0</v>
      </c>
      <c r="AB69" s="36">
        <f>IF(AP69="1",BH69,0)</f>
        <v>0</v>
      </c>
      <c r="AC69" s="36">
        <f>IF(AP69="7",BG69,0)</f>
        <v>0</v>
      </c>
      <c r="AD69" s="36">
        <f>IF(AP69="7",BH69,0)</f>
        <v>0</v>
      </c>
      <c r="AE69" s="36">
        <f>IF(AP69="2",BG69,0)</f>
        <v>0</v>
      </c>
      <c r="AF69" s="36">
        <f>IF(AP69="2",BH69,0)</f>
        <v>0</v>
      </c>
      <c r="AG69" s="36">
        <f>IF(AP69="0",BI69,0)</f>
        <v>0</v>
      </c>
      <c r="AH69" s="54" t="s">
        <v>70</v>
      </c>
      <c r="AI69" s="51">
        <f>IF(AM69=0,K69,0)</f>
        <v>0</v>
      </c>
      <c r="AJ69" s="51">
        <f>IF(AM69=15,K69,0)</f>
        <v>0</v>
      </c>
      <c r="AK69" s="51">
        <f>IF(AM69=21,K69,0)</f>
        <v>0</v>
      </c>
      <c r="AM69" s="36">
        <v>21</v>
      </c>
      <c r="AN69" s="36">
        <f>H69*1</f>
        <v>0</v>
      </c>
      <c r="AO69" s="36">
        <f>H69*(1-1)</f>
        <v>0</v>
      </c>
      <c r="AP69" s="56" t="s">
        <v>92</v>
      </c>
      <c r="AU69" s="36">
        <f>AV69+AW69</f>
        <v>0</v>
      </c>
      <c r="AV69" s="36">
        <f>G69*AN69</f>
        <v>0</v>
      </c>
      <c r="AW69" s="36">
        <f>G69*AO69</f>
        <v>0</v>
      </c>
      <c r="AX69" s="57" t="s">
        <v>782</v>
      </c>
      <c r="AY69" s="57" t="s">
        <v>815</v>
      </c>
      <c r="AZ69" s="54" t="s">
        <v>834</v>
      </c>
      <c r="BB69" s="36">
        <f>AV69+AW69</f>
        <v>0</v>
      </c>
      <c r="BC69" s="36">
        <f>H69/(100-BD69)*100</f>
        <v>0</v>
      </c>
      <c r="BD69" s="36">
        <v>0</v>
      </c>
      <c r="BE69" s="36">
        <f>69</f>
        <v>69</v>
      </c>
      <c r="BG69" s="51">
        <f>G69*AN69</f>
        <v>0</v>
      </c>
      <c r="BH69" s="51">
        <f>G69*AO69</f>
        <v>0</v>
      </c>
      <c r="BI69" s="51">
        <f>G69*H69</f>
        <v>0</v>
      </c>
    </row>
    <row r="70" spans="1:61" ht="12.75">
      <c r="A70" s="84" t="s">
        <v>157</v>
      </c>
      <c r="B70" s="84" t="s">
        <v>343</v>
      </c>
      <c r="C70" s="189" t="s">
        <v>568</v>
      </c>
      <c r="D70" s="186"/>
      <c r="E70" s="190"/>
      <c r="F70" s="84" t="s">
        <v>749</v>
      </c>
      <c r="G70" s="85">
        <v>1</v>
      </c>
      <c r="H70" s="85">
        <v>0</v>
      </c>
      <c r="I70" s="85">
        <f>G70*AN70</f>
        <v>0</v>
      </c>
      <c r="J70" s="85">
        <f>G70*AO70</f>
        <v>0</v>
      </c>
      <c r="K70" s="85">
        <f>G70*H70</f>
        <v>0</v>
      </c>
      <c r="Y70" s="36">
        <f>IF(AP70="5",BI70,0)</f>
        <v>0</v>
      </c>
      <c r="AA70" s="36">
        <f>IF(AP70="1",BG70,0)</f>
        <v>0</v>
      </c>
      <c r="AB70" s="36">
        <f>IF(AP70="1",BH70,0)</f>
        <v>0</v>
      </c>
      <c r="AC70" s="36">
        <f>IF(AP70="7",BG70,0)</f>
        <v>0</v>
      </c>
      <c r="AD70" s="36">
        <f>IF(AP70="7",BH70,0)</f>
        <v>0</v>
      </c>
      <c r="AE70" s="36">
        <f>IF(AP70="2",BG70,0)</f>
        <v>0</v>
      </c>
      <c r="AF70" s="36">
        <f>IF(AP70="2",BH70,0)</f>
        <v>0</v>
      </c>
      <c r="AG70" s="36">
        <f>IF(AP70="0",BI70,0)</f>
        <v>0</v>
      </c>
      <c r="AH70" s="54" t="s">
        <v>70</v>
      </c>
      <c r="AI70" s="51">
        <f>IF(AM70=0,K70,0)</f>
        <v>0</v>
      </c>
      <c r="AJ70" s="51">
        <f>IF(AM70=15,K70,0)</f>
        <v>0</v>
      </c>
      <c r="AK70" s="51">
        <f>IF(AM70=21,K70,0)</f>
        <v>0</v>
      </c>
      <c r="AM70" s="36">
        <v>21</v>
      </c>
      <c r="AN70" s="36">
        <f>H70*1</f>
        <v>0</v>
      </c>
      <c r="AO70" s="36">
        <f>H70*(1-1)</f>
        <v>0</v>
      </c>
      <c r="AP70" s="56" t="s">
        <v>92</v>
      </c>
      <c r="AU70" s="36">
        <f>AV70+AW70</f>
        <v>0</v>
      </c>
      <c r="AV70" s="36">
        <f>G70*AN70</f>
        <v>0</v>
      </c>
      <c r="AW70" s="36">
        <f>G70*AO70</f>
        <v>0</v>
      </c>
      <c r="AX70" s="57" t="s">
        <v>782</v>
      </c>
      <c r="AY70" s="57" t="s">
        <v>815</v>
      </c>
      <c r="AZ70" s="54" t="s">
        <v>834</v>
      </c>
      <c r="BB70" s="36">
        <f>AV70+AW70</f>
        <v>0</v>
      </c>
      <c r="BC70" s="36">
        <f>H70/(100-BD70)*100</f>
        <v>0</v>
      </c>
      <c r="BD70" s="36">
        <v>0</v>
      </c>
      <c r="BE70" s="36">
        <f>70</f>
        <v>70</v>
      </c>
      <c r="BG70" s="51">
        <f>G70*AN70</f>
        <v>0</v>
      </c>
      <c r="BH70" s="51">
        <f>G70*AO70</f>
        <v>0</v>
      </c>
      <c r="BI70" s="51">
        <f>G70*H70</f>
        <v>0</v>
      </c>
    </row>
    <row r="71" spans="1:61" ht="12.75">
      <c r="A71" s="82" t="s">
        <v>158</v>
      </c>
      <c r="B71" s="82" t="s">
        <v>322</v>
      </c>
      <c r="C71" s="179" t="s">
        <v>541</v>
      </c>
      <c r="D71" s="180"/>
      <c r="E71" s="181"/>
      <c r="F71" s="82" t="s">
        <v>751</v>
      </c>
      <c r="G71" s="83">
        <v>0.56</v>
      </c>
      <c r="H71" s="83">
        <v>0</v>
      </c>
      <c r="I71" s="83">
        <f>G71*AN71</f>
        <v>0</v>
      </c>
      <c r="J71" s="83">
        <f>G71*AO71</f>
        <v>0</v>
      </c>
      <c r="K71" s="83">
        <f>G71*H71</f>
        <v>0</v>
      </c>
      <c r="Y71" s="36">
        <f>IF(AP71="5",BI71,0)</f>
        <v>0</v>
      </c>
      <c r="AA71" s="36">
        <f>IF(AP71="1",BG71,0)</f>
        <v>0</v>
      </c>
      <c r="AB71" s="36">
        <f>IF(AP71="1",BH71,0)</f>
        <v>0</v>
      </c>
      <c r="AC71" s="36">
        <f>IF(AP71="7",BG71,0)</f>
        <v>0</v>
      </c>
      <c r="AD71" s="36">
        <f>IF(AP71="7",BH71,0)</f>
        <v>0</v>
      </c>
      <c r="AE71" s="36">
        <f>IF(AP71="2",BG71,0)</f>
        <v>0</v>
      </c>
      <c r="AF71" s="36">
        <f>IF(AP71="2",BH71,0)</f>
        <v>0</v>
      </c>
      <c r="AG71" s="36">
        <f>IF(AP71="0",BI71,0)</f>
        <v>0</v>
      </c>
      <c r="AH71" s="54" t="s">
        <v>70</v>
      </c>
      <c r="AI71" s="50">
        <f>IF(AM71=0,K71,0)</f>
        <v>0</v>
      </c>
      <c r="AJ71" s="50">
        <f>IF(AM71=15,K71,0)</f>
        <v>0</v>
      </c>
      <c r="AK71" s="50">
        <f>IF(AM71=21,K71,0)</f>
        <v>0</v>
      </c>
      <c r="AM71" s="36">
        <v>21</v>
      </c>
      <c r="AN71" s="36">
        <f>H71*0</f>
        <v>0</v>
      </c>
      <c r="AO71" s="36">
        <f>H71*(1-0)</f>
        <v>0</v>
      </c>
      <c r="AP71" s="55" t="s">
        <v>103</v>
      </c>
      <c r="AU71" s="36">
        <f>AV71+AW71</f>
        <v>0</v>
      </c>
      <c r="AV71" s="36">
        <f>G71*AN71</f>
        <v>0</v>
      </c>
      <c r="AW71" s="36">
        <f>G71*AO71</f>
        <v>0</v>
      </c>
      <c r="AX71" s="57" t="s">
        <v>782</v>
      </c>
      <c r="AY71" s="57" t="s">
        <v>815</v>
      </c>
      <c r="AZ71" s="54" t="s">
        <v>834</v>
      </c>
      <c r="BB71" s="36">
        <f>AV71+AW71</f>
        <v>0</v>
      </c>
      <c r="BC71" s="36">
        <f>H71/(100-BD71)*100</f>
        <v>0</v>
      </c>
      <c r="BD71" s="36">
        <v>0</v>
      </c>
      <c r="BE71" s="36">
        <f>71</f>
        <v>71</v>
      </c>
      <c r="BG71" s="50">
        <f>G71*AN71</f>
        <v>0</v>
      </c>
      <c r="BH71" s="50">
        <f>G71*AO71</f>
        <v>0</v>
      </c>
      <c r="BI71" s="50">
        <f>G71*H71</f>
        <v>0</v>
      </c>
    </row>
    <row r="72" spans="1:46" ht="12.75">
      <c r="A72" s="77"/>
      <c r="B72" s="78" t="s">
        <v>344</v>
      </c>
      <c r="C72" s="176" t="s">
        <v>569</v>
      </c>
      <c r="D72" s="177"/>
      <c r="E72" s="178"/>
      <c r="F72" s="77" t="s">
        <v>68</v>
      </c>
      <c r="G72" s="77" t="s">
        <v>68</v>
      </c>
      <c r="H72" s="77" t="s">
        <v>68</v>
      </c>
      <c r="I72" s="81">
        <f>SUM(I73:I76)</f>
        <v>0</v>
      </c>
      <c r="J72" s="81">
        <f>SUM(J73:J76)</f>
        <v>0</v>
      </c>
      <c r="K72" s="81">
        <f>SUM(K73:K76)</f>
        <v>0</v>
      </c>
      <c r="AH72" s="54" t="s">
        <v>70</v>
      </c>
      <c r="AR72" s="58">
        <f>SUM(AI73:AI76)</f>
        <v>0</v>
      </c>
      <c r="AS72" s="58">
        <f>SUM(AJ73:AJ76)</f>
        <v>0</v>
      </c>
      <c r="AT72" s="58">
        <f>SUM(AK73:AK76)</f>
        <v>0</v>
      </c>
    </row>
    <row r="73" spans="1:61" ht="12.75">
      <c r="A73" s="82" t="s">
        <v>159</v>
      </c>
      <c r="B73" s="82" t="s">
        <v>345</v>
      </c>
      <c r="C73" s="179" t="s">
        <v>570</v>
      </c>
      <c r="D73" s="180"/>
      <c r="E73" s="181"/>
      <c r="F73" s="82" t="s">
        <v>750</v>
      </c>
      <c r="G73" s="83">
        <v>35.26</v>
      </c>
      <c r="H73" s="83">
        <v>0</v>
      </c>
      <c r="I73" s="83">
        <f>G73*AN73</f>
        <v>0</v>
      </c>
      <c r="J73" s="83">
        <f>G73*AO73</f>
        <v>0</v>
      </c>
      <c r="K73" s="83">
        <f>G73*H73</f>
        <v>0</v>
      </c>
      <c r="Y73" s="36">
        <f>IF(AP73="5",BI73,0)</f>
        <v>0</v>
      </c>
      <c r="AA73" s="36">
        <f>IF(AP73="1",BG73,0)</f>
        <v>0</v>
      </c>
      <c r="AB73" s="36">
        <f>IF(AP73="1",BH73,0)</f>
        <v>0</v>
      </c>
      <c r="AC73" s="36">
        <f>IF(AP73="7",BG73,0)</f>
        <v>0</v>
      </c>
      <c r="AD73" s="36">
        <f>IF(AP73="7",BH73,0)</f>
        <v>0</v>
      </c>
      <c r="AE73" s="36">
        <f>IF(AP73="2",BG73,0)</f>
        <v>0</v>
      </c>
      <c r="AF73" s="36">
        <f>IF(AP73="2",BH73,0)</f>
        <v>0</v>
      </c>
      <c r="AG73" s="36">
        <f>IF(AP73="0",BI73,0)</f>
        <v>0</v>
      </c>
      <c r="AH73" s="54" t="s">
        <v>70</v>
      </c>
      <c r="AI73" s="50">
        <f>IF(AM73=0,K73,0)</f>
        <v>0</v>
      </c>
      <c r="AJ73" s="50">
        <f>IF(AM73=15,K73,0)</f>
        <v>0</v>
      </c>
      <c r="AK73" s="50">
        <f>IF(AM73=21,K73,0)</f>
        <v>0</v>
      </c>
      <c r="AM73" s="36">
        <v>21</v>
      </c>
      <c r="AN73" s="36">
        <f>H73*0.561537294826511</f>
        <v>0</v>
      </c>
      <c r="AO73" s="36">
        <f>H73*(1-0.561537294826511)</f>
        <v>0</v>
      </c>
      <c r="AP73" s="55" t="s">
        <v>121</v>
      </c>
      <c r="AU73" s="36">
        <f>AV73+AW73</f>
        <v>0</v>
      </c>
      <c r="AV73" s="36">
        <f>G73*AN73</f>
        <v>0</v>
      </c>
      <c r="AW73" s="36">
        <f>G73*AO73</f>
        <v>0</v>
      </c>
      <c r="AX73" s="57" t="s">
        <v>783</v>
      </c>
      <c r="AY73" s="57" t="s">
        <v>816</v>
      </c>
      <c r="AZ73" s="54" t="s">
        <v>834</v>
      </c>
      <c r="BB73" s="36">
        <f>AV73+AW73</f>
        <v>0</v>
      </c>
      <c r="BC73" s="36">
        <f>H73/(100-BD73)*100</f>
        <v>0</v>
      </c>
      <c r="BD73" s="36">
        <v>0</v>
      </c>
      <c r="BE73" s="36">
        <f>73</f>
        <v>73</v>
      </c>
      <c r="BG73" s="50">
        <f>G73*AN73</f>
        <v>0</v>
      </c>
      <c r="BH73" s="50">
        <f>G73*AO73</f>
        <v>0</v>
      </c>
      <c r="BI73" s="50">
        <f>G73*H73</f>
        <v>0</v>
      </c>
    </row>
    <row r="74" spans="1:61" ht="12.75">
      <c r="A74" s="82" t="s">
        <v>160</v>
      </c>
      <c r="B74" s="82" t="s">
        <v>346</v>
      </c>
      <c r="C74" s="179" t="s">
        <v>571</v>
      </c>
      <c r="D74" s="180"/>
      <c r="E74" s="181"/>
      <c r="F74" s="82" t="s">
        <v>750</v>
      </c>
      <c r="G74" s="83">
        <v>35.26</v>
      </c>
      <c r="H74" s="83">
        <v>0</v>
      </c>
      <c r="I74" s="83">
        <f>G74*AN74</f>
        <v>0</v>
      </c>
      <c r="J74" s="83">
        <f>G74*AO74</f>
        <v>0</v>
      </c>
      <c r="K74" s="83">
        <f>G74*H74</f>
        <v>0</v>
      </c>
      <c r="Y74" s="36">
        <f>IF(AP74="5",BI74,0)</f>
        <v>0</v>
      </c>
      <c r="AA74" s="36">
        <f>IF(AP74="1",BG74,0)</f>
        <v>0</v>
      </c>
      <c r="AB74" s="36">
        <f>IF(AP74="1",BH74,0)</f>
        <v>0</v>
      </c>
      <c r="AC74" s="36">
        <f>IF(AP74="7",BG74,0)</f>
        <v>0</v>
      </c>
      <c r="AD74" s="36">
        <f>IF(AP74="7",BH74,0)</f>
        <v>0</v>
      </c>
      <c r="AE74" s="36">
        <f>IF(AP74="2",BG74,0)</f>
        <v>0</v>
      </c>
      <c r="AF74" s="36">
        <f>IF(AP74="2",BH74,0)</f>
        <v>0</v>
      </c>
      <c r="AG74" s="36">
        <f>IF(AP74="0",BI74,0)</f>
        <v>0</v>
      </c>
      <c r="AH74" s="54" t="s">
        <v>70</v>
      </c>
      <c r="AI74" s="50">
        <f>IF(AM74=0,K74,0)</f>
        <v>0</v>
      </c>
      <c r="AJ74" s="50">
        <f>IF(AM74=15,K74,0)</f>
        <v>0</v>
      </c>
      <c r="AK74" s="50">
        <f>IF(AM74=21,K74,0)</f>
        <v>0</v>
      </c>
      <c r="AM74" s="36">
        <v>21</v>
      </c>
      <c r="AN74" s="36">
        <f>H74*0.0695327102803738</f>
        <v>0</v>
      </c>
      <c r="AO74" s="36">
        <f>H74*(1-0.0695327102803738)</f>
        <v>0</v>
      </c>
      <c r="AP74" s="55" t="s">
        <v>121</v>
      </c>
      <c r="AU74" s="36">
        <f>AV74+AW74</f>
        <v>0</v>
      </c>
      <c r="AV74" s="36">
        <f>G74*AN74</f>
        <v>0</v>
      </c>
      <c r="AW74" s="36">
        <f>G74*AO74</f>
        <v>0</v>
      </c>
      <c r="AX74" s="57" t="s">
        <v>783</v>
      </c>
      <c r="AY74" s="57" t="s">
        <v>816</v>
      </c>
      <c r="AZ74" s="54" t="s">
        <v>834</v>
      </c>
      <c r="BB74" s="36">
        <f>AV74+AW74</f>
        <v>0</v>
      </c>
      <c r="BC74" s="36">
        <f>H74/(100-BD74)*100</f>
        <v>0</v>
      </c>
      <c r="BD74" s="36">
        <v>0</v>
      </c>
      <c r="BE74" s="36">
        <f>74</f>
        <v>74</v>
      </c>
      <c r="BG74" s="50">
        <f>G74*AN74</f>
        <v>0</v>
      </c>
      <c r="BH74" s="50">
        <f>G74*AO74</f>
        <v>0</v>
      </c>
      <c r="BI74" s="50">
        <f>G74*H74</f>
        <v>0</v>
      </c>
    </row>
    <row r="75" spans="1:61" ht="12.75">
      <c r="A75" s="84" t="s">
        <v>161</v>
      </c>
      <c r="B75" s="84" t="s">
        <v>347</v>
      </c>
      <c r="C75" s="189" t="s">
        <v>572</v>
      </c>
      <c r="D75" s="186"/>
      <c r="E75" s="190"/>
      <c r="F75" s="84" t="s">
        <v>750</v>
      </c>
      <c r="G75" s="85">
        <v>39.49</v>
      </c>
      <c r="H75" s="85">
        <v>0</v>
      </c>
      <c r="I75" s="85">
        <f>G75*AN75</f>
        <v>0</v>
      </c>
      <c r="J75" s="85">
        <f>G75*AO75</f>
        <v>0</v>
      </c>
      <c r="K75" s="85">
        <f>G75*H75</f>
        <v>0</v>
      </c>
      <c r="Y75" s="36">
        <f>IF(AP75="5",BI75,0)</f>
        <v>0</v>
      </c>
      <c r="AA75" s="36">
        <f>IF(AP75="1",BG75,0)</f>
        <v>0</v>
      </c>
      <c r="AB75" s="36">
        <f>IF(AP75="1",BH75,0)</f>
        <v>0</v>
      </c>
      <c r="AC75" s="36">
        <f>IF(AP75="7",BG75,0)</f>
        <v>0</v>
      </c>
      <c r="AD75" s="36">
        <f>IF(AP75="7",BH75,0)</f>
        <v>0</v>
      </c>
      <c r="AE75" s="36">
        <f>IF(AP75="2",BG75,0)</f>
        <v>0</v>
      </c>
      <c r="AF75" s="36">
        <f>IF(AP75="2",BH75,0)</f>
        <v>0</v>
      </c>
      <c r="AG75" s="36">
        <f>IF(AP75="0",BI75,0)</f>
        <v>0</v>
      </c>
      <c r="AH75" s="54" t="s">
        <v>70</v>
      </c>
      <c r="AI75" s="51">
        <f>IF(AM75=0,K75,0)</f>
        <v>0</v>
      </c>
      <c r="AJ75" s="51">
        <f>IF(AM75=15,K75,0)</f>
        <v>0</v>
      </c>
      <c r="AK75" s="51">
        <f>IF(AM75=21,K75,0)</f>
        <v>0</v>
      </c>
      <c r="AM75" s="36">
        <v>21</v>
      </c>
      <c r="AN75" s="36">
        <f>H75*1</f>
        <v>0</v>
      </c>
      <c r="AO75" s="36">
        <f>H75*(1-1)</f>
        <v>0</v>
      </c>
      <c r="AP75" s="56" t="s">
        <v>121</v>
      </c>
      <c r="AU75" s="36">
        <f>AV75+AW75</f>
        <v>0</v>
      </c>
      <c r="AV75" s="36">
        <f>G75*AN75</f>
        <v>0</v>
      </c>
      <c r="AW75" s="36">
        <f>G75*AO75</f>
        <v>0</v>
      </c>
      <c r="AX75" s="57" t="s">
        <v>783</v>
      </c>
      <c r="AY75" s="57" t="s">
        <v>816</v>
      </c>
      <c r="AZ75" s="54" t="s">
        <v>834</v>
      </c>
      <c r="BB75" s="36">
        <f>AV75+AW75</f>
        <v>0</v>
      </c>
      <c r="BC75" s="36">
        <f>H75/(100-BD75)*100</f>
        <v>0</v>
      </c>
      <c r="BD75" s="36">
        <v>0</v>
      </c>
      <c r="BE75" s="36">
        <f>75</f>
        <v>75</v>
      </c>
      <c r="BG75" s="51">
        <f>G75*AN75</f>
        <v>0</v>
      </c>
      <c r="BH75" s="51">
        <f>G75*AO75</f>
        <v>0</v>
      </c>
      <c r="BI75" s="51">
        <f>G75*H75</f>
        <v>0</v>
      </c>
    </row>
    <row r="76" spans="1:61" ht="12.75">
      <c r="A76" s="79" t="s">
        <v>162</v>
      </c>
      <c r="B76" s="79" t="s">
        <v>348</v>
      </c>
      <c r="C76" s="182" t="s">
        <v>573</v>
      </c>
      <c r="D76" s="180"/>
      <c r="E76" s="183"/>
      <c r="F76" s="79" t="s">
        <v>751</v>
      </c>
      <c r="G76" s="80">
        <v>0.2</v>
      </c>
      <c r="H76" s="80">
        <v>0</v>
      </c>
      <c r="I76" s="80">
        <f>G76*AN76</f>
        <v>0</v>
      </c>
      <c r="J76" s="80">
        <f>G76*AO76</f>
        <v>0</v>
      </c>
      <c r="K76" s="80">
        <f>G76*H76</f>
        <v>0</v>
      </c>
      <c r="Y76" s="36">
        <f>IF(AP76="5",BI76,0)</f>
        <v>0</v>
      </c>
      <c r="AA76" s="36">
        <f>IF(AP76="1",BG76,0)</f>
        <v>0</v>
      </c>
      <c r="AB76" s="36">
        <f>IF(AP76="1",BH76,0)</f>
        <v>0</v>
      </c>
      <c r="AC76" s="36">
        <f>IF(AP76="7",BG76,0)</f>
        <v>0</v>
      </c>
      <c r="AD76" s="36">
        <f>IF(AP76="7",BH76,0)</f>
        <v>0</v>
      </c>
      <c r="AE76" s="36">
        <f>IF(AP76="2",BG76,0)</f>
        <v>0</v>
      </c>
      <c r="AF76" s="36">
        <f>IF(AP76="2",BH76,0)</f>
        <v>0</v>
      </c>
      <c r="AG76" s="36">
        <f>IF(AP76="0",BI76,0)</f>
        <v>0</v>
      </c>
      <c r="AH76" s="54" t="s">
        <v>70</v>
      </c>
      <c r="AI76" s="50">
        <f>IF(AM76=0,K76,0)</f>
        <v>0</v>
      </c>
      <c r="AJ76" s="50">
        <f>IF(AM76=15,K76,0)</f>
        <v>0</v>
      </c>
      <c r="AK76" s="50">
        <f>IF(AM76=21,K76,0)</f>
        <v>0</v>
      </c>
      <c r="AM76" s="36">
        <v>21</v>
      </c>
      <c r="AN76" s="36">
        <f>H76*0</f>
        <v>0</v>
      </c>
      <c r="AO76" s="36">
        <f>H76*(1-0)</f>
        <v>0</v>
      </c>
      <c r="AP76" s="55" t="s">
        <v>103</v>
      </c>
      <c r="AU76" s="36">
        <f>AV76+AW76</f>
        <v>0</v>
      </c>
      <c r="AV76" s="36">
        <f>G76*AN76</f>
        <v>0</v>
      </c>
      <c r="AW76" s="36">
        <f>G76*AO76</f>
        <v>0</v>
      </c>
      <c r="AX76" s="57" t="s">
        <v>783</v>
      </c>
      <c r="AY76" s="57" t="s">
        <v>816</v>
      </c>
      <c r="AZ76" s="54" t="s">
        <v>834</v>
      </c>
      <c r="BB76" s="36">
        <f>AV76+AW76</f>
        <v>0</v>
      </c>
      <c r="BC76" s="36">
        <f>H76/(100-BD76)*100</f>
        <v>0</v>
      </c>
      <c r="BD76" s="36">
        <v>0</v>
      </c>
      <c r="BE76" s="36">
        <f>76</f>
        <v>76</v>
      </c>
      <c r="BG76" s="50">
        <f>G76*AN76</f>
        <v>0</v>
      </c>
      <c r="BH76" s="50">
        <f>G76*AO76</f>
        <v>0</v>
      </c>
      <c r="BI76" s="50">
        <f>G76*H76</f>
        <v>0</v>
      </c>
    </row>
    <row r="77" spans="1:46" ht="12.75">
      <c r="A77" s="41"/>
      <c r="B77" s="47" t="s">
        <v>349</v>
      </c>
      <c r="C77" s="191" t="s">
        <v>574</v>
      </c>
      <c r="D77" s="177"/>
      <c r="E77" s="177"/>
      <c r="F77" s="41" t="s">
        <v>68</v>
      </c>
      <c r="G77" s="41" t="s">
        <v>68</v>
      </c>
      <c r="H77" s="41" t="s">
        <v>68</v>
      </c>
      <c r="I77" s="58">
        <f>SUM(I78:I80)</f>
        <v>0</v>
      </c>
      <c r="J77" s="58">
        <f>SUM(J78:J80)</f>
        <v>0</v>
      </c>
      <c r="K77" s="58">
        <f>SUM(K78:K80)</f>
        <v>0</v>
      </c>
      <c r="AH77" s="54" t="s">
        <v>70</v>
      </c>
      <c r="AR77" s="58">
        <f>SUM(AI78:AI80)</f>
        <v>0</v>
      </c>
      <c r="AS77" s="58">
        <f>SUM(AJ78:AJ80)</f>
        <v>0</v>
      </c>
      <c r="AT77" s="58">
        <f>SUM(AK78:AK80)</f>
        <v>0</v>
      </c>
    </row>
    <row r="78" spans="1:61" ht="12.75">
      <c r="A78" s="42" t="s">
        <v>163</v>
      </c>
      <c r="B78" s="42" t="s">
        <v>350</v>
      </c>
      <c r="C78" s="184" t="s">
        <v>575</v>
      </c>
      <c r="D78" s="180"/>
      <c r="E78" s="180"/>
      <c r="F78" s="42" t="s">
        <v>750</v>
      </c>
      <c r="G78" s="50">
        <v>39.42</v>
      </c>
      <c r="H78" s="50">
        <v>0</v>
      </c>
      <c r="I78" s="50">
        <f>G78*AN78</f>
        <v>0</v>
      </c>
      <c r="J78" s="50">
        <f>G78*AO78</f>
        <v>0</v>
      </c>
      <c r="K78" s="50">
        <f>G78*H78</f>
        <v>0</v>
      </c>
      <c r="Y78" s="36">
        <f>IF(AP78="5",BI78,0)</f>
        <v>0</v>
      </c>
      <c r="AA78" s="36">
        <f>IF(AP78="1",BG78,0)</f>
        <v>0</v>
      </c>
      <c r="AB78" s="36">
        <f>IF(AP78="1",BH78,0)</f>
        <v>0</v>
      </c>
      <c r="AC78" s="36">
        <f>IF(AP78="7",BG78,0)</f>
        <v>0</v>
      </c>
      <c r="AD78" s="36">
        <f>IF(AP78="7",BH78,0)</f>
        <v>0</v>
      </c>
      <c r="AE78" s="36">
        <f>IF(AP78="2",BG78,0)</f>
        <v>0</v>
      </c>
      <c r="AF78" s="36">
        <f>IF(AP78="2",BH78,0)</f>
        <v>0</v>
      </c>
      <c r="AG78" s="36">
        <f>IF(AP78="0",BI78,0)</f>
        <v>0</v>
      </c>
      <c r="AH78" s="54" t="s">
        <v>70</v>
      </c>
      <c r="AI78" s="50">
        <f>IF(AM78=0,K78,0)</f>
        <v>0</v>
      </c>
      <c r="AJ78" s="50">
        <f>IF(AM78=15,K78,0)</f>
        <v>0</v>
      </c>
      <c r="AK78" s="50">
        <f>IF(AM78=21,K78,0)</f>
        <v>0</v>
      </c>
      <c r="AM78" s="36">
        <v>21</v>
      </c>
      <c r="AN78" s="36">
        <f>H78*0.600086358512666</f>
        <v>0</v>
      </c>
      <c r="AO78" s="36">
        <f>H78*(1-0.600086358512666)</f>
        <v>0</v>
      </c>
      <c r="AP78" s="55" t="s">
        <v>121</v>
      </c>
      <c r="AU78" s="36">
        <f>AV78+AW78</f>
        <v>0</v>
      </c>
      <c r="AV78" s="36">
        <f>G78*AN78</f>
        <v>0</v>
      </c>
      <c r="AW78" s="36">
        <f>G78*AO78</f>
        <v>0</v>
      </c>
      <c r="AX78" s="57" t="s">
        <v>784</v>
      </c>
      <c r="AY78" s="57" t="s">
        <v>816</v>
      </c>
      <c r="AZ78" s="54" t="s">
        <v>834</v>
      </c>
      <c r="BB78" s="36">
        <f>AV78+AW78</f>
        <v>0</v>
      </c>
      <c r="BC78" s="36">
        <f>H78/(100-BD78)*100</f>
        <v>0</v>
      </c>
      <c r="BD78" s="36">
        <v>0</v>
      </c>
      <c r="BE78" s="36">
        <f>78</f>
        <v>78</v>
      </c>
      <c r="BG78" s="50">
        <f>G78*AN78</f>
        <v>0</v>
      </c>
      <c r="BH78" s="50">
        <f>G78*AO78</f>
        <v>0</v>
      </c>
      <c r="BI78" s="50">
        <f>G78*H78</f>
        <v>0</v>
      </c>
    </row>
    <row r="79" spans="1:61" ht="12.75">
      <c r="A79" s="43" t="s">
        <v>164</v>
      </c>
      <c r="B79" s="43" t="s">
        <v>351</v>
      </c>
      <c r="C79" s="185" t="s">
        <v>576</v>
      </c>
      <c r="D79" s="186"/>
      <c r="E79" s="186"/>
      <c r="F79" s="43" t="s">
        <v>750</v>
      </c>
      <c r="G79" s="51">
        <v>45.33</v>
      </c>
      <c r="H79" s="51">
        <v>0</v>
      </c>
      <c r="I79" s="51">
        <f>G79*AN79</f>
        <v>0</v>
      </c>
      <c r="J79" s="51">
        <f>G79*AO79</f>
        <v>0</v>
      </c>
      <c r="K79" s="51">
        <f>G79*H79</f>
        <v>0</v>
      </c>
      <c r="Y79" s="36">
        <f>IF(AP79="5",BI79,0)</f>
        <v>0</v>
      </c>
      <c r="AA79" s="36">
        <f>IF(AP79="1",BG79,0)</f>
        <v>0</v>
      </c>
      <c r="AB79" s="36">
        <f>IF(AP79="1",BH79,0)</f>
        <v>0</v>
      </c>
      <c r="AC79" s="36">
        <f>IF(AP79="7",BG79,0)</f>
        <v>0</v>
      </c>
      <c r="AD79" s="36">
        <f>IF(AP79="7",BH79,0)</f>
        <v>0</v>
      </c>
      <c r="AE79" s="36">
        <f>IF(AP79="2",BG79,0)</f>
        <v>0</v>
      </c>
      <c r="AF79" s="36">
        <f>IF(AP79="2",BH79,0)</f>
        <v>0</v>
      </c>
      <c r="AG79" s="36">
        <f>IF(AP79="0",BI79,0)</f>
        <v>0</v>
      </c>
      <c r="AH79" s="54" t="s">
        <v>70</v>
      </c>
      <c r="AI79" s="51">
        <f>IF(AM79=0,K79,0)</f>
        <v>0</v>
      </c>
      <c r="AJ79" s="51">
        <f>IF(AM79=15,K79,0)</f>
        <v>0</v>
      </c>
      <c r="AK79" s="51">
        <f>IF(AM79=21,K79,0)</f>
        <v>0</v>
      </c>
      <c r="AM79" s="36">
        <v>21</v>
      </c>
      <c r="AN79" s="36">
        <f>H79*1</f>
        <v>0</v>
      </c>
      <c r="AO79" s="36">
        <f>H79*(1-1)</f>
        <v>0</v>
      </c>
      <c r="AP79" s="56" t="s">
        <v>121</v>
      </c>
      <c r="AU79" s="36">
        <f>AV79+AW79</f>
        <v>0</v>
      </c>
      <c r="AV79" s="36">
        <f>G79*AN79</f>
        <v>0</v>
      </c>
      <c r="AW79" s="36">
        <f>G79*AO79</f>
        <v>0</v>
      </c>
      <c r="AX79" s="57" t="s">
        <v>784</v>
      </c>
      <c r="AY79" s="57" t="s">
        <v>816</v>
      </c>
      <c r="AZ79" s="54" t="s">
        <v>834</v>
      </c>
      <c r="BB79" s="36">
        <f>AV79+AW79</f>
        <v>0</v>
      </c>
      <c r="BC79" s="36">
        <f>H79/(100-BD79)*100</f>
        <v>0</v>
      </c>
      <c r="BD79" s="36">
        <v>0</v>
      </c>
      <c r="BE79" s="36">
        <f>79</f>
        <v>79</v>
      </c>
      <c r="BG79" s="51">
        <f>G79*AN79</f>
        <v>0</v>
      </c>
      <c r="BH79" s="51">
        <f>G79*AO79</f>
        <v>0</v>
      </c>
      <c r="BI79" s="51">
        <f>G79*H79</f>
        <v>0</v>
      </c>
    </row>
    <row r="80" spans="1:61" ht="12.75">
      <c r="A80" s="42" t="s">
        <v>165</v>
      </c>
      <c r="B80" s="42" t="s">
        <v>352</v>
      </c>
      <c r="C80" s="184" t="s">
        <v>577</v>
      </c>
      <c r="D80" s="180"/>
      <c r="E80" s="180"/>
      <c r="F80" s="42" t="s">
        <v>751</v>
      </c>
      <c r="G80" s="50">
        <v>0.01</v>
      </c>
      <c r="H80" s="50">
        <v>0</v>
      </c>
      <c r="I80" s="50">
        <f>G80*AN80</f>
        <v>0</v>
      </c>
      <c r="J80" s="50">
        <f>G80*AO80</f>
        <v>0</v>
      </c>
      <c r="K80" s="50">
        <f>G80*H80</f>
        <v>0</v>
      </c>
      <c r="Y80" s="36">
        <f>IF(AP80="5",BI80,0)</f>
        <v>0</v>
      </c>
      <c r="AA80" s="36">
        <f>IF(AP80="1",BG80,0)</f>
        <v>0</v>
      </c>
      <c r="AB80" s="36">
        <f>IF(AP80="1",BH80,0)</f>
        <v>0</v>
      </c>
      <c r="AC80" s="36">
        <f>IF(AP80="7",BG80,0)</f>
        <v>0</v>
      </c>
      <c r="AD80" s="36">
        <f>IF(AP80="7",BH80,0)</f>
        <v>0</v>
      </c>
      <c r="AE80" s="36">
        <f>IF(AP80="2",BG80,0)</f>
        <v>0</v>
      </c>
      <c r="AF80" s="36">
        <f>IF(AP80="2",BH80,0)</f>
        <v>0</v>
      </c>
      <c r="AG80" s="36">
        <f>IF(AP80="0",BI80,0)</f>
        <v>0</v>
      </c>
      <c r="AH80" s="54" t="s">
        <v>70</v>
      </c>
      <c r="AI80" s="50">
        <f>IF(AM80=0,K80,0)</f>
        <v>0</v>
      </c>
      <c r="AJ80" s="50">
        <f>IF(AM80=15,K80,0)</f>
        <v>0</v>
      </c>
      <c r="AK80" s="50">
        <f>IF(AM80=21,K80,0)</f>
        <v>0</v>
      </c>
      <c r="AM80" s="36">
        <v>21</v>
      </c>
      <c r="AN80" s="36">
        <f>H80*0</f>
        <v>0</v>
      </c>
      <c r="AO80" s="36">
        <f>H80*(1-0)</f>
        <v>0</v>
      </c>
      <c r="AP80" s="55" t="s">
        <v>103</v>
      </c>
      <c r="AU80" s="36">
        <f>AV80+AW80</f>
        <v>0</v>
      </c>
      <c r="AV80" s="36">
        <f>G80*AN80</f>
        <v>0</v>
      </c>
      <c r="AW80" s="36">
        <f>G80*AO80</f>
        <v>0</v>
      </c>
      <c r="AX80" s="57" t="s">
        <v>784</v>
      </c>
      <c r="AY80" s="57" t="s">
        <v>816</v>
      </c>
      <c r="AZ80" s="54" t="s">
        <v>834</v>
      </c>
      <c r="BB80" s="36">
        <f>AV80+AW80</f>
        <v>0</v>
      </c>
      <c r="BC80" s="36">
        <f>H80/(100-BD80)*100</f>
        <v>0</v>
      </c>
      <c r="BD80" s="36">
        <v>0</v>
      </c>
      <c r="BE80" s="36">
        <f>80</f>
        <v>80</v>
      </c>
      <c r="BG80" s="50">
        <f>G80*AN80</f>
        <v>0</v>
      </c>
      <c r="BH80" s="50">
        <f>G80*AO80</f>
        <v>0</v>
      </c>
      <c r="BI80" s="50">
        <f>G80*H80</f>
        <v>0</v>
      </c>
    </row>
    <row r="81" spans="1:46" ht="12.75">
      <c r="A81" s="77"/>
      <c r="B81" s="78" t="s">
        <v>353</v>
      </c>
      <c r="C81" s="176" t="s">
        <v>578</v>
      </c>
      <c r="D81" s="177"/>
      <c r="E81" s="178"/>
      <c r="F81" s="77" t="s">
        <v>68</v>
      </c>
      <c r="G81" s="77" t="s">
        <v>68</v>
      </c>
      <c r="H81" s="77" t="s">
        <v>68</v>
      </c>
      <c r="I81" s="81">
        <f>SUM(I82:I84)</f>
        <v>0</v>
      </c>
      <c r="J81" s="81">
        <f>SUM(J82:J84)</f>
        <v>0</v>
      </c>
      <c r="K81" s="81">
        <f>SUM(K82:K84)</f>
        <v>0</v>
      </c>
      <c r="AH81" s="54" t="s">
        <v>70</v>
      </c>
      <c r="AR81" s="58">
        <f>SUM(AI82:AI84)</f>
        <v>0</v>
      </c>
      <c r="AS81" s="58">
        <f>SUM(AJ82:AJ84)</f>
        <v>0</v>
      </c>
      <c r="AT81" s="58">
        <f>SUM(AK82:AK84)</f>
        <v>0</v>
      </c>
    </row>
    <row r="82" spans="1:61" ht="12.75">
      <c r="A82" s="82" t="s">
        <v>166</v>
      </c>
      <c r="B82" s="82" t="s">
        <v>354</v>
      </c>
      <c r="C82" s="179" t="s">
        <v>579</v>
      </c>
      <c r="D82" s="180"/>
      <c r="E82" s="181"/>
      <c r="F82" s="82" t="s">
        <v>750</v>
      </c>
      <c r="G82" s="83">
        <v>28</v>
      </c>
      <c r="H82" s="83">
        <v>0</v>
      </c>
      <c r="I82" s="83">
        <f>G82*AN82</f>
        <v>0</v>
      </c>
      <c r="J82" s="83">
        <f>G82*AO82</f>
        <v>0</v>
      </c>
      <c r="K82" s="83">
        <f>G82*H82</f>
        <v>0</v>
      </c>
      <c r="Y82" s="36">
        <f>IF(AP82="5",BI82,0)</f>
        <v>0</v>
      </c>
      <c r="AA82" s="36">
        <f>IF(AP82="1",BG82,0)</f>
        <v>0</v>
      </c>
      <c r="AB82" s="36">
        <f>IF(AP82="1",BH82,0)</f>
        <v>0</v>
      </c>
      <c r="AC82" s="36">
        <f>IF(AP82="7",BG82,0)</f>
        <v>0</v>
      </c>
      <c r="AD82" s="36">
        <f>IF(AP82="7",BH82,0)</f>
        <v>0</v>
      </c>
      <c r="AE82" s="36">
        <f>IF(AP82="2",BG82,0)</f>
        <v>0</v>
      </c>
      <c r="AF82" s="36">
        <f>IF(AP82="2",BH82,0)</f>
        <v>0</v>
      </c>
      <c r="AG82" s="36">
        <f>IF(AP82="0",BI82,0)</f>
        <v>0</v>
      </c>
      <c r="AH82" s="54" t="s">
        <v>70</v>
      </c>
      <c r="AI82" s="50">
        <f>IF(AM82=0,K82,0)</f>
        <v>0</v>
      </c>
      <c r="AJ82" s="50">
        <f>IF(AM82=15,K82,0)</f>
        <v>0</v>
      </c>
      <c r="AK82" s="50">
        <f>IF(AM82=21,K82,0)</f>
        <v>0</v>
      </c>
      <c r="AM82" s="36">
        <v>21</v>
      </c>
      <c r="AN82" s="36">
        <f>H82*0.58978515625</f>
        <v>0</v>
      </c>
      <c r="AO82" s="36">
        <f>H82*(1-0.58978515625)</f>
        <v>0</v>
      </c>
      <c r="AP82" s="55" t="s">
        <v>121</v>
      </c>
      <c r="AU82" s="36">
        <f>AV82+AW82</f>
        <v>0</v>
      </c>
      <c r="AV82" s="36">
        <f>G82*AN82</f>
        <v>0</v>
      </c>
      <c r="AW82" s="36">
        <f>G82*AO82</f>
        <v>0</v>
      </c>
      <c r="AX82" s="57" t="s">
        <v>785</v>
      </c>
      <c r="AY82" s="57" t="s">
        <v>816</v>
      </c>
      <c r="AZ82" s="54" t="s">
        <v>834</v>
      </c>
      <c r="BB82" s="36">
        <f>AV82+AW82</f>
        <v>0</v>
      </c>
      <c r="BC82" s="36">
        <f>H82/(100-BD82)*100</f>
        <v>0</v>
      </c>
      <c r="BD82" s="36">
        <v>0</v>
      </c>
      <c r="BE82" s="36">
        <f>82</f>
        <v>82</v>
      </c>
      <c r="BG82" s="50">
        <f>G82*AN82</f>
        <v>0</v>
      </c>
      <c r="BH82" s="50">
        <f>G82*AO82</f>
        <v>0</v>
      </c>
      <c r="BI82" s="50">
        <f>G82*H82</f>
        <v>0</v>
      </c>
    </row>
    <row r="83" spans="1:61" ht="12.75">
      <c r="A83" s="82" t="s">
        <v>167</v>
      </c>
      <c r="B83" s="82" t="s">
        <v>355</v>
      </c>
      <c r="C83" s="179" t="s">
        <v>580</v>
      </c>
      <c r="D83" s="180"/>
      <c r="E83" s="181"/>
      <c r="F83" s="82" t="s">
        <v>750</v>
      </c>
      <c r="G83" s="83">
        <v>28</v>
      </c>
      <c r="H83" s="83">
        <v>0</v>
      </c>
      <c r="I83" s="83">
        <f>G83*AN83</f>
        <v>0</v>
      </c>
      <c r="J83" s="83">
        <f>G83*AO83</f>
        <v>0</v>
      </c>
      <c r="K83" s="83">
        <f>G83*H83</f>
        <v>0</v>
      </c>
      <c r="Y83" s="36">
        <f>IF(AP83="5",BI83,0)</f>
        <v>0</v>
      </c>
      <c r="AA83" s="36">
        <f>IF(AP83="1",BG83,0)</f>
        <v>0</v>
      </c>
      <c r="AB83" s="36">
        <f>IF(AP83="1",BH83,0)</f>
        <v>0</v>
      </c>
      <c r="AC83" s="36">
        <f>IF(AP83="7",BG83,0)</f>
        <v>0</v>
      </c>
      <c r="AD83" s="36">
        <f>IF(AP83="7",BH83,0)</f>
        <v>0</v>
      </c>
      <c r="AE83" s="36">
        <f>IF(AP83="2",BG83,0)</f>
        <v>0</v>
      </c>
      <c r="AF83" s="36">
        <f>IF(AP83="2",BH83,0)</f>
        <v>0</v>
      </c>
      <c r="AG83" s="36">
        <f>IF(AP83="0",BI83,0)</f>
        <v>0</v>
      </c>
      <c r="AH83" s="54" t="s">
        <v>70</v>
      </c>
      <c r="AI83" s="50">
        <f>IF(AM83=0,K83,0)</f>
        <v>0</v>
      </c>
      <c r="AJ83" s="50">
        <f>IF(AM83=15,K83,0)</f>
        <v>0</v>
      </c>
      <c r="AK83" s="50">
        <f>IF(AM83=21,K83,0)</f>
        <v>0</v>
      </c>
      <c r="AM83" s="36">
        <v>21</v>
      </c>
      <c r="AN83" s="36">
        <f>H83*0.239383259911894</f>
        <v>0</v>
      </c>
      <c r="AO83" s="36">
        <f>H83*(1-0.239383259911894)</f>
        <v>0</v>
      </c>
      <c r="AP83" s="55" t="s">
        <v>121</v>
      </c>
      <c r="AU83" s="36">
        <f>AV83+AW83</f>
        <v>0</v>
      </c>
      <c r="AV83" s="36">
        <f>G83*AN83</f>
        <v>0</v>
      </c>
      <c r="AW83" s="36">
        <f>G83*AO83</f>
        <v>0</v>
      </c>
      <c r="AX83" s="57" t="s">
        <v>785</v>
      </c>
      <c r="AY83" s="57" t="s">
        <v>816</v>
      </c>
      <c r="AZ83" s="54" t="s">
        <v>834</v>
      </c>
      <c r="BB83" s="36">
        <f>AV83+AW83</f>
        <v>0</v>
      </c>
      <c r="BC83" s="36">
        <f>H83/(100-BD83)*100</f>
        <v>0</v>
      </c>
      <c r="BD83" s="36">
        <v>0</v>
      </c>
      <c r="BE83" s="36">
        <f>83</f>
        <v>83</v>
      </c>
      <c r="BG83" s="50">
        <f>G83*AN83</f>
        <v>0</v>
      </c>
      <c r="BH83" s="50">
        <f>G83*AO83</f>
        <v>0</v>
      </c>
      <c r="BI83" s="50">
        <f>G83*H83</f>
        <v>0</v>
      </c>
    </row>
    <row r="84" spans="1:61" ht="12.75">
      <c r="A84" s="82" t="s">
        <v>168</v>
      </c>
      <c r="B84" s="82" t="s">
        <v>356</v>
      </c>
      <c r="C84" s="179" t="s">
        <v>581</v>
      </c>
      <c r="D84" s="180"/>
      <c r="E84" s="181"/>
      <c r="F84" s="82" t="s">
        <v>751</v>
      </c>
      <c r="G84" s="83">
        <v>0.18</v>
      </c>
      <c r="H84" s="83">
        <v>0</v>
      </c>
      <c r="I84" s="83">
        <f>G84*AN84</f>
        <v>0</v>
      </c>
      <c r="J84" s="83">
        <f>G84*AO84</f>
        <v>0</v>
      </c>
      <c r="K84" s="83">
        <f>G84*H84</f>
        <v>0</v>
      </c>
      <c r="Y84" s="36">
        <f>IF(AP84="5",BI84,0)</f>
        <v>0</v>
      </c>
      <c r="AA84" s="36">
        <f>IF(AP84="1",BG84,0)</f>
        <v>0</v>
      </c>
      <c r="AB84" s="36">
        <f>IF(AP84="1",BH84,0)</f>
        <v>0</v>
      </c>
      <c r="AC84" s="36">
        <f>IF(AP84="7",BG84,0)</f>
        <v>0</v>
      </c>
      <c r="AD84" s="36">
        <f>IF(AP84="7",BH84,0)</f>
        <v>0</v>
      </c>
      <c r="AE84" s="36">
        <f>IF(AP84="2",BG84,0)</f>
        <v>0</v>
      </c>
      <c r="AF84" s="36">
        <f>IF(AP84="2",BH84,0)</f>
        <v>0</v>
      </c>
      <c r="AG84" s="36">
        <f>IF(AP84="0",BI84,0)</f>
        <v>0</v>
      </c>
      <c r="AH84" s="54" t="s">
        <v>70</v>
      </c>
      <c r="AI84" s="50">
        <f>IF(AM84=0,K84,0)</f>
        <v>0</v>
      </c>
      <c r="AJ84" s="50">
        <f>IF(AM84=15,K84,0)</f>
        <v>0</v>
      </c>
      <c r="AK84" s="50">
        <f>IF(AM84=21,K84,0)</f>
        <v>0</v>
      </c>
      <c r="AM84" s="36">
        <v>21</v>
      </c>
      <c r="AN84" s="36">
        <f>H84*0</f>
        <v>0</v>
      </c>
      <c r="AO84" s="36">
        <f>H84*(1-0)</f>
        <v>0</v>
      </c>
      <c r="AP84" s="55" t="s">
        <v>103</v>
      </c>
      <c r="AU84" s="36">
        <f>AV84+AW84</f>
        <v>0</v>
      </c>
      <c r="AV84" s="36">
        <f>G84*AN84</f>
        <v>0</v>
      </c>
      <c r="AW84" s="36">
        <f>G84*AO84</f>
        <v>0</v>
      </c>
      <c r="AX84" s="57" t="s">
        <v>785</v>
      </c>
      <c r="AY84" s="57" t="s">
        <v>816</v>
      </c>
      <c r="AZ84" s="54" t="s">
        <v>834</v>
      </c>
      <c r="BB84" s="36">
        <f>AV84+AW84</f>
        <v>0</v>
      </c>
      <c r="BC84" s="36">
        <f>H84/(100-BD84)*100</f>
        <v>0</v>
      </c>
      <c r="BD84" s="36">
        <v>0</v>
      </c>
      <c r="BE84" s="36">
        <f>84</f>
        <v>84</v>
      </c>
      <c r="BG84" s="50">
        <f>G84*AN84</f>
        <v>0</v>
      </c>
      <c r="BH84" s="50">
        <f>G84*AO84</f>
        <v>0</v>
      </c>
      <c r="BI84" s="50">
        <f>G84*H84</f>
        <v>0</v>
      </c>
    </row>
    <row r="85" spans="1:46" ht="12.75">
      <c r="A85" s="77"/>
      <c r="B85" s="78" t="s">
        <v>357</v>
      </c>
      <c r="C85" s="176" t="s">
        <v>582</v>
      </c>
      <c r="D85" s="177"/>
      <c r="E85" s="178"/>
      <c r="F85" s="77" t="s">
        <v>68</v>
      </c>
      <c r="G85" s="77" t="s">
        <v>68</v>
      </c>
      <c r="H85" s="77" t="s">
        <v>68</v>
      </c>
      <c r="I85" s="81">
        <f>SUM(I86:I95)</f>
        <v>0</v>
      </c>
      <c r="J85" s="81">
        <f>SUM(J86:J95)</f>
        <v>0</v>
      </c>
      <c r="K85" s="81">
        <f>SUM(K86:K95)</f>
        <v>0</v>
      </c>
      <c r="AH85" s="54" t="s">
        <v>70</v>
      </c>
      <c r="AR85" s="58">
        <f>SUM(AI86:AI95)</f>
        <v>0</v>
      </c>
      <c r="AS85" s="58">
        <f>SUM(AJ86:AJ95)</f>
        <v>0</v>
      </c>
      <c r="AT85" s="58">
        <f>SUM(AK86:AK95)</f>
        <v>0</v>
      </c>
    </row>
    <row r="86" spans="1:61" ht="12.75">
      <c r="A86" s="82" t="s">
        <v>169</v>
      </c>
      <c r="B86" s="82" t="s">
        <v>358</v>
      </c>
      <c r="C86" s="179" t="s">
        <v>583</v>
      </c>
      <c r="D86" s="180"/>
      <c r="E86" s="181"/>
      <c r="F86" s="82" t="s">
        <v>750</v>
      </c>
      <c r="G86" s="83">
        <v>39.42</v>
      </c>
      <c r="H86" s="83">
        <v>0</v>
      </c>
      <c r="I86" s="83">
        <f aca="true" t="shared" si="44" ref="I86:I95">G86*AN86</f>
        <v>0</v>
      </c>
      <c r="J86" s="83">
        <f aca="true" t="shared" si="45" ref="J86:J95">G86*AO86</f>
        <v>0</v>
      </c>
      <c r="K86" s="83">
        <f aca="true" t="shared" si="46" ref="K86:K95">G86*H86</f>
        <v>0</v>
      </c>
      <c r="Y86" s="36">
        <f aca="true" t="shared" si="47" ref="Y86:Y95">IF(AP86="5",BI86,0)</f>
        <v>0</v>
      </c>
      <c r="AA86" s="36">
        <f aca="true" t="shared" si="48" ref="AA86:AA95">IF(AP86="1",BG86,0)</f>
        <v>0</v>
      </c>
      <c r="AB86" s="36">
        <f aca="true" t="shared" si="49" ref="AB86:AB95">IF(AP86="1",BH86,0)</f>
        <v>0</v>
      </c>
      <c r="AC86" s="36">
        <f aca="true" t="shared" si="50" ref="AC86:AC95">IF(AP86="7",BG86,0)</f>
        <v>0</v>
      </c>
      <c r="AD86" s="36">
        <f aca="true" t="shared" si="51" ref="AD86:AD95">IF(AP86="7",BH86,0)</f>
        <v>0</v>
      </c>
      <c r="AE86" s="36">
        <f aca="true" t="shared" si="52" ref="AE86:AE95">IF(AP86="2",BG86,0)</f>
        <v>0</v>
      </c>
      <c r="AF86" s="36">
        <f aca="true" t="shared" si="53" ref="AF86:AF95">IF(AP86="2",BH86,0)</f>
        <v>0</v>
      </c>
      <c r="AG86" s="36">
        <f aca="true" t="shared" si="54" ref="AG86:AG95">IF(AP86="0",BI86,0)</f>
        <v>0</v>
      </c>
      <c r="AH86" s="54" t="s">
        <v>70</v>
      </c>
      <c r="AI86" s="50">
        <f aca="true" t="shared" si="55" ref="AI86:AI95">IF(AM86=0,K86,0)</f>
        <v>0</v>
      </c>
      <c r="AJ86" s="50">
        <f aca="true" t="shared" si="56" ref="AJ86:AJ95">IF(AM86=15,K86,0)</f>
        <v>0</v>
      </c>
      <c r="AK86" s="50">
        <f aca="true" t="shared" si="57" ref="AK86:AK95">IF(AM86=21,K86,0)</f>
        <v>0</v>
      </c>
      <c r="AM86" s="36">
        <v>21</v>
      </c>
      <c r="AN86" s="36">
        <f>H86*0.502459016393443</f>
        <v>0</v>
      </c>
      <c r="AO86" s="36">
        <f>H86*(1-0.502459016393443)</f>
        <v>0</v>
      </c>
      <c r="AP86" s="55" t="s">
        <v>121</v>
      </c>
      <c r="AU86" s="36">
        <f aca="true" t="shared" si="58" ref="AU86:AU95">AV86+AW86</f>
        <v>0</v>
      </c>
      <c r="AV86" s="36">
        <f aca="true" t="shared" si="59" ref="AV86:AV95">G86*AN86</f>
        <v>0</v>
      </c>
      <c r="AW86" s="36">
        <f aca="true" t="shared" si="60" ref="AW86:AW95">G86*AO86</f>
        <v>0</v>
      </c>
      <c r="AX86" s="57" t="s">
        <v>786</v>
      </c>
      <c r="AY86" s="57" t="s">
        <v>817</v>
      </c>
      <c r="AZ86" s="54" t="s">
        <v>834</v>
      </c>
      <c r="BB86" s="36">
        <f aca="true" t="shared" si="61" ref="BB86:BB95">AV86+AW86</f>
        <v>0</v>
      </c>
      <c r="BC86" s="36">
        <f aca="true" t="shared" si="62" ref="BC86:BC95">H86/(100-BD86)*100</f>
        <v>0</v>
      </c>
      <c r="BD86" s="36">
        <v>0</v>
      </c>
      <c r="BE86" s="36">
        <f>86</f>
        <v>86</v>
      </c>
      <c r="BG86" s="50">
        <f aca="true" t="shared" si="63" ref="BG86:BG95">G86*AN86</f>
        <v>0</v>
      </c>
      <c r="BH86" s="50">
        <f aca="true" t="shared" si="64" ref="BH86:BH95">G86*AO86</f>
        <v>0</v>
      </c>
      <c r="BI86" s="50">
        <f aca="true" t="shared" si="65" ref="BI86:BI95">G86*H86</f>
        <v>0</v>
      </c>
    </row>
    <row r="87" spans="1:61" ht="12.75">
      <c r="A87" s="82" t="s">
        <v>170</v>
      </c>
      <c r="B87" s="82" t="s">
        <v>359</v>
      </c>
      <c r="C87" s="179" t="s">
        <v>584</v>
      </c>
      <c r="D87" s="180"/>
      <c r="E87" s="181"/>
      <c r="F87" s="82" t="s">
        <v>750</v>
      </c>
      <c r="G87" s="83">
        <v>39.42</v>
      </c>
      <c r="H87" s="83">
        <v>0</v>
      </c>
      <c r="I87" s="83">
        <f t="shared" si="44"/>
        <v>0</v>
      </c>
      <c r="J87" s="83">
        <f t="shared" si="45"/>
        <v>0</v>
      </c>
      <c r="K87" s="83">
        <f t="shared" si="46"/>
        <v>0</v>
      </c>
      <c r="Y87" s="36">
        <f t="shared" si="47"/>
        <v>0</v>
      </c>
      <c r="AA87" s="36">
        <f t="shared" si="48"/>
        <v>0</v>
      </c>
      <c r="AB87" s="36">
        <f t="shared" si="49"/>
        <v>0</v>
      </c>
      <c r="AC87" s="36">
        <f t="shared" si="50"/>
        <v>0</v>
      </c>
      <c r="AD87" s="36">
        <f t="shared" si="51"/>
        <v>0</v>
      </c>
      <c r="AE87" s="36">
        <f t="shared" si="52"/>
        <v>0</v>
      </c>
      <c r="AF87" s="36">
        <f t="shared" si="53"/>
        <v>0</v>
      </c>
      <c r="AG87" s="36">
        <f t="shared" si="54"/>
        <v>0</v>
      </c>
      <c r="AH87" s="54" t="s">
        <v>70</v>
      </c>
      <c r="AI87" s="50">
        <f t="shared" si="55"/>
        <v>0</v>
      </c>
      <c r="AJ87" s="50">
        <f t="shared" si="56"/>
        <v>0</v>
      </c>
      <c r="AK87" s="50">
        <f t="shared" si="57"/>
        <v>0</v>
      </c>
      <c r="AM87" s="36">
        <v>21</v>
      </c>
      <c r="AN87" s="36">
        <f>H87*0.487051282051282</f>
        <v>0</v>
      </c>
      <c r="AO87" s="36">
        <f>H87*(1-0.487051282051282)</f>
        <v>0</v>
      </c>
      <c r="AP87" s="55" t="s">
        <v>121</v>
      </c>
      <c r="AU87" s="36">
        <f t="shared" si="58"/>
        <v>0</v>
      </c>
      <c r="AV87" s="36">
        <f t="shared" si="59"/>
        <v>0</v>
      </c>
      <c r="AW87" s="36">
        <f t="shared" si="60"/>
        <v>0</v>
      </c>
      <c r="AX87" s="57" t="s">
        <v>786</v>
      </c>
      <c r="AY87" s="57" t="s">
        <v>817</v>
      </c>
      <c r="AZ87" s="54" t="s">
        <v>834</v>
      </c>
      <c r="BB87" s="36">
        <f t="shared" si="61"/>
        <v>0</v>
      </c>
      <c r="BC87" s="36">
        <f t="shared" si="62"/>
        <v>0</v>
      </c>
      <c r="BD87" s="36">
        <v>0</v>
      </c>
      <c r="BE87" s="36">
        <f>87</f>
        <v>87</v>
      </c>
      <c r="BG87" s="50">
        <f t="shared" si="63"/>
        <v>0</v>
      </c>
      <c r="BH87" s="50">
        <f t="shared" si="64"/>
        <v>0</v>
      </c>
      <c r="BI87" s="50">
        <f t="shared" si="65"/>
        <v>0</v>
      </c>
    </row>
    <row r="88" spans="1:61" ht="12.75">
      <c r="A88" s="82" t="s">
        <v>171</v>
      </c>
      <c r="B88" s="82" t="s">
        <v>360</v>
      </c>
      <c r="C88" s="179" t="s">
        <v>585</v>
      </c>
      <c r="D88" s="180"/>
      <c r="E88" s="181"/>
      <c r="F88" s="82" t="s">
        <v>752</v>
      </c>
      <c r="G88" s="83">
        <v>16.8</v>
      </c>
      <c r="H88" s="83">
        <v>0</v>
      </c>
      <c r="I88" s="83">
        <f t="shared" si="44"/>
        <v>0</v>
      </c>
      <c r="J88" s="83">
        <f t="shared" si="45"/>
        <v>0</v>
      </c>
      <c r="K88" s="83">
        <f t="shared" si="46"/>
        <v>0</v>
      </c>
      <c r="Y88" s="36">
        <f t="shared" si="47"/>
        <v>0</v>
      </c>
      <c r="AA88" s="36">
        <f t="shared" si="48"/>
        <v>0</v>
      </c>
      <c r="AB88" s="36">
        <f t="shared" si="49"/>
        <v>0</v>
      </c>
      <c r="AC88" s="36">
        <f t="shared" si="50"/>
        <v>0</v>
      </c>
      <c r="AD88" s="36">
        <f t="shared" si="51"/>
        <v>0</v>
      </c>
      <c r="AE88" s="36">
        <f t="shared" si="52"/>
        <v>0</v>
      </c>
      <c r="AF88" s="36">
        <f t="shared" si="53"/>
        <v>0</v>
      </c>
      <c r="AG88" s="36">
        <f t="shared" si="54"/>
        <v>0</v>
      </c>
      <c r="AH88" s="54" t="s">
        <v>70</v>
      </c>
      <c r="AI88" s="50">
        <f t="shared" si="55"/>
        <v>0</v>
      </c>
      <c r="AJ88" s="50">
        <f t="shared" si="56"/>
        <v>0</v>
      </c>
      <c r="AK88" s="50">
        <f t="shared" si="57"/>
        <v>0</v>
      </c>
      <c r="AM88" s="36">
        <v>21</v>
      </c>
      <c r="AN88" s="36">
        <f>H88*0.0364197530864198</f>
        <v>0</v>
      </c>
      <c r="AO88" s="36">
        <f>H88*(1-0.0364197530864198)</f>
        <v>0</v>
      </c>
      <c r="AP88" s="55" t="s">
        <v>121</v>
      </c>
      <c r="AU88" s="36">
        <f t="shared" si="58"/>
        <v>0</v>
      </c>
      <c r="AV88" s="36">
        <f t="shared" si="59"/>
        <v>0</v>
      </c>
      <c r="AW88" s="36">
        <f t="shared" si="60"/>
        <v>0</v>
      </c>
      <c r="AX88" s="57" t="s">
        <v>786</v>
      </c>
      <c r="AY88" s="57" t="s">
        <v>817</v>
      </c>
      <c r="AZ88" s="54" t="s">
        <v>834</v>
      </c>
      <c r="BB88" s="36">
        <f t="shared" si="61"/>
        <v>0</v>
      </c>
      <c r="BC88" s="36">
        <f t="shared" si="62"/>
        <v>0</v>
      </c>
      <c r="BD88" s="36">
        <v>0</v>
      </c>
      <c r="BE88" s="36">
        <f>88</f>
        <v>88</v>
      </c>
      <c r="BG88" s="50">
        <f t="shared" si="63"/>
        <v>0</v>
      </c>
      <c r="BH88" s="50">
        <f t="shared" si="64"/>
        <v>0</v>
      </c>
      <c r="BI88" s="50">
        <f t="shared" si="65"/>
        <v>0</v>
      </c>
    </row>
    <row r="89" spans="1:61" ht="12.75">
      <c r="A89" s="82" t="s">
        <v>172</v>
      </c>
      <c r="B89" s="82" t="s">
        <v>361</v>
      </c>
      <c r="C89" s="179" t="s">
        <v>586</v>
      </c>
      <c r="D89" s="180"/>
      <c r="E89" s="181"/>
      <c r="F89" s="82" t="s">
        <v>752</v>
      </c>
      <c r="G89" s="83">
        <v>45</v>
      </c>
      <c r="H89" s="83">
        <v>0</v>
      </c>
      <c r="I89" s="83">
        <f t="shared" si="44"/>
        <v>0</v>
      </c>
      <c r="J89" s="83">
        <f t="shared" si="45"/>
        <v>0</v>
      </c>
      <c r="K89" s="83">
        <f t="shared" si="46"/>
        <v>0</v>
      </c>
      <c r="Y89" s="36">
        <f t="shared" si="47"/>
        <v>0</v>
      </c>
      <c r="AA89" s="36">
        <f t="shared" si="48"/>
        <v>0</v>
      </c>
      <c r="AB89" s="36">
        <f t="shared" si="49"/>
        <v>0</v>
      </c>
      <c r="AC89" s="36">
        <f t="shared" si="50"/>
        <v>0</v>
      </c>
      <c r="AD89" s="36">
        <f t="shared" si="51"/>
        <v>0</v>
      </c>
      <c r="AE89" s="36">
        <f t="shared" si="52"/>
        <v>0</v>
      </c>
      <c r="AF89" s="36">
        <f t="shared" si="53"/>
        <v>0</v>
      </c>
      <c r="AG89" s="36">
        <f t="shared" si="54"/>
        <v>0</v>
      </c>
      <c r="AH89" s="54" t="s">
        <v>70</v>
      </c>
      <c r="AI89" s="50">
        <f t="shared" si="55"/>
        <v>0</v>
      </c>
      <c r="AJ89" s="50">
        <f t="shared" si="56"/>
        <v>0</v>
      </c>
      <c r="AK89" s="50">
        <f t="shared" si="57"/>
        <v>0</v>
      </c>
      <c r="AM89" s="36">
        <v>21</v>
      </c>
      <c r="AN89" s="36">
        <f>H89*0.0272529909002725</f>
        <v>0</v>
      </c>
      <c r="AO89" s="36">
        <f>H89*(1-0.0272529909002725)</f>
        <v>0</v>
      </c>
      <c r="AP89" s="55" t="s">
        <v>121</v>
      </c>
      <c r="AU89" s="36">
        <f t="shared" si="58"/>
        <v>0</v>
      </c>
      <c r="AV89" s="36">
        <f t="shared" si="59"/>
        <v>0</v>
      </c>
      <c r="AW89" s="36">
        <f t="shared" si="60"/>
        <v>0</v>
      </c>
      <c r="AX89" s="57" t="s">
        <v>786</v>
      </c>
      <c r="AY89" s="57" t="s">
        <v>817</v>
      </c>
      <c r="AZ89" s="54" t="s">
        <v>834</v>
      </c>
      <c r="BB89" s="36">
        <f t="shared" si="61"/>
        <v>0</v>
      </c>
      <c r="BC89" s="36">
        <f t="shared" si="62"/>
        <v>0</v>
      </c>
      <c r="BD89" s="36">
        <v>0</v>
      </c>
      <c r="BE89" s="36">
        <f>89</f>
        <v>89</v>
      </c>
      <c r="BG89" s="50">
        <f t="shared" si="63"/>
        <v>0</v>
      </c>
      <c r="BH89" s="50">
        <f t="shared" si="64"/>
        <v>0</v>
      </c>
      <c r="BI89" s="50">
        <f t="shared" si="65"/>
        <v>0</v>
      </c>
    </row>
    <row r="90" spans="1:61" ht="12.75">
      <c r="A90" s="84" t="s">
        <v>173</v>
      </c>
      <c r="B90" s="84" t="s">
        <v>362</v>
      </c>
      <c r="C90" s="189" t="s">
        <v>587</v>
      </c>
      <c r="D90" s="186"/>
      <c r="E90" s="190"/>
      <c r="F90" s="84" t="s">
        <v>748</v>
      </c>
      <c r="G90" s="85">
        <v>1.3</v>
      </c>
      <c r="H90" s="85">
        <v>0</v>
      </c>
      <c r="I90" s="85">
        <f t="shared" si="44"/>
        <v>0</v>
      </c>
      <c r="J90" s="85">
        <f t="shared" si="45"/>
        <v>0</v>
      </c>
      <c r="K90" s="85">
        <f t="shared" si="46"/>
        <v>0</v>
      </c>
      <c r="Y90" s="36">
        <f t="shared" si="47"/>
        <v>0</v>
      </c>
      <c r="AA90" s="36">
        <f t="shared" si="48"/>
        <v>0</v>
      </c>
      <c r="AB90" s="36">
        <f t="shared" si="49"/>
        <v>0</v>
      </c>
      <c r="AC90" s="36">
        <f t="shared" si="50"/>
        <v>0</v>
      </c>
      <c r="AD90" s="36">
        <f t="shared" si="51"/>
        <v>0</v>
      </c>
      <c r="AE90" s="36">
        <f t="shared" si="52"/>
        <v>0</v>
      </c>
      <c r="AF90" s="36">
        <f t="shared" si="53"/>
        <v>0</v>
      </c>
      <c r="AG90" s="36">
        <f t="shared" si="54"/>
        <v>0</v>
      </c>
      <c r="AH90" s="54" t="s">
        <v>70</v>
      </c>
      <c r="AI90" s="51">
        <f t="shared" si="55"/>
        <v>0</v>
      </c>
      <c r="AJ90" s="51">
        <f t="shared" si="56"/>
        <v>0</v>
      </c>
      <c r="AK90" s="51">
        <f t="shared" si="57"/>
        <v>0</v>
      </c>
      <c r="AM90" s="36">
        <v>21</v>
      </c>
      <c r="AN90" s="36">
        <f>H90*1</f>
        <v>0</v>
      </c>
      <c r="AO90" s="36">
        <f>H90*(1-1)</f>
        <v>0</v>
      </c>
      <c r="AP90" s="56" t="s">
        <v>121</v>
      </c>
      <c r="AU90" s="36">
        <f t="shared" si="58"/>
        <v>0</v>
      </c>
      <c r="AV90" s="36">
        <f t="shared" si="59"/>
        <v>0</v>
      </c>
      <c r="AW90" s="36">
        <f t="shared" si="60"/>
        <v>0</v>
      </c>
      <c r="AX90" s="57" t="s">
        <v>786</v>
      </c>
      <c r="AY90" s="57" t="s">
        <v>817</v>
      </c>
      <c r="AZ90" s="54" t="s">
        <v>834</v>
      </c>
      <c r="BB90" s="36">
        <f t="shared" si="61"/>
        <v>0</v>
      </c>
      <c r="BC90" s="36">
        <f t="shared" si="62"/>
        <v>0</v>
      </c>
      <c r="BD90" s="36">
        <v>0</v>
      </c>
      <c r="BE90" s="36">
        <f>90</f>
        <v>90</v>
      </c>
      <c r="BG90" s="51">
        <f t="shared" si="63"/>
        <v>0</v>
      </c>
      <c r="BH90" s="51">
        <f t="shared" si="64"/>
        <v>0</v>
      </c>
      <c r="BI90" s="51">
        <f t="shared" si="65"/>
        <v>0</v>
      </c>
    </row>
    <row r="91" spans="1:61" ht="12.75">
      <c r="A91" s="82" t="s">
        <v>174</v>
      </c>
      <c r="B91" s="82" t="s">
        <v>363</v>
      </c>
      <c r="C91" s="179" t="s">
        <v>588</v>
      </c>
      <c r="D91" s="180"/>
      <c r="E91" s="181"/>
      <c r="F91" s="82" t="s">
        <v>748</v>
      </c>
      <c r="G91" s="83">
        <v>2.18</v>
      </c>
      <c r="H91" s="83">
        <v>0</v>
      </c>
      <c r="I91" s="83">
        <f t="shared" si="44"/>
        <v>0</v>
      </c>
      <c r="J91" s="83">
        <f t="shared" si="45"/>
        <v>0</v>
      </c>
      <c r="K91" s="83">
        <f t="shared" si="46"/>
        <v>0</v>
      </c>
      <c r="Y91" s="36">
        <f t="shared" si="47"/>
        <v>0</v>
      </c>
      <c r="AA91" s="36">
        <f t="shared" si="48"/>
        <v>0</v>
      </c>
      <c r="AB91" s="36">
        <f t="shared" si="49"/>
        <v>0</v>
      </c>
      <c r="AC91" s="36">
        <f t="shared" si="50"/>
        <v>0</v>
      </c>
      <c r="AD91" s="36">
        <f t="shared" si="51"/>
        <v>0</v>
      </c>
      <c r="AE91" s="36">
        <f t="shared" si="52"/>
        <v>0</v>
      </c>
      <c r="AF91" s="36">
        <f t="shared" si="53"/>
        <v>0</v>
      </c>
      <c r="AG91" s="36">
        <f t="shared" si="54"/>
        <v>0</v>
      </c>
      <c r="AH91" s="54" t="s">
        <v>70</v>
      </c>
      <c r="AI91" s="50">
        <f t="shared" si="55"/>
        <v>0</v>
      </c>
      <c r="AJ91" s="50">
        <f t="shared" si="56"/>
        <v>0</v>
      </c>
      <c r="AK91" s="50">
        <f t="shared" si="57"/>
        <v>0</v>
      </c>
      <c r="AM91" s="36">
        <v>21</v>
      </c>
      <c r="AN91" s="36">
        <f>H91*1</f>
        <v>0</v>
      </c>
      <c r="AO91" s="36">
        <f>H91*(1-1)</f>
        <v>0</v>
      </c>
      <c r="AP91" s="55" t="s">
        <v>121</v>
      </c>
      <c r="AU91" s="36">
        <f t="shared" si="58"/>
        <v>0</v>
      </c>
      <c r="AV91" s="36">
        <f t="shared" si="59"/>
        <v>0</v>
      </c>
      <c r="AW91" s="36">
        <f t="shared" si="60"/>
        <v>0</v>
      </c>
      <c r="AX91" s="57" t="s">
        <v>786</v>
      </c>
      <c r="AY91" s="57" t="s">
        <v>817</v>
      </c>
      <c r="AZ91" s="54" t="s">
        <v>834</v>
      </c>
      <c r="BB91" s="36">
        <f t="shared" si="61"/>
        <v>0</v>
      </c>
      <c r="BC91" s="36">
        <f t="shared" si="62"/>
        <v>0</v>
      </c>
      <c r="BD91" s="36">
        <v>0</v>
      </c>
      <c r="BE91" s="36">
        <f>91</f>
        <v>91</v>
      </c>
      <c r="BG91" s="50">
        <f t="shared" si="63"/>
        <v>0</v>
      </c>
      <c r="BH91" s="50">
        <f t="shared" si="64"/>
        <v>0</v>
      </c>
      <c r="BI91" s="50">
        <f t="shared" si="65"/>
        <v>0</v>
      </c>
    </row>
    <row r="92" spans="1:61" ht="12.75">
      <c r="A92" s="82" t="s">
        <v>175</v>
      </c>
      <c r="B92" s="82" t="s">
        <v>364</v>
      </c>
      <c r="C92" s="179" t="s">
        <v>589</v>
      </c>
      <c r="D92" s="180"/>
      <c r="E92" s="181"/>
      <c r="F92" s="82" t="s">
        <v>748</v>
      </c>
      <c r="G92" s="83">
        <v>2.18</v>
      </c>
      <c r="H92" s="83">
        <v>0</v>
      </c>
      <c r="I92" s="83">
        <f t="shared" si="44"/>
        <v>0</v>
      </c>
      <c r="J92" s="83">
        <f t="shared" si="45"/>
        <v>0</v>
      </c>
      <c r="K92" s="83">
        <f t="shared" si="46"/>
        <v>0</v>
      </c>
      <c r="Y92" s="36">
        <f t="shared" si="47"/>
        <v>0</v>
      </c>
      <c r="AA92" s="36">
        <f t="shared" si="48"/>
        <v>0</v>
      </c>
      <c r="AB92" s="36">
        <f t="shared" si="49"/>
        <v>0</v>
      </c>
      <c r="AC92" s="36">
        <f t="shared" si="50"/>
        <v>0</v>
      </c>
      <c r="AD92" s="36">
        <f t="shared" si="51"/>
        <v>0</v>
      </c>
      <c r="AE92" s="36">
        <f t="shared" si="52"/>
        <v>0</v>
      </c>
      <c r="AF92" s="36">
        <f t="shared" si="53"/>
        <v>0</v>
      </c>
      <c r="AG92" s="36">
        <f t="shared" si="54"/>
        <v>0</v>
      </c>
      <c r="AH92" s="54" t="s">
        <v>70</v>
      </c>
      <c r="AI92" s="50">
        <f t="shared" si="55"/>
        <v>0</v>
      </c>
      <c r="AJ92" s="50">
        <f t="shared" si="56"/>
        <v>0</v>
      </c>
      <c r="AK92" s="50">
        <f t="shared" si="57"/>
        <v>0</v>
      </c>
      <c r="AM92" s="36">
        <v>21</v>
      </c>
      <c r="AN92" s="36">
        <f>H92*0.990986323724623</f>
        <v>0</v>
      </c>
      <c r="AO92" s="36">
        <f>H92*(1-0.990986323724623)</f>
        <v>0</v>
      </c>
      <c r="AP92" s="55" t="s">
        <v>121</v>
      </c>
      <c r="AU92" s="36">
        <f t="shared" si="58"/>
        <v>0</v>
      </c>
      <c r="AV92" s="36">
        <f t="shared" si="59"/>
        <v>0</v>
      </c>
      <c r="AW92" s="36">
        <f t="shared" si="60"/>
        <v>0</v>
      </c>
      <c r="AX92" s="57" t="s">
        <v>786</v>
      </c>
      <c r="AY92" s="57" t="s">
        <v>817</v>
      </c>
      <c r="AZ92" s="54" t="s">
        <v>834</v>
      </c>
      <c r="BB92" s="36">
        <f t="shared" si="61"/>
        <v>0</v>
      </c>
      <c r="BC92" s="36">
        <f t="shared" si="62"/>
        <v>0</v>
      </c>
      <c r="BD92" s="36">
        <v>0</v>
      </c>
      <c r="BE92" s="36">
        <f>92</f>
        <v>92</v>
      </c>
      <c r="BG92" s="50">
        <f t="shared" si="63"/>
        <v>0</v>
      </c>
      <c r="BH92" s="50">
        <f t="shared" si="64"/>
        <v>0</v>
      </c>
      <c r="BI92" s="50">
        <f t="shared" si="65"/>
        <v>0</v>
      </c>
    </row>
    <row r="93" spans="1:61" ht="12.75">
      <c r="A93" s="84" t="s">
        <v>176</v>
      </c>
      <c r="B93" s="84" t="s">
        <v>365</v>
      </c>
      <c r="C93" s="189" t="s">
        <v>590</v>
      </c>
      <c r="D93" s="186"/>
      <c r="E93" s="190"/>
      <c r="F93" s="84" t="s">
        <v>749</v>
      </c>
      <c r="G93" s="85">
        <v>10</v>
      </c>
      <c r="H93" s="85">
        <v>0</v>
      </c>
      <c r="I93" s="85">
        <f t="shared" si="44"/>
        <v>0</v>
      </c>
      <c r="J93" s="85">
        <f t="shared" si="45"/>
        <v>0</v>
      </c>
      <c r="K93" s="85">
        <f t="shared" si="46"/>
        <v>0</v>
      </c>
      <c r="Y93" s="36">
        <f t="shared" si="47"/>
        <v>0</v>
      </c>
      <c r="AA93" s="36">
        <f t="shared" si="48"/>
        <v>0</v>
      </c>
      <c r="AB93" s="36">
        <f t="shared" si="49"/>
        <v>0</v>
      </c>
      <c r="AC93" s="36">
        <f t="shared" si="50"/>
        <v>0</v>
      </c>
      <c r="AD93" s="36">
        <f t="shared" si="51"/>
        <v>0</v>
      </c>
      <c r="AE93" s="36">
        <f t="shared" si="52"/>
        <v>0</v>
      </c>
      <c r="AF93" s="36">
        <f t="shared" si="53"/>
        <v>0</v>
      </c>
      <c r="AG93" s="36">
        <f t="shared" si="54"/>
        <v>0</v>
      </c>
      <c r="AH93" s="54" t="s">
        <v>70</v>
      </c>
      <c r="AI93" s="51">
        <f t="shared" si="55"/>
        <v>0</v>
      </c>
      <c r="AJ93" s="51">
        <f t="shared" si="56"/>
        <v>0</v>
      </c>
      <c r="AK93" s="51">
        <f t="shared" si="57"/>
        <v>0</v>
      </c>
      <c r="AM93" s="36">
        <v>21</v>
      </c>
      <c r="AN93" s="36">
        <f>H93*1</f>
        <v>0</v>
      </c>
      <c r="AO93" s="36">
        <f>H93*(1-1)</f>
        <v>0</v>
      </c>
      <c r="AP93" s="56" t="s">
        <v>121</v>
      </c>
      <c r="AU93" s="36">
        <f t="shared" si="58"/>
        <v>0</v>
      </c>
      <c r="AV93" s="36">
        <f t="shared" si="59"/>
        <v>0</v>
      </c>
      <c r="AW93" s="36">
        <f t="shared" si="60"/>
        <v>0</v>
      </c>
      <c r="AX93" s="57" t="s">
        <v>786</v>
      </c>
      <c r="AY93" s="57" t="s">
        <v>817</v>
      </c>
      <c r="AZ93" s="54" t="s">
        <v>834</v>
      </c>
      <c r="BB93" s="36">
        <f t="shared" si="61"/>
        <v>0</v>
      </c>
      <c r="BC93" s="36">
        <f t="shared" si="62"/>
        <v>0</v>
      </c>
      <c r="BD93" s="36">
        <v>0</v>
      </c>
      <c r="BE93" s="36">
        <f>93</f>
        <v>93</v>
      </c>
      <c r="BG93" s="51">
        <f t="shared" si="63"/>
        <v>0</v>
      </c>
      <c r="BH93" s="51">
        <f t="shared" si="64"/>
        <v>0</v>
      </c>
      <c r="BI93" s="51">
        <f t="shared" si="65"/>
        <v>0</v>
      </c>
    </row>
    <row r="94" spans="1:61" ht="12.75">
      <c r="A94" s="84" t="s">
        <v>177</v>
      </c>
      <c r="B94" s="84" t="s">
        <v>366</v>
      </c>
      <c r="C94" s="189" t="s">
        <v>591</v>
      </c>
      <c r="D94" s="186"/>
      <c r="E94" s="190"/>
      <c r="F94" s="84" t="s">
        <v>752</v>
      </c>
      <c r="G94" s="85">
        <v>2.5</v>
      </c>
      <c r="H94" s="85">
        <v>0</v>
      </c>
      <c r="I94" s="85">
        <f t="shared" si="44"/>
        <v>0</v>
      </c>
      <c r="J94" s="85">
        <f t="shared" si="45"/>
        <v>0</v>
      </c>
      <c r="K94" s="85">
        <f t="shared" si="46"/>
        <v>0</v>
      </c>
      <c r="Y94" s="36">
        <f t="shared" si="47"/>
        <v>0</v>
      </c>
      <c r="AA94" s="36">
        <f t="shared" si="48"/>
        <v>0</v>
      </c>
      <c r="AB94" s="36">
        <f t="shared" si="49"/>
        <v>0</v>
      </c>
      <c r="AC94" s="36">
        <f t="shared" si="50"/>
        <v>0</v>
      </c>
      <c r="AD94" s="36">
        <f t="shared" si="51"/>
        <v>0</v>
      </c>
      <c r="AE94" s="36">
        <f t="shared" si="52"/>
        <v>0</v>
      </c>
      <c r="AF94" s="36">
        <f t="shared" si="53"/>
        <v>0</v>
      </c>
      <c r="AG94" s="36">
        <f t="shared" si="54"/>
        <v>0</v>
      </c>
      <c r="AH94" s="54" t="s">
        <v>70</v>
      </c>
      <c r="AI94" s="51">
        <f t="shared" si="55"/>
        <v>0</v>
      </c>
      <c r="AJ94" s="51">
        <f t="shared" si="56"/>
        <v>0</v>
      </c>
      <c r="AK94" s="51">
        <f t="shared" si="57"/>
        <v>0</v>
      </c>
      <c r="AM94" s="36">
        <v>21</v>
      </c>
      <c r="AN94" s="36">
        <f>H94*1</f>
        <v>0</v>
      </c>
      <c r="AO94" s="36">
        <f>H94*(1-1)</f>
        <v>0</v>
      </c>
      <c r="AP94" s="56" t="s">
        <v>121</v>
      </c>
      <c r="AU94" s="36">
        <f t="shared" si="58"/>
        <v>0</v>
      </c>
      <c r="AV94" s="36">
        <f t="shared" si="59"/>
        <v>0</v>
      </c>
      <c r="AW94" s="36">
        <f t="shared" si="60"/>
        <v>0</v>
      </c>
      <c r="AX94" s="57" t="s">
        <v>786</v>
      </c>
      <c r="AY94" s="57" t="s">
        <v>817</v>
      </c>
      <c r="AZ94" s="54" t="s">
        <v>834</v>
      </c>
      <c r="BB94" s="36">
        <f t="shared" si="61"/>
        <v>0</v>
      </c>
      <c r="BC94" s="36">
        <f t="shared" si="62"/>
        <v>0</v>
      </c>
      <c r="BD94" s="36">
        <v>0</v>
      </c>
      <c r="BE94" s="36">
        <f>94</f>
        <v>94</v>
      </c>
      <c r="BG94" s="51">
        <f t="shared" si="63"/>
        <v>0</v>
      </c>
      <c r="BH94" s="51">
        <f t="shared" si="64"/>
        <v>0</v>
      </c>
      <c r="BI94" s="51">
        <f t="shared" si="65"/>
        <v>0</v>
      </c>
    </row>
    <row r="95" spans="1:61" ht="12.75">
      <c r="A95" s="82" t="s">
        <v>178</v>
      </c>
      <c r="B95" s="82" t="s">
        <v>367</v>
      </c>
      <c r="C95" s="179" t="s">
        <v>592</v>
      </c>
      <c r="D95" s="180"/>
      <c r="E95" s="181"/>
      <c r="F95" s="82" t="s">
        <v>751</v>
      </c>
      <c r="G95" s="83">
        <v>1.42</v>
      </c>
      <c r="H95" s="83">
        <v>0</v>
      </c>
      <c r="I95" s="83">
        <f t="shared" si="44"/>
        <v>0</v>
      </c>
      <c r="J95" s="83">
        <f t="shared" si="45"/>
        <v>0</v>
      </c>
      <c r="K95" s="83">
        <f t="shared" si="46"/>
        <v>0</v>
      </c>
      <c r="Y95" s="36">
        <f t="shared" si="47"/>
        <v>0</v>
      </c>
      <c r="AA95" s="36">
        <f t="shared" si="48"/>
        <v>0</v>
      </c>
      <c r="AB95" s="36">
        <f t="shared" si="49"/>
        <v>0</v>
      </c>
      <c r="AC95" s="36">
        <f t="shared" si="50"/>
        <v>0</v>
      </c>
      <c r="AD95" s="36">
        <f t="shared" si="51"/>
        <v>0</v>
      </c>
      <c r="AE95" s="36">
        <f t="shared" si="52"/>
        <v>0</v>
      </c>
      <c r="AF95" s="36">
        <f t="shared" si="53"/>
        <v>0</v>
      </c>
      <c r="AG95" s="36">
        <f t="shared" si="54"/>
        <v>0</v>
      </c>
      <c r="AH95" s="54" t="s">
        <v>70</v>
      </c>
      <c r="AI95" s="50">
        <f t="shared" si="55"/>
        <v>0</v>
      </c>
      <c r="AJ95" s="50">
        <f t="shared" si="56"/>
        <v>0</v>
      </c>
      <c r="AK95" s="50">
        <f t="shared" si="57"/>
        <v>0</v>
      </c>
      <c r="AM95" s="36">
        <v>21</v>
      </c>
      <c r="AN95" s="36">
        <f>H95*0</f>
        <v>0</v>
      </c>
      <c r="AO95" s="36">
        <f>H95*(1-0)</f>
        <v>0</v>
      </c>
      <c r="AP95" s="55" t="s">
        <v>103</v>
      </c>
      <c r="AU95" s="36">
        <f t="shared" si="58"/>
        <v>0</v>
      </c>
      <c r="AV95" s="36">
        <f t="shared" si="59"/>
        <v>0</v>
      </c>
      <c r="AW95" s="36">
        <f t="shared" si="60"/>
        <v>0</v>
      </c>
      <c r="AX95" s="57" t="s">
        <v>786</v>
      </c>
      <c r="AY95" s="57" t="s">
        <v>817</v>
      </c>
      <c r="AZ95" s="54" t="s">
        <v>834</v>
      </c>
      <c r="BB95" s="36">
        <f t="shared" si="61"/>
        <v>0</v>
      </c>
      <c r="BC95" s="36">
        <f t="shared" si="62"/>
        <v>0</v>
      </c>
      <c r="BD95" s="36">
        <v>0</v>
      </c>
      <c r="BE95" s="36">
        <f>95</f>
        <v>95</v>
      </c>
      <c r="BG95" s="50">
        <f t="shared" si="63"/>
        <v>0</v>
      </c>
      <c r="BH95" s="50">
        <f t="shared" si="64"/>
        <v>0</v>
      </c>
      <c r="BI95" s="50">
        <f t="shared" si="65"/>
        <v>0</v>
      </c>
    </row>
    <row r="96" spans="1:46" ht="12.75">
      <c r="A96" s="77"/>
      <c r="B96" s="78" t="s">
        <v>368</v>
      </c>
      <c r="C96" s="176" t="s">
        <v>593</v>
      </c>
      <c r="D96" s="177"/>
      <c r="E96" s="178"/>
      <c r="F96" s="77" t="s">
        <v>68</v>
      </c>
      <c r="G96" s="77" t="s">
        <v>68</v>
      </c>
      <c r="H96" s="77" t="s">
        <v>68</v>
      </c>
      <c r="I96" s="81">
        <f>SUM(I97:I105)</f>
        <v>0</v>
      </c>
      <c r="J96" s="81">
        <f>SUM(J97:J105)</f>
        <v>0</v>
      </c>
      <c r="K96" s="81">
        <f>SUM(K97:K105)</f>
        <v>0</v>
      </c>
      <c r="AH96" s="54" t="s">
        <v>70</v>
      </c>
      <c r="AR96" s="58">
        <f>SUM(AI97:AI105)</f>
        <v>0</v>
      </c>
      <c r="AS96" s="58">
        <f>SUM(AJ97:AJ105)</f>
        <v>0</v>
      </c>
      <c r="AT96" s="58">
        <f>SUM(AK97:AK105)</f>
        <v>0</v>
      </c>
    </row>
    <row r="97" spans="1:61" ht="12.75">
      <c r="A97" s="79" t="s">
        <v>179</v>
      </c>
      <c r="B97" s="79" t="s">
        <v>369</v>
      </c>
      <c r="C97" s="182" t="s">
        <v>594</v>
      </c>
      <c r="D97" s="180"/>
      <c r="E97" s="183"/>
      <c r="F97" s="79" t="s">
        <v>752</v>
      </c>
      <c r="G97" s="80">
        <v>6</v>
      </c>
      <c r="H97" s="80">
        <v>0</v>
      </c>
      <c r="I97" s="80">
        <f aca="true" t="shared" si="66" ref="I97:I105">G97*AN97</f>
        <v>0</v>
      </c>
      <c r="J97" s="80">
        <f aca="true" t="shared" si="67" ref="J97:J105">G97*AO97</f>
        <v>0</v>
      </c>
      <c r="K97" s="80">
        <f aca="true" t="shared" si="68" ref="K97:K105">G97*H97</f>
        <v>0</v>
      </c>
      <c r="Y97" s="36">
        <f aca="true" t="shared" si="69" ref="Y97:Y105">IF(AP97="5",BI97,0)</f>
        <v>0</v>
      </c>
      <c r="AA97" s="36">
        <f aca="true" t="shared" si="70" ref="AA97:AA105">IF(AP97="1",BG97,0)</f>
        <v>0</v>
      </c>
      <c r="AB97" s="36">
        <f aca="true" t="shared" si="71" ref="AB97:AB105">IF(AP97="1",BH97,0)</f>
        <v>0</v>
      </c>
      <c r="AC97" s="36">
        <f aca="true" t="shared" si="72" ref="AC97:AC105">IF(AP97="7",BG97,0)</f>
        <v>0</v>
      </c>
      <c r="AD97" s="36">
        <f aca="true" t="shared" si="73" ref="AD97:AD105">IF(AP97="7",BH97,0)</f>
        <v>0</v>
      </c>
      <c r="AE97" s="36">
        <f aca="true" t="shared" si="74" ref="AE97:AE105">IF(AP97="2",BG97,0)</f>
        <v>0</v>
      </c>
      <c r="AF97" s="36">
        <f aca="true" t="shared" si="75" ref="AF97:AF105">IF(AP97="2",BH97,0)</f>
        <v>0</v>
      </c>
      <c r="AG97" s="36">
        <f aca="true" t="shared" si="76" ref="AG97:AG105">IF(AP97="0",BI97,0)</f>
        <v>0</v>
      </c>
      <c r="AH97" s="54" t="s">
        <v>70</v>
      </c>
      <c r="AI97" s="50">
        <f aca="true" t="shared" si="77" ref="AI97:AI105">IF(AM97=0,K97,0)</f>
        <v>0</v>
      </c>
      <c r="AJ97" s="50">
        <f aca="true" t="shared" si="78" ref="AJ97:AJ105">IF(AM97=15,K97,0)</f>
        <v>0</v>
      </c>
      <c r="AK97" s="50">
        <f aca="true" t="shared" si="79" ref="AK97:AK105">IF(AM97=21,K97,0)</f>
        <v>0</v>
      </c>
      <c r="AM97" s="36">
        <v>21</v>
      </c>
      <c r="AN97" s="36">
        <f>H97*0.131569538791562</f>
        <v>0</v>
      </c>
      <c r="AO97" s="36">
        <f>H97*(1-0.131569538791562)</f>
        <v>0</v>
      </c>
      <c r="AP97" s="55" t="s">
        <v>121</v>
      </c>
      <c r="AU97" s="36">
        <f aca="true" t="shared" si="80" ref="AU97:AU105">AV97+AW97</f>
        <v>0</v>
      </c>
      <c r="AV97" s="36">
        <f aca="true" t="shared" si="81" ref="AV97:AV105">G97*AN97</f>
        <v>0</v>
      </c>
      <c r="AW97" s="36">
        <f aca="true" t="shared" si="82" ref="AW97:AW105">G97*AO97</f>
        <v>0</v>
      </c>
      <c r="AX97" s="57" t="s">
        <v>787</v>
      </c>
      <c r="AY97" s="57" t="s">
        <v>817</v>
      </c>
      <c r="AZ97" s="54" t="s">
        <v>834</v>
      </c>
      <c r="BB97" s="36">
        <f aca="true" t="shared" si="83" ref="BB97:BB105">AV97+AW97</f>
        <v>0</v>
      </c>
      <c r="BC97" s="36">
        <f aca="true" t="shared" si="84" ref="BC97:BC105">H97/(100-BD97)*100</f>
        <v>0</v>
      </c>
      <c r="BD97" s="36">
        <v>0</v>
      </c>
      <c r="BE97" s="36">
        <f>97</f>
        <v>97</v>
      </c>
      <c r="BG97" s="50">
        <f aca="true" t="shared" si="85" ref="BG97:BG105">G97*AN97</f>
        <v>0</v>
      </c>
      <c r="BH97" s="50">
        <f aca="true" t="shared" si="86" ref="BH97:BH105">G97*AO97</f>
        <v>0</v>
      </c>
      <c r="BI97" s="50">
        <f aca="true" t="shared" si="87" ref="BI97:BI105">G97*H97</f>
        <v>0</v>
      </c>
    </row>
    <row r="98" spans="1:61" ht="12.75">
      <c r="A98" s="42" t="s">
        <v>180</v>
      </c>
      <c r="B98" s="42" t="s">
        <v>370</v>
      </c>
      <c r="C98" s="184" t="s">
        <v>595</v>
      </c>
      <c r="D98" s="180"/>
      <c r="E98" s="180"/>
      <c r="F98" s="42" t="s">
        <v>752</v>
      </c>
      <c r="G98" s="50">
        <v>17.8</v>
      </c>
      <c r="H98" s="50">
        <v>0</v>
      </c>
      <c r="I98" s="50">
        <f t="shared" si="66"/>
        <v>0</v>
      </c>
      <c r="J98" s="50">
        <f t="shared" si="67"/>
        <v>0</v>
      </c>
      <c r="K98" s="50">
        <f t="shared" si="68"/>
        <v>0</v>
      </c>
      <c r="Y98" s="36">
        <f t="shared" si="69"/>
        <v>0</v>
      </c>
      <c r="AA98" s="36">
        <f t="shared" si="70"/>
        <v>0</v>
      </c>
      <c r="AB98" s="36">
        <f t="shared" si="71"/>
        <v>0</v>
      </c>
      <c r="AC98" s="36">
        <f t="shared" si="72"/>
        <v>0</v>
      </c>
      <c r="AD98" s="36">
        <f t="shared" si="73"/>
        <v>0</v>
      </c>
      <c r="AE98" s="36">
        <f t="shared" si="74"/>
        <v>0</v>
      </c>
      <c r="AF98" s="36">
        <f t="shared" si="75"/>
        <v>0</v>
      </c>
      <c r="AG98" s="36">
        <f t="shared" si="76"/>
        <v>0</v>
      </c>
      <c r="AH98" s="54" t="s">
        <v>70</v>
      </c>
      <c r="AI98" s="50">
        <f t="shared" si="77"/>
        <v>0</v>
      </c>
      <c r="AJ98" s="50">
        <f t="shared" si="78"/>
        <v>0</v>
      </c>
      <c r="AK98" s="50">
        <f t="shared" si="79"/>
        <v>0</v>
      </c>
      <c r="AM98" s="36">
        <v>21</v>
      </c>
      <c r="AN98" s="36">
        <f>H98*0.0762772277227723</f>
        <v>0</v>
      </c>
      <c r="AO98" s="36">
        <f>H98*(1-0.0762772277227723)</f>
        <v>0</v>
      </c>
      <c r="AP98" s="55" t="s">
        <v>121</v>
      </c>
      <c r="AU98" s="36">
        <f t="shared" si="80"/>
        <v>0</v>
      </c>
      <c r="AV98" s="36">
        <f t="shared" si="81"/>
        <v>0</v>
      </c>
      <c r="AW98" s="36">
        <f t="shared" si="82"/>
        <v>0</v>
      </c>
      <c r="AX98" s="57" t="s">
        <v>787</v>
      </c>
      <c r="AY98" s="57" t="s">
        <v>817</v>
      </c>
      <c r="AZ98" s="54" t="s">
        <v>834</v>
      </c>
      <c r="BB98" s="36">
        <f t="shared" si="83"/>
        <v>0</v>
      </c>
      <c r="BC98" s="36">
        <f t="shared" si="84"/>
        <v>0</v>
      </c>
      <c r="BD98" s="36">
        <v>0</v>
      </c>
      <c r="BE98" s="36">
        <f>98</f>
        <v>98</v>
      </c>
      <c r="BG98" s="50">
        <f t="shared" si="85"/>
        <v>0</v>
      </c>
      <c r="BH98" s="50">
        <f t="shared" si="86"/>
        <v>0</v>
      </c>
      <c r="BI98" s="50">
        <f t="shared" si="87"/>
        <v>0</v>
      </c>
    </row>
    <row r="99" spans="1:61" ht="12.75">
      <c r="A99" s="43" t="s">
        <v>181</v>
      </c>
      <c r="B99" s="43" t="s">
        <v>371</v>
      </c>
      <c r="C99" s="185" t="s">
        <v>596</v>
      </c>
      <c r="D99" s="186"/>
      <c r="E99" s="186"/>
      <c r="F99" s="43" t="s">
        <v>752</v>
      </c>
      <c r="G99" s="51">
        <v>17.8</v>
      </c>
      <c r="H99" s="51">
        <v>0</v>
      </c>
      <c r="I99" s="51">
        <f t="shared" si="66"/>
        <v>0</v>
      </c>
      <c r="J99" s="51">
        <f t="shared" si="67"/>
        <v>0</v>
      </c>
      <c r="K99" s="51">
        <f t="shared" si="68"/>
        <v>0</v>
      </c>
      <c r="Y99" s="36">
        <f t="shared" si="69"/>
        <v>0</v>
      </c>
      <c r="AA99" s="36">
        <f t="shared" si="70"/>
        <v>0</v>
      </c>
      <c r="AB99" s="36">
        <f t="shared" si="71"/>
        <v>0</v>
      </c>
      <c r="AC99" s="36">
        <f t="shared" si="72"/>
        <v>0</v>
      </c>
      <c r="AD99" s="36">
        <f t="shared" si="73"/>
        <v>0</v>
      </c>
      <c r="AE99" s="36">
        <f t="shared" si="74"/>
        <v>0</v>
      </c>
      <c r="AF99" s="36">
        <f t="shared" si="75"/>
        <v>0</v>
      </c>
      <c r="AG99" s="36">
        <f t="shared" si="76"/>
        <v>0</v>
      </c>
      <c r="AH99" s="54" t="s">
        <v>70</v>
      </c>
      <c r="AI99" s="51">
        <f t="shared" si="77"/>
        <v>0</v>
      </c>
      <c r="AJ99" s="51">
        <f t="shared" si="78"/>
        <v>0</v>
      </c>
      <c r="AK99" s="51">
        <f t="shared" si="79"/>
        <v>0</v>
      </c>
      <c r="AM99" s="36">
        <v>21</v>
      </c>
      <c r="AN99" s="36">
        <f>H99*1</f>
        <v>0</v>
      </c>
      <c r="AO99" s="36">
        <f>H99*(1-1)</f>
        <v>0</v>
      </c>
      <c r="AP99" s="56" t="s">
        <v>121</v>
      </c>
      <c r="AU99" s="36">
        <f t="shared" si="80"/>
        <v>0</v>
      </c>
      <c r="AV99" s="36">
        <f t="shared" si="81"/>
        <v>0</v>
      </c>
      <c r="AW99" s="36">
        <f t="shared" si="82"/>
        <v>0</v>
      </c>
      <c r="AX99" s="57" t="s">
        <v>787</v>
      </c>
      <c r="AY99" s="57" t="s">
        <v>817</v>
      </c>
      <c r="AZ99" s="54" t="s">
        <v>834</v>
      </c>
      <c r="BB99" s="36">
        <f t="shared" si="83"/>
        <v>0</v>
      </c>
      <c r="BC99" s="36">
        <f t="shared" si="84"/>
        <v>0</v>
      </c>
      <c r="BD99" s="36">
        <v>0</v>
      </c>
      <c r="BE99" s="36">
        <f>99</f>
        <v>99</v>
      </c>
      <c r="BG99" s="51">
        <f t="shared" si="85"/>
        <v>0</v>
      </c>
      <c r="BH99" s="51">
        <f t="shared" si="86"/>
        <v>0</v>
      </c>
      <c r="BI99" s="51">
        <f t="shared" si="87"/>
        <v>0</v>
      </c>
    </row>
    <row r="100" spans="1:61" ht="12.75">
      <c r="A100" s="79" t="s">
        <v>182</v>
      </c>
      <c r="B100" s="79" t="s">
        <v>372</v>
      </c>
      <c r="C100" s="182" t="s">
        <v>597</v>
      </c>
      <c r="D100" s="180"/>
      <c r="E100" s="183"/>
      <c r="F100" s="79" t="s">
        <v>752</v>
      </c>
      <c r="G100" s="80">
        <v>8.8</v>
      </c>
      <c r="H100" s="80">
        <v>0</v>
      </c>
      <c r="I100" s="80">
        <f t="shared" si="66"/>
        <v>0</v>
      </c>
      <c r="J100" s="80">
        <f t="shared" si="67"/>
        <v>0</v>
      </c>
      <c r="K100" s="80">
        <f t="shared" si="68"/>
        <v>0</v>
      </c>
      <c r="Y100" s="36">
        <f t="shared" si="69"/>
        <v>0</v>
      </c>
      <c r="AA100" s="36">
        <f t="shared" si="70"/>
        <v>0</v>
      </c>
      <c r="AB100" s="36">
        <f t="shared" si="71"/>
        <v>0</v>
      </c>
      <c r="AC100" s="36">
        <f t="shared" si="72"/>
        <v>0</v>
      </c>
      <c r="AD100" s="36">
        <f t="shared" si="73"/>
        <v>0</v>
      </c>
      <c r="AE100" s="36">
        <f t="shared" si="74"/>
        <v>0</v>
      </c>
      <c r="AF100" s="36">
        <f t="shared" si="75"/>
        <v>0</v>
      </c>
      <c r="AG100" s="36">
        <f t="shared" si="76"/>
        <v>0</v>
      </c>
      <c r="AH100" s="54" t="s">
        <v>70</v>
      </c>
      <c r="AI100" s="50">
        <f t="shared" si="77"/>
        <v>0</v>
      </c>
      <c r="AJ100" s="50">
        <f t="shared" si="78"/>
        <v>0</v>
      </c>
      <c r="AK100" s="50">
        <f t="shared" si="79"/>
        <v>0</v>
      </c>
      <c r="AM100" s="36">
        <v>21</v>
      </c>
      <c r="AN100" s="36">
        <f>H100*0.436684824902724</f>
        <v>0</v>
      </c>
      <c r="AO100" s="36">
        <f>H100*(1-0.436684824902724)</f>
        <v>0</v>
      </c>
      <c r="AP100" s="55" t="s">
        <v>121</v>
      </c>
      <c r="AU100" s="36">
        <f t="shared" si="80"/>
        <v>0</v>
      </c>
      <c r="AV100" s="36">
        <f t="shared" si="81"/>
        <v>0</v>
      </c>
      <c r="AW100" s="36">
        <f t="shared" si="82"/>
        <v>0</v>
      </c>
      <c r="AX100" s="57" t="s">
        <v>787</v>
      </c>
      <c r="AY100" s="57" t="s">
        <v>817</v>
      </c>
      <c r="AZ100" s="54" t="s">
        <v>834</v>
      </c>
      <c r="BB100" s="36">
        <f t="shared" si="83"/>
        <v>0</v>
      </c>
      <c r="BC100" s="36">
        <f t="shared" si="84"/>
        <v>0</v>
      </c>
      <c r="BD100" s="36">
        <v>0</v>
      </c>
      <c r="BE100" s="36">
        <f>100</f>
        <v>100</v>
      </c>
      <c r="BG100" s="50">
        <f t="shared" si="85"/>
        <v>0</v>
      </c>
      <c r="BH100" s="50">
        <f t="shared" si="86"/>
        <v>0</v>
      </c>
      <c r="BI100" s="50">
        <f t="shared" si="87"/>
        <v>0</v>
      </c>
    </row>
    <row r="101" spans="1:61" ht="12.75">
      <c r="A101" s="42" t="s">
        <v>97</v>
      </c>
      <c r="B101" s="42" t="s">
        <v>373</v>
      </c>
      <c r="C101" s="184" t="s">
        <v>598</v>
      </c>
      <c r="D101" s="180"/>
      <c r="E101" s="180"/>
      <c r="F101" s="42" t="s">
        <v>749</v>
      </c>
      <c r="G101" s="50">
        <v>1</v>
      </c>
      <c r="H101" s="50">
        <v>0</v>
      </c>
      <c r="I101" s="50">
        <f t="shared" si="66"/>
        <v>0</v>
      </c>
      <c r="J101" s="50">
        <f t="shared" si="67"/>
        <v>0</v>
      </c>
      <c r="K101" s="50">
        <f t="shared" si="68"/>
        <v>0</v>
      </c>
      <c r="Y101" s="36">
        <f t="shared" si="69"/>
        <v>0</v>
      </c>
      <c r="AA101" s="36">
        <f t="shared" si="70"/>
        <v>0</v>
      </c>
      <c r="AB101" s="36">
        <f t="shared" si="71"/>
        <v>0</v>
      </c>
      <c r="AC101" s="36">
        <f t="shared" si="72"/>
        <v>0</v>
      </c>
      <c r="AD101" s="36">
        <f t="shared" si="73"/>
        <v>0</v>
      </c>
      <c r="AE101" s="36">
        <f t="shared" si="74"/>
        <v>0</v>
      </c>
      <c r="AF101" s="36">
        <f t="shared" si="75"/>
        <v>0</v>
      </c>
      <c r="AG101" s="36">
        <f t="shared" si="76"/>
        <v>0</v>
      </c>
      <c r="AH101" s="54" t="s">
        <v>70</v>
      </c>
      <c r="AI101" s="50">
        <f t="shared" si="77"/>
        <v>0</v>
      </c>
      <c r="AJ101" s="50">
        <f t="shared" si="78"/>
        <v>0</v>
      </c>
      <c r="AK101" s="50">
        <f t="shared" si="79"/>
        <v>0</v>
      </c>
      <c r="AM101" s="36">
        <v>21</v>
      </c>
      <c r="AN101" s="36">
        <f>H101*0.164661965989216</f>
        <v>0</v>
      </c>
      <c r="AO101" s="36">
        <f>H101*(1-0.164661965989216)</f>
        <v>0</v>
      </c>
      <c r="AP101" s="55" t="s">
        <v>121</v>
      </c>
      <c r="AU101" s="36">
        <f t="shared" si="80"/>
        <v>0</v>
      </c>
      <c r="AV101" s="36">
        <f t="shared" si="81"/>
        <v>0</v>
      </c>
      <c r="AW101" s="36">
        <f t="shared" si="82"/>
        <v>0</v>
      </c>
      <c r="AX101" s="57" t="s">
        <v>787</v>
      </c>
      <c r="AY101" s="57" t="s">
        <v>817</v>
      </c>
      <c r="AZ101" s="54" t="s">
        <v>834</v>
      </c>
      <c r="BB101" s="36">
        <f t="shared" si="83"/>
        <v>0</v>
      </c>
      <c r="BC101" s="36">
        <f t="shared" si="84"/>
        <v>0</v>
      </c>
      <c r="BD101" s="36">
        <v>0</v>
      </c>
      <c r="BE101" s="36">
        <f>101</f>
        <v>101</v>
      </c>
      <c r="BG101" s="50">
        <f t="shared" si="85"/>
        <v>0</v>
      </c>
      <c r="BH101" s="50">
        <f t="shared" si="86"/>
        <v>0</v>
      </c>
      <c r="BI101" s="50">
        <f t="shared" si="87"/>
        <v>0</v>
      </c>
    </row>
    <row r="102" spans="1:61" ht="12.75">
      <c r="A102" s="84" t="s">
        <v>102</v>
      </c>
      <c r="B102" s="84" t="s">
        <v>374</v>
      </c>
      <c r="C102" s="189" t="s">
        <v>599</v>
      </c>
      <c r="D102" s="186"/>
      <c r="E102" s="190"/>
      <c r="F102" s="84" t="s">
        <v>749</v>
      </c>
      <c r="G102" s="85">
        <v>1</v>
      </c>
      <c r="H102" s="85">
        <v>0</v>
      </c>
      <c r="I102" s="85">
        <f t="shared" si="66"/>
        <v>0</v>
      </c>
      <c r="J102" s="85">
        <f t="shared" si="67"/>
        <v>0</v>
      </c>
      <c r="K102" s="85">
        <f t="shared" si="68"/>
        <v>0</v>
      </c>
      <c r="Y102" s="36">
        <f t="shared" si="69"/>
        <v>0</v>
      </c>
      <c r="AA102" s="36">
        <f t="shared" si="70"/>
        <v>0</v>
      </c>
      <c r="AB102" s="36">
        <f t="shared" si="71"/>
        <v>0</v>
      </c>
      <c r="AC102" s="36">
        <f t="shared" si="72"/>
        <v>0</v>
      </c>
      <c r="AD102" s="36">
        <f t="shared" si="73"/>
        <v>0</v>
      </c>
      <c r="AE102" s="36">
        <f t="shared" si="74"/>
        <v>0</v>
      </c>
      <c r="AF102" s="36">
        <f t="shared" si="75"/>
        <v>0</v>
      </c>
      <c r="AG102" s="36">
        <f t="shared" si="76"/>
        <v>0</v>
      </c>
      <c r="AH102" s="54" t="s">
        <v>70</v>
      </c>
      <c r="AI102" s="51">
        <f t="shared" si="77"/>
        <v>0</v>
      </c>
      <c r="AJ102" s="51">
        <f t="shared" si="78"/>
        <v>0</v>
      </c>
      <c r="AK102" s="51">
        <f t="shared" si="79"/>
        <v>0</v>
      </c>
      <c r="AM102" s="36">
        <v>21</v>
      </c>
      <c r="AN102" s="36">
        <f>H102*1</f>
        <v>0</v>
      </c>
      <c r="AO102" s="36">
        <f>H102*(1-1)</f>
        <v>0</v>
      </c>
      <c r="AP102" s="56" t="s">
        <v>121</v>
      </c>
      <c r="AU102" s="36">
        <f t="shared" si="80"/>
        <v>0</v>
      </c>
      <c r="AV102" s="36">
        <f t="shared" si="81"/>
        <v>0</v>
      </c>
      <c r="AW102" s="36">
        <f t="shared" si="82"/>
        <v>0</v>
      </c>
      <c r="AX102" s="57" t="s">
        <v>787</v>
      </c>
      <c r="AY102" s="57" t="s">
        <v>817</v>
      </c>
      <c r="AZ102" s="54" t="s">
        <v>834</v>
      </c>
      <c r="BB102" s="36">
        <f t="shared" si="83"/>
        <v>0</v>
      </c>
      <c r="BC102" s="36">
        <f t="shared" si="84"/>
        <v>0</v>
      </c>
      <c r="BD102" s="36">
        <v>0</v>
      </c>
      <c r="BE102" s="36">
        <f>102</f>
        <v>102</v>
      </c>
      <c r="BG102" s="51">
        <f t="shared" si="85"/>
        <v>0</v>
      </c>
      <c r="BH102" s="51">
        <f t="shared" si="86"/>
        <v>0</v>
      </c>
      <c r="BI102" s="51">
        <f t="shared" si="87"/>
        <v>0</v>
      </c>
    </row>
    <row r="103" spans="1:61" ht="12.75">
      <c r="A103" s="82" t="s">
        <v>183</v>
      </c>
      <c r="B103" s="82" t="s">
        <v>375</v>
      </c>
      <c r="C103" s="179" t="s">
        <v>600</v>
      </c>
      <c r="D103" s="180"/>
      <c r="E103" s="181"/>
      <c r="F103" s="82" t="s">
        <v>752</v>
      </c>
      <c r="G103" s="83">
        <v>8.8</v>
      </c>
      <c r="H103" s="83">
        <v>0</v>
      </c>
      <c r="I103" s="83">
        <f t="shared" si="66"/>
        <v>0</v>
      </c>
      <c r="J103" s="83">
        <f t="shared" si="67"/>
        <v>0</v>
      </c>
      <c r="K103" s="83">
        <f t="shared" si="68"/>
        <v>0</v>
      </c>
      <c r="Y103" s="36">
        <f t="shared" si="69"/>
        <v>0</v>
      </c>
      <c r="AA103" s="36">
        <f t="shared" si="70"/>
        <v>0</v>
      </c>
      <c r="AB103" s="36">
        <f t="shared" si="71"/>
        <v>0</v>
      </c>
      <c r="AC103" s="36">
        <f t="shared" si="72"/>
        <v>0</v>
      </c>
      <c r="AD103" s="36">
        <f t="shared" si="73"/>
        <v>0</v>
      </c>
      <c r="AE103" s="36">
        <f t="shared" si="74"/>
        <v>0</v>
      </c>
      <c r="AF103" s="36">
        <f t="shared" si="75"/>
        <v>0</v>
      </c>
      <c r="AG103" s="36">
        <f t="shared" si="76"/>
        <v>0</v>
      </c>
      <c r="AH103" s="54" t="s">
        <v>70</v>
      </c>
      <c r="AI103" s="50">
        <f t="shared" si="77"/>
        <v>0</v>
      </c>
      <c r="AJ103" s="50">
        <f t="shared" si="78"/>
        <v>0</v>
      </c>
      <c r="AK103" s="50">
        <f t="shared" si="79"/>
        <v>0</v>
      </c>
      <c r="AM103" s="36">
        <v>21</v>
      </c>
      <c r="AN103" s="36">
        <f>H103*0.65927453769559</f>
        <v>0</v>
      </c>
      <c r="AO103" s="36">
        <f>H103*(1-0.65927453769559)</f>
        <v>0</v>
      </c>
      <c r="AP103" s="55" t="s">
        <v>121</v>
      </c>
      <c r="AU103" s="36">
        <f t="shared" si="80"/>
        <v>0</v>
      </c>
      <c r="AV103" s="36">
        <f t="shared" si="81"/>
        <v>0</v>
      </c>
      <c r="AW103" s="36">
        <f t="shared" si="82"/>
        <v>0</v>
      </c>
      <c r="AX103" s="57" t="s">
        <v>787</v>
      </c>
      <c r="AY103" s="57" t="s">
        <v>817</v>
      </c>
      <c r="AZ103" s="54" t="s">
        <v>834</v>
      </c>
      <c r="BB103" s="36">
        <f t="shared" si="83"/>
        <v>0</v>
      </c>
      <c r="BC103" s="36">
        <f t="shared" si="84"/>
        <v>0</v>
      </c>
      <c r="BD103" s="36">
        <v>0</v>
      </c>
      <c r="BE103" s="36">
        <f>103</f>
        <v>103</v>
      </c>
      <c r="BG103" s="50">
        <f t="shared" si="85"/>
        <v>0</v>
      </c>
      <c r="BH103" s="50">
        <f t="shared" si="86"/>
        <v>0</v>
      </c>
      <c r="BI103" s="50">
        <f t="shared" si="87"/>
        <v>0</v>
      </c>
    </row>
    <row r="104" spans="1:61" ht="12.75">
      <c r="A104" s="82" t="s">
        <v>184</v>
      </c>
      <c r="B104" s="82" t="s">
        <v>376</v>
      </c>
      <c r="C104" s="179" t="s">
        <v>601</v>
      </c>
      <c r="D104" s="180"/>
      <c r="E104" s="181"/>
      <c r="F104" s="82" t="s">
        <v>752</v>
      </c>
      <c r="G104" s="83">
        <v>2.5</v>
      </c>
      <c r="H104" s="83">
        <v>0</v>
      </c>
      <c r="I104" s="83">
        <f t="shared" si="66"/>
        <v>0</v>
      </c>
      <c r="J104" s="83">
        <f t="shared" si="67"/>
        <v>0</v>
      </c>
      <c r="K104" s="83">
        <f t="shared" si="68"/>
        <v>0</v>
      </c>
      <c r="Y104" s="36">
        <f t="shared" si="69"/>
        <v>0</v>
      </c>
      <c r="AA104" s="36">
        <f t="shared" si="70"/>
        <v>0</v>
      </c>
      <c r="AB104" s="36">
        <f t="shared" si="71"/>
        <v>0</v>
      </c>
      <c r="AC104" s="36">
        <f t="shared" si="72"/>
        <v>0</v>
      </c>
      <c r="AD104" s="36">
        <f t="shared" si="73"/>
        <v>0</v>
      </c>
      <c r="AE104" s="36">
        <f t="shared" si="74"/>
        <v>0</v>
      </c>
      <c r="AF104" s="36">
        <f t="shared" si="75"/>
        <v>0</v>
      </c>
      <c r="AG104" s="36">
        <f t="shared" si="76"/>
        <v>0</v>
      </c>
      <c r="AH104" s="54" t="s">
        <v>70</v>
      </c>
      <c r="AI104" s="50">
        <f t="shared" si="77"/>
        <v>0</v>
      </c>
      <c r="AJ104" s="50">
        <f t="shared" si="78"/>
        <v>0</v>
      </c>
      <c r="AK104" s="50">
        <f t="shared" si="79"/>
        <v>0</v>
      </c>
      <c r="AM104" s="36">
        <v>21</v>
      </c>
      <c r="AN104" s="36">
        <f>H104*0.651742160278746</f>
        <v>0</v>
      </c>
      <c r="AO104" s="36">
        <f>H104*(1-0.651742160278746)</f>
        <v>0</v>
      </c>
      <c r="AP104" s="55" t="s">
        <v>121</v>
      </c>
      <c r="AU104" s="36">
        <f t="shared" si="80"/>
        <v>0</v>
      </c>
      <c r="AV104" s="36">
        <f t="shared" si="81"/>
        <v>0</v>
      </c>
      <c r="AW104" s="36">
        <f t="shared" si="82"/>
        <v>0</v>
      </c>
      <c r="AX104" s="57" t="s">
        <v>787</v>
      </c>
      <c r="AY104" s="57" t="s">
        <v>817</v>
      </c>
      <c r="AZ104" s="54" t="s">
        <v>834</v>
      </c>
      <c r="BB104" s="36">
        <f t="shared" si="83"/>
        <v>0</v>
      </c>
      <c r="BC104" s="36">
        <f t="shared" si="84"/>
        <v>0</v>
      </c>
      <c r="BD104" s="36">
        <v>0</v>
      </c>
      <c r="BE104" s="36">
        <f>104</f>
        <v>104</v>
      </c>
      <c r="BG104" s="50">
        <f t="shared" si="85"/>
        <v>0</v>
      </c>
      <c r="BH104" s="50">
        <f t="shared" si="86"/>
        <v>0</v>
      </c>
      <c r="BI104" s="50">
        <f t="shared" si="87"/>
        <v>0</v>
      </c>
    </row>
    <row r="105" spans="1:61" ht="12.75">
      <c r="A105" s="82" t="s">
        <v>185</v>
      </c>
      <c r="B105" s="82" t="s">
        <v>377</v>
      </c>
      <c r="C105" s="179" t="s">
        <v>602</v>
      </c>
      <c r="D105" s="180"/>
      <c r="E105" s="181"/>
      <c r="F105" s="82" t="s">
        <v>751</v>
      </c>
      <c r="G105" s="83">
        <v>0.13</v>
      </c>
      <c r="H105" s="83">
        <v>0</v>
      </c>
      <c r="I105" s="83">
        <f t="shared" si="66"/>
        <v>0</v>
      </c>
      <c r="J105" s="83">
        <f t="shared" si="67"/>
        <v>0</v>
      </c>
      <c r="K105" s="83">
        <f t="shared" si="68"/>
        <v>0</v>
      </c>
      <c r="Y105" s="36">
        <f t="shared" si="69"/>
        <v>0</v>
      </c>
      <c r="AA105" s="36">
        <f t="shared" si="70"/>
        <v>0</v>
      </c>
      <c r="AB105" s="36">
        <f t="shared" si="71"/>
        <v>0</v>
      </c>
      <c r="AC105" s="36">
        <f t="shared" si="72"/>
        <v>0</v>
      </c>
      <c r="AD105" s="36">
        <f t="shared" si="73"/>
        <v>0</v>
      </c>
      <c r="AE105" s="36">
        <f t="shared" si="74"/>
        <v>0</v>
      </c>
      <c r="AF105" s="36">
        <f t="shared" si="75"/>
        <v>0</v>
      </c>
      <c r="AG105" s="36">
        <f t="shared" si="76"/>
        <v>0</v>
      </c>
      <c r="AH105" s="54" t="s">
        <v>70</v>
      </c>
      <c r="AI105" s="50">
        <f t="shared" si="77"/>
        <v>0</v>
      </c>
      <c r="AJ105" s="50">
        <f t="shared" si="78"/>
        <v>0</v>
      </c>
      <c r="AK105" s="50">
        <f t="shared" si="79"/>
        <v>0</v>
      </c>
      <c r="AM105" s="36">
        <v>21</v>
      </c>
      <c r="AN105" s="36">
        <f>H105*0</f>
        <v>0</v>
      </c>
      <c r="AO105" s="36">
        <f>H105*(1-0)</f>
        <v>0</v>
      </c>
      <c r="AP105" s="55" t="s">
        <v>103</v>
      </c>
      <c r="AU105" s="36">
        <f t="shared" si="80"/>
        <v>0</v>
      </c>
      <c r="AV105" s="36">
        <f t="shared" si="81"/>
        <v>0</v>
      </c>
      <c r="AW105" s="36">
        <f t="shared" si="82"/>
        <v>0</v>
      </c>
      <c r="AX105" s="57" t="s">
        <v>787</v>
      </c>
      <c r="AY105" s="57" t="s">
        <v>817</v>
      </c>
      <c r="AZ105" s="54" t="s">
        <v>834</v>
      </c>
      <c r="BB105" s="36">
        <f t="shared" si="83"/>
        <v>0</v>
      </c>
      <c r="BC105" s="36">
        <f t="shared" si="84"/>
        <v>0</v>
      </c>
      <c r="BD105" s="36">
        <v>0</v>
      </c>
      <c r="BE105" s="36">
        <f>105</f>
        <v>105</v>
      </c>
      <c r="BG105" s="50">
        <f t="shared" si="85"/>
        <v>0</v>
      </c>
      <c r="BH105" s="50">
        <f t="shared" si="86"/>
        <v>0</v>
      </c>
      <c r="BI105" s="50">
        <f t="shared" si="87"/>
        <v>0</v>
      </c>
    </row>
    <row r="106" spans="1:46" ht="12.75">
      <c r="A106" s="77"/>
      <c r="B106" s="78" t="s">
        <v>378</v>
      </c>
      <c r="C106" s="176" t="s">
        <v>603</v>
      </c>
      <c r="D106" s="177"/>
      <c r="E106" s="178"/>
      <c r="F106" s="77" t="s">
        <v>68</v>
      </c>
      <c r="G106" s="77" t="s">
        <v>68</v>
      </c>
      <c r="H106" s="77" t="s">
        <v>68</v>
      </c>
      <c r="I106" s="81">
        <f>SUM(I107:I108)</f>
        <v>0</v>
      </c>
      <c r="J106" s="81">
        <f>SUM(J107:J108)</f>
        <v>0</v>
      </c>
      <c r="K106" s="81">
        <f>SUM(K107:K108)</f>
        <v>0</v>
      </c>
      <c r="AH106" s="54" t="s">
        <v>70</v>
      </c>
      <c r="AR106" s="58">
        <f>SUM(AI107:AI108)</f>
        <v>0</v>
      </c>
      <c r="AS106" s="58">
        <f>SUM(AJ107:AJ108)</f>
        <v>0</v>
      </c>
      <c r="AT106" s="58">
        <f>SUM(AK107:AK108)</f>
        <v>0</v>
      </c>
    </row>
    <row r="107" spans="1:61" ht="12.75">
      <c r="A107" s="82" t="s">
        <v>98</v>
      </c>
      <c r="B107" s="82" t="s">
        <v>379</v>
      </c>
      <c r="C107" s="179" t="s">
        <v>604</v>
      </c>
      <c r="D107" s="180"/>
      <c r="E107" s="181"/>
      <c r="F107" s="82" t="s">
        <v>750</v>
      </c>
      <c r="G107" s="83">
        <v>39.42</v>
      </c>
      <c r="H107" s="83">
        <v>0</v>
      </c>
      <c r="I107" s="83">
        <f>G107*AN107</f>
        <v>0</v>
      </c>
      <c r="J107" s="83">
        <f>G107*AO107</f>
        <v>0</v>
      </c>
      <c r="K107" s="83">
        <f>G107*H107</f>
        <v>0</v>
      </c>
      <c r="Y107" s="36">
        <f>IF(AP107="5",BI107,0)</f>
        <v>0</v>
      </c>
      <c r="AA107" s="36">
        <f>IF(AP107="1",BG107,0)</f>
        <v>0</v>
      </c>
      <c r="AB107" s="36">
        <f>IF(AP107="1",BH107,0)</f>
        <v>0</v>
      </c>
      <c r="AC107" s="36">
        <f>IF(AP107="7",BG107,0)</f>
        <v>0</v>
      </c>
      <c r="AD107" s="36">
        <f>IF(AP107="7",BH107,0)</f>
        <v>0</v>
      </c>
      <c r="AE107" s="36">
        <f>IF(AP107="2",BG107,0)</f>
        <v>0</v>
      </c>
      <c r="AF107" s="36">
        <f>IF(AP107="2",BH107,0)</f>
        <v>0</v>
      </c>
      <c r="AG107" s="36">
        <f>IF(AP107="0",BI107,0)</f>
        <v>0</v>
      </c>
      <c r="AH107" s="54" t="s">
        <v>70</v>
      </c>
      <c r="AI107" s="50">
        <f>IF(AM107=0,K107,0)</f>
        <v>0</v>
      </c>
      <c r="AJ107" s="50">
        <f>IF(AM107=15,K107,0)</f>
        <v>0</v>
      </c>
      <c r="AK107" s="50">
        <f>IF(AM107=21,K107,0)</f>
        <v>0</v>
      </c>
      <c r="AM107" s="36">
        <v>21</v>
      </c>
      <c r="AN107" s="36">
        <f>H107*0.64570811076593</f>
        <v>0</v>
      </c>
      <c r="AO107" s="36">
        <f>H107*(1-0.64570811076593)</f>
        <v>0</v>
      </c>
      <c r="AP107" s="55" t="s">
        <v>121</v>
      </c>
      <c r="AU107" s="36">
        <f>AV107+AW107</f>
        <v>0</v>
      </c>
      <c r="AV107" s="36">
        <f>G107*AN107</f>
        <v>0</v>
      </c>
      <c r="AW107" s="36">
        <f>G107*AO107</f>
        <v>0</v>
      </c>
      <c r="AX107" s="57" t="s">
        <v>788</v>
      </c>
      <c r="AY107" s="57" t="s">
        <v>817</v>
      </c>
      <c r="AZ107" s="54" t="s">
        <v>834</v>
      </c>
      <c r="BB107" s="36">
        <f>AV107+AW107</f>
        <v>0</v>
      </c>
      <c r="BC107" s="36">
        <f>H107/(100-BD107)*100</f>
        <v>0</v>
      </c>
      <c r="BD107" s="36">
        <v>0</v>
      </c>
      <c r="BE107" s="36">
        <f>107</f>
        <v>107</v>
      </c>
      <c r="BG107" s="50">
        <f>G107*AN107</f>
        <v>0</v>
      </c>
      <c r="BH107" s="50">
        <f>G107*AO107</f>
        <v>0</v>
      </c>
      <c r="BI107" s="50">
        <f>G107*H107</f>
        <v>0</v>
      </c>
    </row>
    <row r="108" spans="1:61" ht="12.75">
      <c r="A108" s="82" t="s">
        <v>99</v>
      </c>
      <c r="B108" s="82" t="s">
        <v>380</v>
      </c>
      <c r="C108" s="179" t="s">
        <v>605</v>
      </c>
      <c r="D108" s="180"/>
      <c r="E108" s="181"/>
      <c r="F108" s="82" t="s">
        <v>751</v>
      </c>
      <c r="G108" s="83">
        <v>0.2</v>
      </c>
      <c r="H108" s="83">
        <v>0</v>
      </c>
      <c r="I108" s="83">
        <f>G108*AN108</f>
        <v>0</v>
      </c>
      <c r="J108" s="83">
        <f>G108*AO108</f>
        <v>0</v>
      </c>
      <c r="K108" s="83">
        <f>G108*H108</f>
        <v>0</v>
      </c>
      <c r="Y108" s="36">
        <f>IF(AP108="5",BI108,0)</f>
        <v>0</v>
      </c>
      <c r="AA108" s="36">
        <f>IF(AP108="1",BG108,0)</f>
        <v>0</v>
      </c>
      <c r="AB108" s="36">
        <f>IF(AP108="1",BH108,0)</f>
        <v>0</v>
      </c>
      <c r="AC108" s="36">
        <f>IF(AP108="7",BG108,0)</f>
        <v>0</v>
      </c>
      <c r="AD108" s="36">
        <f>IF(AP108="7",BH108,0)</f>
        <v>0</v>
      </c>
      <c r="AE108" s="36">
        <f>IF(AP108="2",BG108,0)</f>
        <v>0</v>
      </c>
      <c r="AF108" s="36">
        <f>IF(AP108="2",BH108,0)</f>
        <v>0</v>
      </c>
      <c r="AG108" s="36">
        <f>IF(AP108="0",BI108,0)</f>
        <v>0</v>
      </c>
      <c r="AH108" s="54" t="s">
        <v>70</v>
      </c>
      <c r="AI108" s="50">
        <f>IF(AM108=0,K108,0)</f>
        <v>0</v>
      </c>
      <c r="AJ108" s="50">
        <f>IF(AM108=15,K108,0)</f>
        <v>0</v>
      </c>
      <c r="AK108" s="50">
        <f>IF(AM108=21,K108,0)</f>
        <v>0</v>
      </c>
      <c r="AM108" s="36">
        <v>21</v>
      </c>
      <c r="AN108" s="36">
        <f>H108*0</f>
        <v>0</v>
      </c>
      <c r="AO108" s="36">
        <f>H108*(1-0)</f>
        <v>0</v>
      </c>
      <c r="AP108" s="55" t="s">
        <v>103</v>
      </c>
      <c r="AU108" s="36">
        <f>AV108+AW108</f>
        <v>0</v>
      </c>
      <c r="AV108" s="36">
        <f>G108*AN108</f>
        <v>0</v>
      </c>
      <c r="AW108" s="36">
        <f>G108*AO108</f>
        <v>0</v>
      </c>
      <c r="AX108" s="57" t="s">
        <v>788</v>
      </c>
      <c r="AY108" s="57" t="s">
        <v>817</v>
      </c>
      <c r="AZ108" s="54" t="s">
        <v>834</v>
      </c>
      <c r="BB108" s="36">
        <f>AV108+AW108</f>
        <v>0</v>
      </c>
      <c r="BC108" s="36">
        <f>H108/(100-BD108)*100</f>
        <v>0</v>
      </c>
      <c r="BD108" s="36">
        <v>0</v>
      </c>
      <c r="BE108" s="36">
        <f>108</f>
        <v>108</v>
      </c>
      <c r="BG108" s="50">
        <f>G108*AN108</f>
        <v>0</v>
      </c>
      <c r="BH108" s="50">
        <f>G108*AO108</f>
        <v>0</v>
      </c>
      <c r="BI108" s="50">
        <f>G108*H108</f>
        <v>0</v>
      </c>
    </row>
    <row r="109" spans="1:46" ht="12.75">
      <c r="A109" s="77"/>
      <c r="B109" s="78" t="s">
        <v>381</v>
      </c>
      <c r="C109" s="176" t="s">
        <v>606</v>
      </c>
      <c r="D109" s="177"/>
      <c r="E109" s="178"/>
      <c r="F109" s="77" t="s">
        <v>68</v>
      </c>
      <c r="G109" s="77" t="s">
        <v>68</v>
      </c>
      <c r="H109" s="77" t="s">
        <v>68</v>
      </c>
      <c r="I109" s="81">
        <f>SUM(I110:I129)</f>
        <v>0</v>
      </c>
      <c r="J109" s="81">
        <f>SUM(J110:J129)</f>
        <v>0</v>
      </c>
      <c r="K109" s="81">
        <f>SUM(K110:K129)</f>
        <v>0</v>
      </c>
      <c r="AH109" s="54" t="s">
        <v>70</v>
      </c>
      <c r="AR109" s="58">
        <f>SUM(AI110:AI129)</f>
        <v>0</v>
      </c>
      <c r="AS109" s="58">
        <f>SUM(AJ110:AJ129)</f>
        <v>0</v>
      </c>
      <c r="AT109" s="58">
        <f>SUM(AK110:AK129)</f>
        <v>0</v>
      </c>
    </row>
    <row r="110" spans="1:61" ht="12.75">
      <c r="A110" s="82" t="s">
        <v>100</v>
      </c>
      <c r="B110" s="82" t="s">
        <v>382</v>
      </c>
      <c r="C110" s="179" t="s">
        <v>607</v>
      </c>
      <c r="D110" s="180"/>
      <c r="E110" s="181"/>
      <c r="F110" s="82" t="s">
        <v>749</v>
      </c>
      <c r="G110" s="83">
        <v>6</v>
      </c>
      <c r="H110" s="83">
        <v>0</v>
      </c>
      <c r="I110" s="83">
        <f aca="true" t="shared" si="88" ref="I110:I129">G110*AN110</f>
        <v>0</v>
      </c>
      <c r="J110" s="83">
        <f aca="true" t="shared" si="89" ref="J110:J129">G110*AO110</f>
        <v>0</v>
      </c>
      <c r="K110" s="83">
        <f aca="true" t="shared" si="90" ref="K110:K129">G110*H110</f>
        <v>0</v>
      </c>
      <c r="Y110" s="36">
        <f aca="true" t="shared" si="91" ref="Y110:Y129">IF(AP110="5",BI110,0)</f>
        <v>0</v>
      </c>
      <c r="AA110" s="36">
        <f aca="true" t="shared" si="92" ref="AA110:AA129">IF(AP110="1",BG110,0)</f>
        <v>0</v>
      </c>
      <c r="AB110" s="36">
        <f aca="true" t="shared" si="93" ref="AB110:AB129">IF(AP110="1",BH110,0)</f>
        <v>0</v>
      </c>
      <c r="AC110" s="36">
        <f aca="true" t="shared" si="94" ref="AC110:AC129">IF(AP110="7",BG110,0)</f>
        <v>0</v>
      </c>
      <c r="AD110" s="36">
        <f aca="true" t="shared" si="95" ref="AD110:AD129">IF(AP110="7",BH110,0)</f>
        <v>0</v>
      </c>
      <c r="AE110" s="36">
        <f aca="true" t="shared" si="96" ref="AE110:AE129">IF(AP110="2",BG110,0)</f>
        <v>0</v>
      </c>
      <c r="AF110" s="36">
        <f aca="true" t="shared" si="97" ref="AF110:AF129">IF(AP110="2",BH110,0)</f>
        <v>0</v>
      </c>
      <c r="AG110" s="36">
        <f aca="true" t="shared" si="98" ref="AG110:AG129">IF(AP110="0",BI110,0)</f>
        <v>0</v>
      </c>
      <c r="AH110" s="54" t="s">
        <v>70</v>
      </c>
      <c r="AI110" s="50">
        <f aca="true" t="shared" si="99" ref="AI110:AI129">IF(AM110=0,K110,0)</f>
        <v>0</v>
      </c>
      <c r="AJ110" s="50">
        <f aca="true" t="shared" si="100" ref="AJ110:AJ129">IF(AM110=15,K110,0)</f>
        <v>0</v>
      </c>
      <c r="AK110" s="50">
        <f aca="true" t="shared" si="101" ref="AK110:AK129">IF(AM110=21,K110,0)</f>
        <v>0</v>
      </c>
      <c r="AM110" s="36">
        <v>21</v>
      </c>
      <c r="AN110" s="36">
        <f>H110*0.018348623853211</f>
        <v>0</v>
      </c>
      <c r="AO110" s="36">
        <f>H110*(1-0.018348623853211)</f>
        <v>0</v>
      </c>
      <c r="AP110" s="55" t="s">
        <v>121</v>
      </c>
      <c r="AU110" s="36">
        <f aca="true" t="shared" si="102" ref="AU110:AU129">AV110+AW110</f>
        <v>0</v>
      </c>
      <c r="AV110" s="36">
        <f aca="true" t="shared" si="103" ref="AV110:AV129">G110*AN110</f>
        <v>0</v>
      </c>
      <c r="AW110" s="36">
        <f aca="true" t="shared" si="104" ref="AW110:AW129">G110*AO110</f>
        <v>0</v>
      </c>
      <c r="AX110" s="57" t="s">
        <v>789</v>
      </c>
      <c r="AY110" s="57" t="s">
        <v>817</v>
      </c>
      <c r="AZ110" s="54" t="s">
        <v>834</v>
      </c>
      <c r="BB110" s="36">
        <f aca="true" t="shared" si="105" ref="BB110:BB129">AV110+AW110</f>
        <v>0</v>
      </c>
      <c r="BC110" s="36">
        <f aca="true" t="shared" si="106" ref="BC110:BC129">H110/(100-BD110)*100</f>
        <v>0</v>
      </c>
      <c r="BD110" s="36">
        <v>0</v>
      </c>
      <c r="BE110" s="36">
        <f>110</f>
        <v>110</v>
      </c>
      <c r="BG110" s="50">
        <f aca="true" t="shared" si="107" ref="BG110:BG129">G110*AN110</f>
        <v>0</v>
      </c>
      <c r="BH110" s="50">
        <f aca="true" t="shared" si="108" ref="BH110:BH129">G110*AO110</f>
        <v>0</v>
      </c>
      <c r="BI110" s="50">
        <f aca="true" t="shared" si="109" ref="BI110:BI129">G110*H110</f>
        <v>0</v>
      </c>
    </row>
    <row r="111" spans="1:61" ht="12.75">
      <c r="A111" s="84" t="s">
        <v>186</v>
      </c>
      <c r="B111" s="84" t="s">
        <v>383</v>
      </c>
      <c r="C111" s="189" t="s">
        <v>608</v>
      </c>
      <c r="D111" s="186"/>
      <c r="E111" s="190"/>
      <c r="F111" s="84" t="s">
        <v>752</v>
      </c>
      <c r="G111" s="85">
        <v>6.3</v>
      </c>
      <c r="H111" s="85">
        <v>0</v>
      </c>
      <c r="I111" s="85">
        <f t="shared" si="88"/>
        <v>0</v>
      </c>
      <c r="J111" s="85">
        <f t="shared" si="89"/>
        <v>0</v>
      </c>
      <c r="K111" s="85">
        <f t="shared" si="90"/>
        <v>0</v>
      </c>
      <c r="Y111" s="36">
        <f t="shared" si="91"/>
        <v>0</v>
      </c>
      <c r="AA111" s="36">
        <f t="shared" si="92"/>
        <v>0</v>
      </c>
      <c r="AB111" s="36">
        <f t="shared" si="93"/>
        <v>0</v>
      </c>
      <c r="AC111" s="36">
        <f t="shared" si="94"/>
        <v>0</v>
      </c>
      <c r="AD111" s="36">
        <f t="shared" si="95"/>
        <v>0</v>
      </c>
      <c r="AE111" s="36">
        <f t="shared" si="96"/>
        <v>0</v>
      </c>
      <c r="AF111" s="36">
        <f t="shared" si="97"/>
        <v>0</v>
      </c>
      <c r="AG111" s="36">
        <f t="shared" si="98"/>
        <v>0</v>
      </c>
      <c r="AH111" s="54" t="s">
        <v>70</v>
      </c>
      <c r="AI111" s="51">
        <f t="shared" si="99"/>
        <v>0</v>
      </c>
      <c r="AJ111" s="51">
        <f t="shared" si="100"/>
        <v>0</v>
      </c>
      <c r="AK111" s="51">
        <f t="shared" si="101"/>
        <v>0</v>
      </c>
      <c r="AM111" s="36">
        <v>21</v>
      </c>
      <c r="AN111" s="36">
        <f>H111*1</f>
        <v>0</v>
      </c>
      <c r="AO111" s="36">
        <f>H111*(1-1)</f>
        <v>0</v>
      </c>
      <c r="AP111" s="56" t="s">
        <v>121</v>
      </c>
      <c r="AU111" s="36">
        <f t="shared" si="102"/>
        <v>0</v>
      </c>
      <c r="AV111" s="36">
        <f t="shared" si="103"/>
        <v>0</v>
      </c>
      <c r="AW111" s="36">
        <f t="shared" si="104"/>
        <v>0</v>
      </c>
      <c r="AX111" s="57" t="s">
        <v>789</v>
      </c>
      <c r="AY111" s="57" t="s">
        <v>817</v>
      </c>
      <c r="AZ111" s="54" t="s">
        <v>834</v>
      </c>
      <c r="BB111" s="36">
        <f t="shared" si="105"/>
        <v>0</v>
      </c>
      <c r="BC111" s="36">
        <f t="shared" si="106"/>
        <v>0</v>
      </c>
      <c r="BD111" s="36">
        <v>0</v>
      </c>
      <c r="BE111" s="36">
        <f>111</f>
        <v>111</v>
      </c>
      <c r="BG111" s="51">
        <f t="shared" si="107"/>
        <v>0</v>
      </c>
      <c r="BH111" s="51">
        <f t="shared" si="108"/>
        <v>0</v>
      </c>
      <c r="BI111" s="51">
        <f t="shared" si="109"/>
        <v>0</v>
      </c>
    </row>
    <row r="112" spans="1:61" ht="12.75">
      <c r="A112" s="84" t="s">
        <v>187</v>
      </c>
      <c r="B112" s="84" t="s">
        <v>384</v>
      </c>
      <c r="C112" s="189" t="s">
        <v>609</v>
      </c>
      <c r="D112" s="186"/>
      <c r="E112" s="190"/>
      <c r="F112" s="84" t="s">
        <v>749</v>
      </c>
      <c r="G112" s="85">
        <v>12</v>
      </c>
      <c r="H112" s="85">
        <v>0</v>
      </c>
      <c r="I112" s="85">
        <f t="shared" si="88"/>
        <v>0</v>
      </c>
      <c r="J112" s="85">
        <f t="shared" si="89"/>
        <v>0</v>
      </c>
      <c r="K112" s="85">
        <f t="shared" si="90"/>
        <v>0</v>
      </c>
      <c r="Y112" s="36">
        <f t="shared" si="91"/>
        <v>0</v>
      </c>
      <c r="AA112" s="36">
        <f t="shared" si="92"/>
        <v>0</v>
      </c>
      <c r="AB112" s="36">
        <f t="shared" si="93"/>
        <v>0</v>
      </c>
      <c r="AC112" s="36">
        <f t="shared" si="94"/>
        <v>0</v>
      </c>
      <c r="AD112" s="36">
        <f t="shared" si="95"/>
        <v>0</v>
      </c>
      <c r="AE112" s="36">
        <f t="shared" si="96"/>
        <v>0</v>
      </c>
      <c r="AF112" s="36">
        <f t="shared" si="97"/>
        <v>0</v>
      </c>
      <c r="AG112" s="36">
        <f t="shared" si="98"/>
        <v>0</v>
      </c>
      <c r="AH112" s="54" t="s">
        <v>70</v>
      </c>
      <c r="AI112" s="51">
        <f t="shared" si="99"/>
        <v>0</v>
      </c>
      <c r="AJ112" s="51">
        <f t="shared" si="100"/>
        <v>0</v>
      </c>
      <c r="AK112" s="51">
        <f t="shared" si="101"/>
        <v>0</v>
      </c>
      <c r="AM112" s="36">
        <v>21</v>
      </c>
      <c r="AN112" s="36">
        <f>H112*1</f>
        <v>0</v>
      </c>
      <c r="AO112" s="36">
        <f>H112*(1-1)</f>
        <v>0</v>
      </c>
      <c r="AP112" s="56" t="s">
        <v>121</v>
      </c>
      <c r="AU112" s="36">
        <f t="shared" si="102"/>
        <v>0</v>
      </c>
      <c r="AV112" s="36">
        <f t="shared" si="103"/>
        <v>0</v>
      </c>
      <c r="AW112" s="36">
        <f t="shared" si="104"/>
        <v>0</v>
      </c>
      <c r="AX112" s="57" t="s">
        <v>789</v>
      </c>
      <c r="AY112" s="57" t="s">
        <v>817</v>
      </c>
      <c r="AZ112" s="54" t="s">
        <v>834</v>
      </c>
      <c r="BB112" s="36">
        <f t="shared" si="105"/>
        <v>0</v>
      </c>
      <c r="BC112" s="36">
        <f t="shared" si="106"/>
        <v>0</v>
      </c>
      <c r="BD112" s="36">
        <v>0</v>
      </c>
      <c r="BE112" s="36">
        <f>112</f>
        <v>112</v>
      </c>
      <c r="BG112" s="51">
        <f t="shared" si="107"/>
        <v>0</v>
      </c>
      <c r="BH112" s="51">
        <f t="shared" si="108"/>
        <v>0</v>
      </c>
      <c r="BI112" s="51">
        <f t="shared" si="109"/>
        <v>0</v>
      </c>
    </row>
    <row r="113" spans="1:61" ht="12.75">
      <c r="A113" s="82" t="s">
        <v>188</v>
      </c>
      <c r="B113" s="82" t="s">
        <v>385</v>
      </c>
      <c r="C113" s="179" t="s">
        <v>610</v>
      </c>
      <c r="D113" s="180"/>
      <c r="E113" s="181"/>
      <c r="F113" s="82" t="s">
        <v>749</v>
      </c>
      <c r="G113" s="83">
        <v>9</v>
      </c>
      <c r="H113" s="83">
        <v>0</v>
      </c>
      <c r="I113" s="83">
        <f t="shared" si="88"/>
        <v>0</v>
      </c>
      <c r="J113" s="83">
        <f t="shared" si="89"/>
        <v>0</v>
      </c>
      <c r="K113" s="83">
        <f t="shared" si="90"/>
        <v>0</v>
      </c>
      <c r="Y113" s="36">
        <f t="shared" si="91"/>
        <v>0</v>
      </c>
      <c r="AA113" s="36">
        <f t="shared" si="92"/>
        <v>0</v>
      </c>
      <c r="AB113" s="36">
        <f t="shared" si="93"/>
        <v>0</v>
      </c>
      <c r="AC113" s="36">
        <f t="shared" si="94"/>
        <v>0</v>
      </c>
      <c r="AD113" s="36">
        <f t="shared" si="95"/>
        <v>0</v>
      </c>
      <c r="AE113" s="36">
        <f t="shared" si="96"/>
        <v>0</v>
      </c>
      <c r="AF113" s="36">
        <f t="shared" si="97"/>
        <v>0</v>
      </c>
      <c r="AG113" s="36">
        <f t="shared" si="98"/>
        <v>0</v>
      </c>
      <c r="AH113" s="54" t="s">
        <v>70</v>
      </c>
      <c r="AI113" s="50">
        <f t="shared" si="99"/>
        <v>0</v>
      </c>
      <c r="AJ113" s="50">
        <f t="shared" si="100"/>
        <v>0</v>
      </c>
      <c r="AK113" s="50">
        <f t="shared" si="101"/>
        <v>0</v>
      </c>
      <c r="AM113" s="36">
        <v>21</v>
      </c>
      <c r="AN113" s="36">
        <f>H113*0.0628150134048257</f>
        <v>0</v>
      </c>
      <c r="AO113" s="36">
        <f>H113*(1-0.0628150134048257)</f>
        <v>0</v>
      </c>
      <c r="AP113" s="55" t="s">
        <v>121</v>
      </c>
      <c r="AU113" s="36">
        <f t="shared" si="102"/>
        <v>0</v>
      </c>
      <c r="AV113" s="36">
        <f t="shared" si="103"/>
        <v>0</v>
      </c>
      <c r="AW113" s="36">
        <f t="shared" si="104"/>
        <v>0</v>
      </c>
      <c r="AX113" s="57" t="s">
        <v>789</v>
      </c>
      <c r="AY113" s="57" t="s">
        <v>817</v>
      </c>
      <c r="AZ113" s="54" t="s">
        <v>834</v>
      </c>
      <c r="BB113" s="36">
        <f t="shared" si="105"/>
        <v>0</v>
      </c>
      <c r="BC113" s="36">
        <f t="shared" si="106"/>
        <v>0</v>
      </c>
      <c r="BD113" s="36">
        <v>0</v>
      </c>
      <c r="BE113" s="36">
        <f>113</f>
        <v>113</v>
      </c>
      <c r="BG113" s="50">
        <f t="shared" si="107"/>
        <v>0</v>
      </c>
      <c r="BH113" s="50">
        <f t="shared" si="108"/>
        <v>0</v>
      </c>
      <c r="BI113" s="50">
        <f t="shared" si="109"/>
        <v>0</v>
      </c>
    </row>
    <row r="114" spans="1:61" ht="12.75">
      <c r="A114" s="84" t="s">
        <v>189</v>
      </c>
      <c r="B114" s="84" t="s">
        <v>386</v>
      </c>
      <c r="C114" s="189" t="s">
        <v>611</v>
      </c>
      <c r="D114" s="186"/>
      <c r="E114" s="190"/>
      <c r="F114" s="84" t="s">
        <v>749</v>
      </c>
      <c r="G114" s="85">
        <v>6</v>
      </c>
      <c r="H114" s="85">
        <v>0</v>
      </c>
      <c r="I114" s="85">
        <f t="shared" si="88"/>
        <v>0</v>
      </c>
      <c r="J114" s="85">
        <f t="shared" si="89"/>
        <v>0</v>
      </c>
      <c r="K114" s="85">
        <f t="shared" si="90"/>
        <v>0</v>
      </c>
      <c r="Y114" s="36">
        <f t="shared" si="91"/>
        <v>0</v>
      </c>
      <c r="AA114" s="36">
        <f t="shared" si="92"/>
        <v>0</v>
      </c>
      <c r="AB114" s="36">
        <f t="shared" si="93"/>
        <v>0</v>
      </c>
      <c r="AC114" s="36">
        <f t="shared" si="94"/>
        <v>0</v>
      </c>
      <c r="AD114" s="36">
        <f t="shared" si="95"/>
        <v>0</v>
      </c>
      <c r="AE114" s="36">
        <f t="shared" si="96"/>
        <v>0</v>
      </c>
      <c r="AF114" s="36">
        <f t="shared" si="97"/>
        <v>0</v>
      </c>
      <c r="AG114" s="36">
        <f t="shared" si="98"/>
        <v>0</v>
      </c>
      <c r="AH114" s="54" t="s">
        <v>70</v>
      </c>
      <c r="AI114" s="51">
        <f t="shared" si="99"/>
        <v>0</v>
      </c>
      <c r="AJ114" s="51">
        <f t="shared" si="100"/>
        <v>0</v>
      </c>
      <c r="AK114" s="51">
        <f t="shared" si="101"/>
        <v>0</v>
      </c>
      <c r="AM114" s="36">
        <v>21</v>
      </c>
      <c r="AN114" s="36">
        <f>H114*1</f>
        <v>0</v>
      </c>
      <c r="AO114" s="36">
        <f>H114*(1-1)</f>
        <v>0</v>
      </c>
      <c r="AP114" s="56" t="s">
        <v>121</v>
      </c>
      <c r="AU114" s="36">
        <f t="shared" si="102"/>
        <v>0</v>
      </c>
      <c r="AV114" s="36">
        <f t="shared" si="103"/>
        <v>0</v>
      </c>
      <c r="AW114" s="36">
        <f t="shared" si="104"/>
        <v>0</v>
      </c>
      <c r="AX114" s="57" t="s">
        <v>789</v>
      </c>
      <c r="AY114" s="57" t="s">
        <v>817</v>
      </c>
      <c r="AZ114" s="54" t="s">
        <v>834</v>
      </c>
      <c r="BB114" s="36">
        <f t="shared" si="105"/>
        <v>0</v>
      </c>
      <c r="BC114" s="36">
        <f t="shared" si="106"/>
        <v>0</v>
      </c>
      <c r="BD114" s="36">
        <v>0</v>
      </c>
      <c r="BE114" s="36">
        <f>114</f>
        <v>114</v>
      </c>
      <c r="BG114" s="51">
        <f t="shared" si="107"/>
        <v>0</v>
      </c>
      <c r="BH114" s="51">
        <f t="shared" si="108"/>
        <v>0</v>
      </c>
      <c r="BI114" s="51">
        <f t="shared" si="109"/>
        <v>0</v>
      </c>
    </row>
    <row r="115" spans="1:61" ht="12.75">
      <c r="A115" s="82" t="s">
        <v>190</v>
      </c>
      <c r="B115" s="82" t="s">
        <v>387</v>
      </c>
      <c r="C115" s="179" t="s">
        <v>612</v>
      </c>
      <c r="D115" s="180"/>
      <c r="E115" s="181"/>
      <c r="F115" s="82" t="s">
        <v>752</v>
      </c>
      <c r="G115" s="83">
        <v>12.4</v>
      </c>
      <c r="H115" s="83">
        <v>0</v>
      </c>
      <c r="I115" s="83">
        <f t="shared" si="88"/>
        <v>0</v>
      </c>
      <c r="J115" s="83">
        <f t="shared" si="89"/>
        <v>0</v>
      </c>
      <c r="K115" s="83">
        <f t="shared" si="90"/>
        <v>0</v>
      </c>
      <c r="Y115" s="36">
        <f t="shared" si="91"/>
        <v>0</v>
      </c>
      <c r="AA115" s="36">
        <f t="shared" si="92"/>
        <v>0</v>
      </c>
      <c r="AB115" s="36">
        <f t="shared" si="93"/>
        <v>0</v>
      </c>
      <c r="AC115" s="36">
        <f t="shared" si="94"/>
        <v>0</v>
      </c>
      <c r="AD115" s="36">
        <f t="shared" si="95"/>
        <v>0</v>
      </c>
      <c r="AE115" s="36">
        <f t="shared" si="96"/>
        <v>0</v>
      </c>
      <c r="AF115" s="36">
        <f t="shared" si="97"/>
        <v>0</v>
      </c>
      <c r="AG115" s="36">
        <f t="shared" si="98"/>
        <v>0</v>
      </c>
      <c r="AH115" s="54" t="s">
        <v>70</v>
      </c>
      <c r="AI115" s="50">
        <f t="shared" si="99"/>
        <v>0</v>
      </c>
      <c r="AJ115" s="50">
        <f t="shared" si="100"/>
        <v>0</v>
      </c>
      <c r="AK115" s="50">
        <f t="shared" si="101"/>
        <v>0</v>
      </c>
      <c r="AM115" s="36">
        <v>21</v>
      </c>
      <c r="AN115" s="36">
        <f>H115*0.0601297016861219</f>
        <v>0</v>
      </c>
      <c r="AO115" s="36">
        <f>H115*(1-0.0601297016861219)</f>
        <v>0</v>
      </c>
      <c r="AP115" s="55" t="s">
        <v>121</v>
      </c>
      <c r="AU115" s="36">
        <f t="shared" si="102"/>
        <v>0</v>
      </c>
      <c r="AV115" s="36">
        <f t="shared" si="103"/>
        <v>0</v>
      </c>
      <c r="AW115" s="36">
        <f t="shared" si="104"/>
        <v>0</v>
      </c>
      <c r="AX115" s="57" t="s">
        <v>789</v>
      </c>
      <c r="AY115" s="57" t="s">
        <v>817</v>
      </c>
      <c r="AZ115" s="54" t="s">
        <v>834</v>
      </c>
      <c r="BB115" s="36">
        <f t="shared" si="105"/>
        <v>0</v>
      </c>
      <c r="BC115" s="36">
        <f t="shared" si="106"/>
        <v>0</v>
      </c>
      <c r="BD115" s="36">
        <v>0</v>
      </c>
      <c r="BE115" s="36">
        <f>115</f>
        <v>115</v>
      </c>
      <c r="BG115" s="50">
        <f t="shared" si="107"/>
        <v>0</v>
      </c>
      <c r="BH115" s="50">
        <f t="shared" si="108"/>
        <v>0</v>
      </c>
      <c r="BI115" s="50">
        <f t="shared" si="109"/>
        <v>0</v>
      </c>
    </row>
    <row r="116" spans="1:61" ht="12.75">
      <c r="A116" s="84" t="s">
        <v>191</v>
      </c>
      <c r="B116" s="84" t="s">
        <v>388</v>
      </c>
      <c r="C116" s="189" t="s">
        <v>613</v>
      </c>
      <c r="D116" s="186"/>
      <c r="E116" s="190"/>
      <c r="F116" s="84" t="s">
        <v>749</v>
      </c>
      <c r="G116" s="85">
        <v>2</v>
      </c>
      <c r="H116" s="85">
        <v>0</v>
      </c>
      <c r="I116" s="85">
        <f t="shared" si="88"/>
        <v>0</v>
      </c>
      <c r="J116" s="85">
        <f t="shared" si="89"/>
        <v>0</v>
      </c>
      <c r="K116" s="85">
        <f t="shared" si="90"/>
        <v>0</v>
      </c>
      <c r="Y116" s="36">
        <f t="shared" si="91"/>
        <v>0</v>
      </c>
      <c r="AA116" s="36">
        <f t="shared" si="92"/>
        <v>0</v>
      </c>
      <c r="AB116" s="36">
        <f t="shared" si="93"/>
        <v>0</v>
      </c>
      <c r="AC116" s="36">
        <f t="shared" si="94"/>
        <v>0</v>
      </c>
      <c r="AD116" s="36">
        <f t="shared" si="95"/>
        <v>0</v>
      </c>
      <c r="AE116" s="36">
        <f t="shared" si="96"/>
        <v>0</v>
      </c>
      <c r="AF116" s="36">
        <f t="shared" si="97"/>
        <v>0</v>
      </c>
      <c r="AG116" s="36">
        <f t="shared" si="98"/>
        <v>0</v>
      </c>
      <c r="AH116" s="54" t="s">
        <v>70</v>
      </c>
      <c r="AI116" s="51">
        <f t="shared" si="99"/>
        <v>0</v>
      </c>
      <c r="AJ116" s="51">
        <f t="shared" si="100"/>
        <v>0</v>
      </c>
      <c r="AK116" s="51">
        <f t="shared" si="101"/>
        <v>0</v>
      </c>
      <c r="AM116" s="36">
        <v>21</v>
      </c>
      <c r="AN116" s="36">
        <f>H116*1</f>
        <v>0</v>
      </c>
      <c r="AO116" s="36">
        <f>H116*(1-1)</f>
        <v>0</v>
      </c>
      <c r="AP116" s="56" t="s">
        <v>121</v>
      </c>
      <c r="AU116" s="36">
        <f t="shared" si="102"/>
        <v>0</v>
      </c>
      <c r="AV116" s="36">
        <f t="shared" si="103"/>
        <v>0</v>
      </c>
      <c r="AW116" s="36">
        <f t="shared" si="104"/>
        <v>0</v>
      </c>
      <c r="AX116" s="57" t="s">
        <v>789</v>
      </c>
      <c r="AY116" s="57" t="s">
        <v>817</v>
      </c>
      <c r="AZ116" s="54" t="s">
        <v>834</v>
      </c>
      <c r="BB116" s="36">
        <f t="shared" si="105"/>
        <v>0</v>
      </c>
      <c r="BC116" s="36">
        <f t="shared" si="106"/>
        <v>0</v>
      </c>
      <c r="BD116" s="36">
        <v>0</v>
      </c>
      <c r="BE116" s="36">
        <f>116</f>
        <v>116</v>
      </c>
      <c r="BG116" s="51">
        <f t="shared" si="107"/>
        <v>0</v>
      </c>
      <c r="BH116" s="51">
        <f t="shared" si="108"/>
        <v>0</v>
      </c>
      <c r="BI116" s="51">
        <f t="shared" si="109"/>
        <v>0</v>
      </c>
    </row>
    <row r="117" spans="1:61" ht="12.75">
      <c r="A117" s="82" t="s">
        <v>192</v>
      </c>
      <c r="B117" s="82" t="s">
        <v>389</v>
      </c>
      <c r="C117" s="179" t="s">
        <v>614</v>
      </c>
      <c r="D117" s="180"/>
      <c r="E117" s="181"/>
      <c r="F117" s="82" t="s">
        <v>749</v>
      </c>
      <c r="G117" s="83">
        <v>3</v>
      </c>
      <c r="H117" s="83">
        <v>0</v>
      </c>
      <c r="I117" s="83">
        <f t="shared" si="88"/>
        <v>0</v>
      </c>
      <c r="J117" s="83">
        <f t="shared" si="89"/>
        <v>0</v>
      </c>
      <c r="K117" s="83">
        <f t="shared" si="90"/>
        <v>0</v>
      </c>
      <c r="Y117" s="36">
        <f t="shared" si="91"/>
        <v>0</v>
      </c>
      <c r="AA117" s="36">
        <f t="shared" si="92"/>
        <v>0</v>
      </c>
      <c r="AB117" s="36">
        <f t="shared" si="93"/>
        <v>0</v>
      </c>
      <c r="AC117" s="36">
        <f t="shared" si="94"/>
        <v>0</v>
      </c>
      <c r="AD117" s="36">
        <f t="shared" si="95"/>
        <v>0</v>
      </c>
      <c r="AE117" s="36">
        <f t="shared" si="96"/>
        <v>0</v>
      </c>
      <c r="AF117" s="36">
        <f t="shared" si="97"/>
        <v>0</v>
      </c>
      <c r="AG117" s="36">
        <f t="shared" si="98"/>
        <v>0</v>
      </c>
      <c r="AH117" s="54" t="s">
        <v>70</v>
      </c>
      <c r="AI117" s="50">
        <f t="shared" si="99"/>
        <v>0</v>
      </c>
      <c r="AJ117" s="50">
        <f t="shared" si="100"/>
        <v>0</v>
      </c>
      <c r="AK117" s="50">
        <f t="shared" si="101"/>
        <v>0</v>
      </c>
      <c r="AM117" s="36">
        <v>21</v>
      </c>
      <c r="AN117" s="36">
        <f>H117*0.152706216249679</f>
        <v>0</v>
      </c>
      <c r="AO117" s="36">
        <f>H117*(1-0.152706216249679)</f>
        <v>0</v>
      </c>
      <c r="AP117" s="55" t="s">
        <v>121</v>
      </c>
      <c r="AU117" s="36">
        <f t="shared" si="102"/>
        <v>0</v>
      </c>
      <c r="AV117" s="36">
        <f t="shared" si="103"/>
        <v>0</v>
      </c>
      <c r="AW117" s="36">
        <f t="shared" si="104"/>
        <v>0</v>
      </c>
      <c r="AX117" s="57" t="s">
        <v>789</v>
      </c>
      <c r="AY117" s="57" t="s">
        <v>817</v>
      </c>
      <c r="AZ117" s="54" t="s">
        <v>834</v>
      </c>
      <c r="BB117" s="36">
        <f t="shared" si="105"/>
        <v>0</v>
      </c>
      <c r="BC117" s="36">
        <f t="shared" si="106"/>
        <v>0</v>
      </c>
      <c r="BD117" s="36">
        <v>0</v>
      </c>
      <c r="BE117" s="36">
        <f>117</f>
        <v>117</v>
      </c>
      <c r="BG117" s="50">
        <f t="shared" si="107"/>
        <v>0</v>
      </c>
      <c r="BH117" s="50">
        <f t="shared" si="108"/>
        <v>0</v>
      </c>
      <c r="BI117" s="50">
        <f t="shared" si="109"/>
        <v>0</v>
      </c>
    </row>
    <row r="118" spans="1:61" ht="12.75">
      <c r="A118" s="84" t="s">
        <v>193</v>
      </c>
      <c r="B118" s="84" t="s">
        <v>390</v>
      </c>
      <c r="C118" s="189" t="s">
        <v>615</v>
      </c>
      <c r="D118" s="186"/>
      <c r="E118" s="190"/>
      <c r="F118" s="84" t="s">
        <v>749</v>
      </c>
      <c r="G118" s="85">
        <v>3</v>
      </c>
      <c r="H118" s="85">
        <v>0</v>
      </c>
      <c r="I118" s="85">
        <f t="shared" si="88"/>
        <v>0</v>
      </c>
      <c r="J118" s="85">
        <f t="shared" si="89"/>
        <v>0</v>
      </c>
      <c r="K118" s="85">
        <f t="shared" si="90"/>
        <v>0</v>
      </c>
      <c r="Y118" s="36">
        <f t="shared" si="91"/>
        <v>0</v>
      </c>
      <c r="AA118" s="36">
        <f t="shared" si="92"/>
        <v>0</v>
      </c>
      <c r="AB118" s="36">
        <f t="shared" si="93"/>
        <v>0</v>
      </c>
      <c r="AC118" s="36">
        <f t="shared" si="94"/>
        <v>0</v>
      </c>
      <c r="AD118" s="36">
        <f t="shared" si="95"/>
        <v>0</v>
      </c>
      <c r="AE118" s="36">
        <f t="shared" si="96"/>
        <v>0</v>
      </c>
      <c r="AF118" s="36">
        <f t="shared" si="97"/>
        <v>0</v>
      </c>
      <c r="AG118" s="36">
        <f t="shared" si="98"/>
        <v>0</v>
      </c>
      <c r="AH118" s="54" t="s">
        <v>70</v>
      </c>
      <c r="AI118" s="51">
        <f t="shared" si="99"/>
        <v>0</v>
      </c>
      <c r="AJ118" s="51">
        <f t="shared" si="100"/>
        <v>0</v>
      </c>
      <c r="AK118" s="51">
        <f t="shared" si="101"/>
        <v>0</v>
      </c>
      <c r="AM118" s="36">
        <v>21</v>
      </c>
      <c r="AN118" s="36">
        <f>H118*1</f>
        <v>0</v>
      </c>
      <c r="AO118" s="36">
        <f>H118*(1-1)</f>
        <v>0</v>
      </c>
      <c r="AP118" s="56" t="s">
        <v>121</v>
      </c>
      <c r="AU118" s="36">
        <f t="shared" si="102"/>
        <v>0</v>
      </c>
      <c r="AV118" s="36">
        <f t="shared" si="103"/>
        <v>0</v>
      </c>
      <c r="AW118" s="36">
        <f t="shared" si="104"/>
        <v>0</v>
      </c>
      <c r="AX118" s="57" t="s">
        <v>789</v>
      </c>
      <c r="AY118" s="57" t="s">
        <v>817</v>
      </c>
      <c r="AZ118" s="54" t="s">
        <v>834</v>
      </c>
      <c r="BB118" s="36">
        <f t="shared" si="105"/>
        <v>0</v>
      </c>
      <c r="BC118" s="36">
        <f t="shared" si="106"/>
        <v>0</v>
      </c>
      <c r="BD118" s="36">
        <v>0</v>
      </c>
      <c r="BE118" s="36">
        <f>118</f>
        <v>118</v>
      </c>
      <c r="BG118" s="51">
        <f t="shared" si="107"/>
        <v>0</v>
      </c>
      <c r="BH118" s="51">
        <f t="shared" si="108"/>
        <v>0</v>
      </c>
      <c r="BI118" s="51">
        <f t="shared" si="109"/>
        <v>0</v>
      </c>
    </row>
    <row r="119" spans="1:61" ht="12.75">
      <c r="A119" s="82" t="s">
        <v>194</v>
      </c>
      <c r="B119" s="82" t="s">
        <v>391</v>
      </c>
      <c r="C119" s="179" t="s">
        <v>616</v>
      </c>
      <c r="D119" s="180"/>
      <c r="E119" s="181"/>
      <c r="F119" s="82" t="s">
        <v>749</v>
      </c>
      <c r="G119" s="83">
        <v>1</v>
      </c>
      <c r="H119" s="83">
        <v>0</v>
      </c>
      <c r="I119" s="83">
        <f t="shared" si="88"/>
        <v>0</v>
      </c>
      <c r="J119" s="83">
        <f t="shared" si="89"/>
        <v>0</v>
      </c>
      <c r="K119" s="83">
        <f t="shared" si="90"/>
        <v>0</v>
      </c>
      <c r="Y119" s="36">
        <f t="shared" si="91"/>
        <v>0</v>
      </c>
      <c r="AA119" s="36">
        <f t="shared" si="92"/>
        <v>0</v>
      </c>
      <c r="AB119" s="36">
        <f t="shared" si="93"/>
        <v>0</v>
      </c>
      <c r="AC119" s="36">
        <f t="shared" si="94"/>
        <v>0</v>
      </c>
      <c r="AD119" s="36">
        <f t="shared" si="95"/>
        <v>0</v>
      </c>
      <c r="AE119" s="36">
        <f t="shared" si="96"/>
        <v>0</v>
      </c>
      <c r="AF119" s="36">
        <f t="shared" si="97"/>
        <v>0</v>
      </c>
      <c r="AG119" s="36">
        <f t="shared" si="98"/>
        <v>0</v>
      </c>
      <c r="AH119" s="54" t="s">
        <v>70</v>
      </c>
      <c r="AI119" s="50">
        <f t="shared" si="99"/>
        <v>0</v>
      </c>
      <c r="AJ119" s="50">
        <f t="shared" si="100"/>
        <v>0</v>
      </c>
      <c r="AK119" s="50">
        <f t="shared" si="101"/>
        <v>0</v>
      </c>
      <c r="AM119" s="36">
        <v>21</v>
      </c>
      <c r="AN119" s="36">
        <f>H119*0.190766473229339</f>
        <v>0</v>
      </c>
      <c r="AO119" s="36">
        <f>H119*(1-0.190766473229339)</f>
        <v>0</v>
      </c>
      <c r="AP119" s="55" t="s">
        <v>121</v>
      </c>
      <c r="AU119" s="36">
        <f t="shared" si="102"/>
        <v>0</v>
      </c>
      <c r="AV119" s="36">
        <f t="shared" si="103"/>
        <v>0</v>
      </c>
      <c r="AW119" s="36">
        <f t="shared" si="104"/>
        <v>0</v>
      </c>
      <c r="AX119" s="57" t="s">
        <v>789</v>
      </c>
      <c r="AY119" s="57" t="s">
        <v>817</v>
      </c>
      <c r="AZ119" s="54" t="s">
        <v>834</v>
      </c>
      <c r="BB119" s="36">
        <f t="shared" si="105"/>
        <v>0</v>
      </c>
      <c r="BC119" s="36">
        <f t="shared" si="106"/>
        <v>0</v>
      </c>
      <c r="BD119" s="36">
        <v>0</v>
      </c>
      <c r="BE119" s="36">
        <f>119</f>
        <v>119</v>
      </c>
      <c r="BG119" s="50">
        <f t="shared" si="107"/>
        <v>0</v>
      </c>
      <c r="BH119" s="50">
        <f t="shared" si="108"/>
        <v>0</v>
      </c>
      <c r="BI119" s="50">
        <f t="shared" si="109"/>
        <v>0</v>
      </c>
    </row>
    <row r="120" spans="1:61" ht="12.75">
      <c r="A120" s="84" t="s">
        <v>195</v>
      </c>
      <c r="B120" s="84" t="s">
        <v>392</v>
      </c>
      <c r="C120" s="189" t="s">
        <v>617</v>
      </c>
      <c r="D120" s="186"/>
      <c r="E120" s="190"/>
      <c r="F120" s="84" t="s">
        <v>749</v>
      </c>
      <c r="G120" s="85">
        <v>1</v>
      </c>
      <c r="H120" s="85">
        <v>0</v>
      </c>
      <c r="I120" s="85">
        <f t="shared" si="88"/>
        <v>0</v>
      </c>
      <c r="J120" s="85">
        <f t="shared" si="89"/>
        <v>0</v>
      </c>
      <c r="K120" s="85">
        <f t="shared" si="90"/>
        <v>0</v>
      </c>
      <c r="Y120" s="36">
        <f t="shared" si="91"/>
        <v>0</v>
      </c>
      <c r="AA120" s="36">
        <f t="shared" si="92"/>
        <v>0</v>
      </c>
      <c r="AB120" s="36">
        <f t="shared" si="93"/>
        <v>0</v>
      </c>
      <c r="AC120" s="36">
        <f t="shared" si="94"/>
        <v>0</v>
      </c>
      <c r="AD120" s="36">
        <f t="shared" si="95"/>
        <v>0</v>
      </c>
      <c r="AE120" s="36">
        <f t="shared" si="96"/>
        <v>0</v>
      </c>
      <c r="AF120" s="36">
        <f t="shared" si="97"/>
        <v>0</v>
      </c>
      <c r="AG120" s="36">
        <f t="shared" si="98"/>
        <v>0</v>
      </c>
      <c r="AH120" s="54" t="s">
        <v>70</v>
      </c>
      <c r="AI120" s="51">
        <f t="shared" si="99"/>
        <v>0</v>
      </c>
      <c r="AJ120" s="51">
        <f t="shared" si="100"/>
        <v>0</v>
      </c>
      <c r="AK120" s="51">
        <f t="shared" si="101"/>
        <v>0</v>
      </c>
      <c r="AM120" s="36">
        <v>21</v>
      </c>
      <c r="AN120" s="36">
        <f>H120*1</f>
        <v>0</v>
      </c>
      <c r="AO120" s="36">
        <f>H120*(1-1)</f>
        <v>0</v>
      </c>
      <c r="AP120" s="56" t="s">
        <v>121</v>
      </c>
      <c r="AU120" s="36">
        <f t="shared" si="102"/>
        <v>0</v>
      </c>
      <c r="AV120" s="36">
        <f t="shared" si="103"/>
        <v>0</v>
      </c>
      <c r="AW120" s="36">
        <f t="shared" si="104"/>
        <v>0</v>
      </c>
      <c r="AX120" s="57" t="s">
        <v>789</v>
      </c>
      <c r="AY120" s="57" t="s">
        <v>817</v>
      </c>
      <c r="AZ120" s="54" t="s">
        <v>834</v>
      </c>
      <c r="BB120" s="36">
        <f t="shared" si="105"/>
        <v>0</v>
      </c>
      <c r="BC120" s="36">
        <f t="shared" si="106"/>
        <v>0</v>
      </c>
      <c r="BD120" s="36">
        <v>0</v>
      </c>
      <c r="BE120" s="36">
        <f>120</f>
        <v>120</v>
      </c>
      <c r="BG120" s="51">
        <f t="shared" si="107"/>
        <v>0</v>
      </c>
      <c r="BH120" s="51">
        <f t="shared" si="108"/>
        <v>0</v>
      </c>
      <c r="BI120" s="51">
        <f t="shared" si="109"/>
        <v>0</v>
      </c>
    </row>
    <row r="121" spans="1:61" ht="12.75">
      <c r="A121" s="82" t="s">
        <v>196</v>
      </c>
      <c r="B121" s="82" t="s">
        <v>393</v>
      </c>
      <c r="C121" s="179" t="s">
        <v>618</v>
      </c>
      <c r="D121" s="180"/>
      <c r="E121" s="181"/>
      <c r="F121" s="82" t="s">
        <v>749</v>
      </c>
      <c r="G121" s="83">
        <v>4</v>
      </c>
      <c r="H121" s="83">
        <v>0</v>
      </c>
      <c r="I121" s="83">
        <f t="shared" si="88"/>
        <v>0</v>
      </c>
      <c r="J121" s="83">
        <f t="shared" si="89"/>
        <v>0</v>
      </c>
      <c r="K121" s="83">
        <f t="shared" si="90"/>
        <v>0</v>
      </c>
      <c r="Y121" s="36">
        <f t="shared" si="91"/>
        <v>0</v>
      </c>
      <c r="AA121" s="36">
        <f t="shared" si="92"/>
        <v>0</v>
      </c>
      <c r="AB121" s="36">
        <f t="shared" si="93"/>
        <v>0</v>
      </c>
      <c r="AC121" s="36">
        <f t="shared" si="94"/>
        <v>0</v>
      </c>
      <c r="AD121" s="36">
        <f t="shared" si="95"/>
        <v>0</v>
      </c>
      <c r="AE121" s="36">
        <f t="shared" si="96"/>
        <v>0</v>
      </c>
      <c r="AF121" s="36">
        <f t="shared" si="97"/>
        <v>0</v>
      </c>
      <c r="AG121" s="36">
        <f t="shared" si="98"/>
        <v>0</v>
      </c>
      <c r="AH121" s="54" t="s">
        <v>70</v>
      </c>
      <c r="AI121" s="50">
        <f t="shared" si="99"/>
        <v>0</v>
      </c>
      <c r="AJ121" s="50">
        <f t="shared" si="100"/>
        <v>0</v>
      </c>
      <c r="AK121" s="50">
        <f t="shared" si="101"/>
        <v>0</v>
      </c>
      <c r="AM121" s="36">
        <v>21</v>
      </c>
      <c r="AN121" s="36">
        <f>H121*0</f>
        <v>0</v>
      </c>
      <c r="AO121" s="36">
        <f>H121*(1-0)</f>
        <v>0</v>
      </c>
      <c r="AP121" s="55" t="s">
        <v>121</v>
      </c>
      <c r="AU121" s="36">
        <f t="shared" si="102"/>
        <v>0</v>
      </c>
      <c r="AV121" s="36">
        <f t="shared" si="103"/>
        <v>0</v>
      </c>
      <c r="AW121" s="36">
        <f t="shared" si="104"/>
        <v>0</v>
      </c>
      <c r="AX121" s="57" t="s">
        <v>789</v>
      </c>
      <c r="AY121" s="57" t="s">
        <v>817</v>
      </c>
      <c r="AZ121" s="54" t="s">
        <v>834</v>
      </c>
      <c r="BB121" s="36">
        <f t="shared" si="105"/>
        <v>0</v>
      </c>
      <c r="BC121" s="36">
        <f t="shared" si="106"/>
        <v>0</v>
      </c>
      <c r="BD121" s="36">
        <v>0</v>
      </c>
      <c r="BE121" s="36">
        <f>121</f>
        <v>121</v>
      </c>
      <c r="BG121" s="50">
        <f t="shared" si="107"/>
        <v>0</v>
      </c>
      <c r="BH121" s="50">
        <f t="shared" si="108"/>
        <v>0</v>
      </c>
      <c r="BI121" s="50">
        <f t="shared" si="109"/>
        <v>0</v>
      </c>
    </row>
    <row r="122" spans="1:61" ht="12.75">
      <c r="A122" s="84" t="s">
        <v>197</v>
      </c>
      <c r="B122" s="84" t="s">
        <v>394</v>
      </c>
      <c r="C122" s="189" t="s">
        <v>619</v>
      </c>
      <c r="D122" s="186"/>
      <c r="E122" s="190"/>
      <c r="F122" s="84" t="s">
        <v>749</v>
      </c>
      <c r="G122" s="85">
        <v>4</v>
      </c>
      <c r="H122" s="85">
        <v>0</v>
      </c>
      <c r="I122" s="85">
        <f t="shared" si="88"/>
        <v>0</v>
      </c>
      <c r="J122" s="85">
        <f t="shared" si="89"/>
        <v>0</v>
      </c>
      <c r="K122" s="85">
        <f t="shared" si="90"/>
        <v>0</v>
      </c>
      <c r="Y122" s="36">
        <f t="shared" si="91"/>
        <v>0</v>
      </c>
      <c r="AA122" s="36">
        <f t="shared" si="92"/>
        <v>0</v>
      </c>
      <c r="AB122" s="36">
        <f t="shared" si="93"/>
        <v>0</v>
      </c>
      <c r="AC122" s="36">
        <f t="shared" si="94"/>
        <v>0</v>
      </c>
      <c r="AD122" s="36">
        <f t="shared" si="95"/>
        <v>0</v>
      </c>
      <c r="AE122" s="36">
        <f t="shared" si="96"/>
        <v>0</v>
      </c>
      <c r="AF122" s="36">
        <f t="shared" si="97"/>
        <v>0</v>
      </c>
      <c r="AG122" s="36">
        <f t="shared" si="98"/>
        <v>0</v>
      </c>
      <c r="AH122" s="54" t="s">
        <v>70</v>
      </c>
      <c r="AI122" s="51">
        <f t="shared" si="99"/>
        <v>0</v>
      </c>
      <c r="AJ122" s="51">
        <f t="shared" si="100"/>
        <v>0</v>
      </c>
      <c r="AK122" s="51">
        <f t="shared" si="101"/>
        <v>0</v>
      </c>
      <c r="AM122" s="36">
        <v>21</v>
      </c>
      <c r="AN122" s="36">
        <f>H122*1</f>
        <v>0</v>
      </c>
      <c r="AO122" s="36">
        <f>H122*(1-1)</f>
        <v>0</v>
      </c>
      <c r="AP122" s="56" t="s">
        <v>121</v>
      </c>
      <c r="AU122" s="36">
        <f t="shared" si="102"/>
        <v>0</v>
      </c>
      <c r="AV122" s="36">
        <f t="shared" si="103"/>
        <v>0</v>
      </c>
      <c r="AW122" s="36">
        <f t="shared" si="104"/>
        <v>0</v>
      </c>
      <c r="AX122" s="57" t="s">
        <v>789</v>
      </c>
      <c r="AY122" s="57" t="s">
        <v>817</v>
      </c>
      <c r="AZ122" s="54" t="s">
        <v>834</v>
      </c>
      <c r="BB122" s="36">
        <f t="shared" si="105"/>
        <v>0</v>
      </c>
      <c r="BC122" s="36">
        <f t="shared" si="106"/>
        <v>0</v>
      </c>
      <c r="BD122" s="36">
        <v>0</v>
      </c>
      <c r="BE122" s="36">
        <f>122</f>
        <v>122</v>
      </c>
      <c r="BG122" s="51">
        <f t="shared" si="107"/>
        <v>0</v>
      </c>
      <c r="BH122" s="51">
        <f t="shared" si="108"/>
        <v>0</v>
      </c>
      <c r="BI122" s="51">
        <f t="shared" si="109"/>
        <v>0</v>
      </c>
    </row>
    <row r="123" spans="1:61" ht="12.75">
      <c r="A123" s="82" t="s">
        <v>198</v>
      </c>
      <c r="B123" s="82" t="s">
        <v>395</v>
      </c>
      <c r="C123" s="179" t="s">
        <v>620</v>
      </c>
      <c r="D123" s="180"/>
      <c r="E123" s="181"/>
      <c r="F123" s="82" t="s">
        <v>752</v>
      </c>
      <c r="G123" s="83">
        <v>3.53</v>
      </c>
      <c r="H123" s="83">
        <v>0</v>
      </c>
      <c r="I123" s="83">
        <f t="shared" si="88"/>
        <v>0</v>
      </c>
      <c r="J123" s="83">
        <f t="shared" si="89"/>
        <v>0</v>
      </c>
      <c r="K123" s="83">
        <f t="shared" si="90"/>
        <v>0</v>
      </c>
      <c r="Y123" s="36">
        <f t="shared" si="91"/>
        <v>0</v>
      </c>
      <c r="AA123" s="36">
        <f t="shared" si="92"/>
        <v>0</v>
      </c>
      <c r="AB123" s="36">
        <f t="shared" si="93"/>
        <v>0</v>
      </c>
      <c r="AC123" s="36">
        <f t="shared" si="94"/>
        <v>0</v>
      </c>
      <c r="AD123" s="36">
        <f t="shared" si="95"/>
        <v>0</v>
      </c>
      <c r="AE123" s="36">
        <f t="shared" si="96"/>
        <v>0</v>
      </c>
      <c r="AF123" s="36">
        <f t="shared" si="97"/>
        <v>0</v>
      </c>
      <c r="AG123" s="36">
        <f t="shared" si="98"/>
        <v>0</v>
      </c>
      <c r="AH123" s="54" t="s">
        <v>70</v>
      </c>
      <c r="AI123" s="50">
        <f t="shared" si="99"/>
        <v>0</v>
      </c>
      <c r="AJ123" s="50">
        <f t="shared" si="100"/>
        <v>0</v>
      </c>
      <c r="AK123" s="50">
        <f t="shared" si="101"/>
        <v>0</v>
      </c>
      <c r="AM123" s="36">
        <v>21</v>
      </c>
      <c r="AN123" s="36">
        <f>H123*0</f>
        <v>0</v>
      </c>
      <c r="AO123" s="36">
        <f>H123*(1-0)</f>
        <v>0</v>
      </c>
      <c r="AP123" s="55" t="s">
        <v>121</v>
      </c>
      <c r="AU123" s="36">
        <f t="shared" si="102"/>
        <v>0</v>
      </c>
      <c r="AV123" s="36">
        <f t="shared" si="103"/>
        <v>0</v>
      </c>
      <c r="AW123" s="36">
        <f t="shared" si="104"/>
        <v>0</v>
      </c>
      <c r="AX123" s="57" t="s">
        <v>789</v>
      </c>
      <c r="AY123" s="57" t="s">
        <v>817</v>
      </c>
      <c r="AZ123" s="54" t="s">
        <v>834</v>
      </c>
      <c r="BB123" s="36">
        <f t="shared" si="105"/>
        <v>0</v>
      </c>
      <c r="BC123" s="36">
        <f t="shared" si="106"/>
        <v>0</v>
      </c>
      <c r="BD123" s="36">
        <v>0</v>
      </c>
      <c r="BE123" s="36">
        <f>123</f>
        <v>123</v>
      </c>
      <c r="BG123" s="50">
        <f t="shared" si="107"/>
        <v>0</v>
      </c>
      <c r="BH123" s="50">
        <f t="shared" si="108"/>
        <v>0</v>
      </c>
      <c r="BI123" s="50">
        <f t="shared" si="109"/>
        <v>0</v>
      </c>
    </row>
    <row r="124" spans="1:61" ht="12.75">
      <c r="A124" s="84" t="s">
        <v>199</v>
      </c>
      <c r="B124" s="84" t="s">
        <v>396</v>
      </c>
      <c r="C124" s="189" t="s">
        <v>621</v>
      </c>
      <c r="D124" s="186"/>
      <c r="E124" s="190"/>
      <c r="F124" s="84" t="s">
        <v>749</v>
      </c>
      <c r="G124" s="85">
        <v>2</v>
      </c>
      <c r="H124" s="85">
        <v>0</v>
      </c>
      <c r="I124" s="85">
        <f t="shared" si="88"/>
        <v>0</v>
      </c>
      <c r="J124" s="85">
        <f t="shared" si="89"/>
        <v>0</v>
      </c>
      <c r="K124" s="85">
        <f t="shared" si="90"/>
        <v>0</v>
      </c>
      <c r="Y124" s="36">
        <f t="shared" si="91"/>
        <v>0</v>
      </c>
      <c r="AA124" s="36">
        <f t="shared" si="92"/>
        <v>0</v>
      </c>
      <c r="AB124" s="36">
        <f t="shared" si="93"/>
        <v>0</v>
      </c>
      <c r="AC124" s="36">
        <f t="shared" si="94"/>
        <v>0</v>
      </c>
      <c r="AD124" s="36">
        <f t="shared" si="95"/>
        <v>0</v>
      </c>
      <c r="AE124" s="36">
        <f t="shared" si="96"/>
        <v>0</v>
      </c>
      <c r="AF124" s="36">
        <f t="shared" si="97"/>
        <v>0</v>
      </c>
      <c r="AG124" s="36">
        <f t="shared" si="98"/>
        <v>0</v>
      </c>
      <c r="AH124" s="54" t="s">
        <v>70</v>
      </c>
      <c r="AI124" s="51">
        <f t="shared" si="99"/>
        <v>0</v>
      </c>
      <c r="AJ124" s="51">
        <f t="shared" si="100"/>
        <v>0</v>
      </c>
      <c r="AK124" s="51">
        <f t="shared" si="101"/>
        <v>0</v>
      </c>
      <c r="AM124" s="36">
        <v>21</v>
      </c>
      <c r="AN124" s="36">
        <f>H124*1</f>
        <v>0</v>
      </c>
      <c r="AO124" s="36">
        <f>H124*(1-1)</f>
        <v>0</v>
      </c>
      <c r="AP124" s="56" t="s">
        <v>121</v>
      </c>
      <c r="AU124" s="36">
        <f t="shared" si="102"/>
        <v>0</v>
      </c>
      <c r="AV124" s="36">
        <f t="shared" si="103"/>
        <v>0</v>
      </c>
      <c r="AW124" s="36">
        <f t="shared" si="104"/>
        <v>0</v>
      </c>
      <c r="AX124" s="57" t="s">
        <v>789</v>
      </c>
      <c r="AY124" s="57" t="s">
        <v>817</v>
      </c>
      <c r="AZ124" s="54" t="s">
        <v>834</v>
      </c>
      <c r="BB124" s="36">
        <f t="shared" si="105"/>
        <v>0</v>
      </c>
      <c r="BC124" s="36">
        <f t="shared" si="106"/>
        <v>0</v>
      </c>
      <c r="BD124" s="36">
        <v>0</v>
      </c>
      <c r="BE124" s="36">
        <f>124</f>
        <v>124</v>
      </c>
      <c r="BG124" s="51">
        <f t="shared" si="107"/>
        <v>0</v>
      </c>
      <c r="BH124" s="51">
        <f t="shared" si="108"/>
        <v>0</v>
      </c>
      <c r="BI124" s="51">
        <f t="shared" si="109"/>
        <v>0</v>
      </c>
    </row>
    <row r="125" spans="1:61" ht="12.75">
      <c r="A125" s="84" t="s">
        <v>200</v>
      </c>
      <c r="B125" s="84" t="s">
        <v>397</v>
      </c>
      <c r="C125" s="189" t="s">
        <v>622</v>
      </c>
      <c r="D125" s="186"/>
      <c r="E125" s="190"/>
      <c r="F125" s="84" t="s">
        <v>749</v>
      </c>
      <c r="G125" s="85">
        <v>1</v>
      </c>
      <c r="H125" s="85">
        <v>0</v>
      </c>
      <c r="I125" s="85">
        <f t="shared" si="88"/>
        <v>0</v>
      </c>
      <c r="J125" s="85">
        <f t="shared" si="89"/>
        <v>0</v>
      </c>
      <c r="K125" s="85">
        <f t="shared" si="90"/>
        <v>0</v>
      </c>
      <c r="Y125" s="36">
        <f t="shared" si="91"/>
        <v>0</v>
      </c>
      <c r="AA125" s="36">
        <f t="shared" si="92"/>
        <v>0</v>
      </c>
      <c r="AB125" s="36">
        <f t="shared" si="93"/>
        <v>0</v>
      </c>
      <c r="AC125" s="36">
        <f t="shared" si="94"/>
        <v>0</v>
      </c>
      <c r="AD125" s="36">
        <f t="shared" si="95"/>
        <v>0</v>
      </c>
      <c r="AE125" s="36">
        <f t="shared" si="96"/>
        <v>0</v>
      </c>
      <c r="AF125" s="36">
        <f t="shared" si="97"/>
        <v>0</v>
      </c>
      <c r="AG125" s="36">
        <f t="shared" si="98"/>
        <v>0</v>
      </c>
      <c r="AH125" s="54" t="s">
        <v>70</v>
      </c>
      <c r="AI125" s="51">
        <f t="shared" si="99"/>
        <v>0</v>
      </c>
      <c r="AJ125" s="51">
        <f t="shared" si="100"/>
        <v>0</v>
      </c>
      <c r="AK125" s="51">
        <f t="shared" si="101"/>
        <v>0</v>
      </c>
      <c r="AM125" s="36">
        <v>21</v>
      </c>
      <c r="AN125" s="36">
        <f>H125*1</f>
        <v>0</v>
      </c>
      <c r="AO125" s="36">
        <f>H125*(1-1)</f>
        <v>0</v>
      </c>
      <c r="AP125" s="56" t="s">
        <v>121</v>
      </c>
      <c r="AU125" s="36">
        <f t="shared" si="102"/>
        <v>0</v>
      </c>
      <c r="AV125" s="36">
        <f t="shared" si="103"/>
        <v>0</v>
      </c>
      <c r="AW125" s="36">
        <f t="shared" si="104"/>
        <v>0</v>
      </c>
      <c r="AX125" s="57" t="s">
        <v>789</v>
      </c>
      <c r="AY125" s="57" t="s">
        <v>817</v>
      </c>
      <c r="AZ125" s="54" t="s">
        <v>834</v>
      </c>
      <c r="BB125" s="36">
        <f t="shared" si="105"/>
        <v>0</v>
      </c>
      <c r="BC125" s="36">
        <f t="shared" si="106"/>
        <v>0</v>
      </c>
      <c r="BD125" s="36">
        <v>0</v>
      </c>
      <c r="BE125" s="36">
        <f>125</f>
        <v>125</v>
      </c>
      <c r="BG125" s="51">
        <f t="shared" si="107"/>
        <v>0</v>
      </c>
      <c r="BH125" s="51">
        <f t="shared" si="108"/>
        <v>0</v>
      </c>
      <c r="BI125" s="51">
        <f t="shared" si="109"/>
        <v>0</v>
      </c>
    </row>
    <row r="126" spans="1:61" ht="12.75">
      <c r="A126" s="84" t="s">
        <v>201</v>
      </c>
      <c r="B126" s="84" t="s">
        <v>398</v>
      </c>
      <c r="C126" s="189" t="s">
        <v>623</v>
      </c>
      <c r="D126" s="186"/>
      <c r="E126" s="190"/>
      <c r="F126" s="84" t="s">
        <v>749</v>
      </c>
      <c r="G126" s="85">
        <v>1</v>
      </c>
      <c r="H126" s="85">
        <v>0</v>
      </c>
      <c r="I126" s="85">
        <f t="shared" si="88"/>
        <v>0</v>
      </c>
      <c r="J126" s="85">
        <f t="shared" si="89"/>
        <v>0</v>
      </c>
      <c r="K126" s="85">
        <f t="shared" si="90"/>
        <v>0</v>
      </c>
      <c r="Y126" s="36">
        <f t="shared" si="91"/>
        <v>0</v>
      </c>
      <c r="AA126" s="36">
        <f t="shared" si="92"/>
        <v>0</v>
      </c>
      <c r="AB126" s="36">
        <f t="shared" si="93"/>
        <v>0</v>
      </c>
      <c r="AC126" s="36">
        <f t="shared" si="94"/>
        <v>0</v>
      </c>
      <c r="AD126" s="36">
        <f t="shared" si="95"/>
        <v>0</v>
      </c>
      <c r="AE126" s="36">
        <f t="shared" si="96"/>
        <v>0</v>
      </c>
      <c r="AF126" s="36">
        <f t="shared" si="97"/>
        <v>0</v>
      </c>
      <c r="AG126" s="36">
        <f t="shared" si="98"/>
        <v>0</v>
      </c>
      <c r="AH126" s="54" t="s">
        <v>70</v>
      </c>
      <c r="AI126" s="51">
        <f t="shared" si="99"/>
        <v>0</v>
      </c>
      <c r="AJ126" s="51">
        <f t="shared" si="100"/>
        <v>0</v>
      </c>
      <c r="AK126" s="51">
        <f t="shared" si="101"/>
        <v>0</v>
      </c>
      <c r="AM126" s="36">
        <v>21</v>
      </c>
      <c r="AN126" s="36">
        <f>H126*1</f>
        <v>0</v>
      </c>
      <c r="AO126" s="36">
        <f>H126*(1-1)</f>
        <v>0</v>
      </c>
      <c r="AP126" s="56" t="s">
        <v>121</v>
      </c>
      <c r="AU126" s="36">
        <f t="shared" si="102"/>
        <v>0</v>
      </c>
      <c r="AV126" s="36">
        <f t="shared" si="103"/>
        <v>0</v>
      </c>
      <c r="AW126" s="36">
        <f t="shared" si="104"/>
        <v>0</v>
      </c>
      <c r="AX126" s="57" t="s">
        <v>789</v>
      </c>
      <c r="AY126" s="57" t="s">
        <v>817</v>
      </c>
      <c r="AZ126" s="54" t="s">
        <v>834</v>
      </c>
      <c r="BB126" s="36">
        <f t="shared" si="105"/>
        <v>0</v>
      </c>
      <c r="BC126" s="36">
        <f t="shared" si="106"/>
        <v>0</v>
      </c>
      <c r="BD126" s="36">
        <v>0</v>
      </c>
      <c r="BE126" s="36">
        <f>126</f>
        <v>126</v>
      </c>
      <c r="BG126" s="51">
        <f t="shared" si="107"/>
        <v>0</v>
      </c>
      <c r="BH126" s="51">
        <f t="shared" si="108"/>
        <v>0</v>
      </c>
      <c r="BI126" s="51">
        <f t="shared" si="109"/>
        <v>0</v>
      </c>
    </row>
    <row r="127" spans="1:61" ht="12.75">
      <c r="A127" s="84" t="s">
        <v>202</v>
      </c>
      <c r="B127" s="84" t="s">
        <v>399</v>
      </c>
      <c r="C127" s="189" t="s">
        <v>624</v>
      </c>
      <c r="D127" s="186"/>
      <c r="E127" s="190"/>
      <c r="F127" s="84" t="s">
        <v>749</v>
      </c>
      <c r="G127" s="85">
        <v>1</v>
      </c>
      <c r="H127" s="85">
        <v>0</v>
      </c>
      <c r="I127" s="85">
        <f t="shared" si="88"/>
        <v>0</v>
      </c>
      <c r="J127" s="85">
        <f t="shared" si="89"/>
        <v>0</v>
      </c>
      <c r="K127" s="85">
        <f t="shared" si="90"/>
        <v>0</v>
      </c>
      <c r="Y127" s="36">
        <f t="shared" si="91"/>
        <v>0</v>
      </c>
      <c r="AA127" s="36">
        <f t="shared" si="92"/>
        <v>0</v>
      </c>
      <c r="AB127" s="36">
        <f t="shared" si="93"/>
        <v>0</v>
      </c>
      <c r="AC127" s="36">
        <f t="shared" si="94"/>
        <v>0</v>
      </c>
      <c r="AD127" s="36">
        <f t="shared" si="95"/>
        <v>0</v>
      </c>
      <c r="AE127" s="36">
        <f t="shared" si="96"/>
        <v>0</v>
      </c>
      <c r="AF127" s="36">
        <f t="shared" si="97"/>
        <v>0</v>
      </c>
      <c r="AG127" s="36">
        <f t="shared" si="98"/>
        <v>0</v>
      </c>
      <c r="AH127" s="54" t="s">
        <v>70</v>
      </c>
      <c r="AI127" s="51">
        <f t="shared" si="99"/>
        <v>0</v>
      </c>
      <c r="AJ127" s="51">
        <f t="shared" si="100"/>
        <v>0</v>
      </c>
      <c r="AK127" s="51">
        <f t="shared" si="101"/>
        <v>0</v>
      </c>
      <c r="AM127" s="36">
        <v>21</v>
      </c>
      <c r="AN127" s="36">
        <f>H127*1</f>
        <v>0</v>
      </c>
      <c r="AO127" s="36">
        <f>H127*(1-1)</f>
        <v>0</v>
      </c>
      <c r="AP127" s="56" t="s">
        <v>121</v>
      </c>
      <c r="AU127" s="36">
        <f t="shared" si="102"/>
        <v>0</v>
      </c>
      <c r="AV127" s="36">
        <f t="shared" si="103"/>
        <v>0</v>
      </c>
      <c r="AW127" s="36">
        <f t="shared" si="104"/>
        <v>0</v>
      </c>
      <c r="AX127" s="57" t="s">
        <v>789</v>
      </c>
      <c r="AY127" s="57" t="s">
        <v>817</v>
      </c>
      <c r="AZ127" s="54" t="s">
        <v>834</v>
      </c>
      <c r="BB127" s="36">
        <f t="shared" si="105"/>
        <v>0</v>
      </c>
      <c r="BC127" s="36">
        <f t="shared" si="106"/>
        <v>0</v>
      </c>
      <c r="BD127" s="36">
        <v>0</v>
      </c>
      <c r="BE127" s="36">
        <f>127</f>
        <v>127</v>
      </c>
      <c r="BG127" s="51">
        <f t="shared" si="107"/>
        <v>0</v>
      </c>
      <c r="BH127" s="51">
        <f t="shared" si="108"/>
        <v>0</v>
      </c>
      <c r="BI127" s="51">
        <f t="shared" si="109"/>
        <v>0</v>
      </c>
    </row>
    <row r="128" spans="1:61" ht="12.75">
      <c r="A128" s="82" t="s">
        <v>203</v>
      </c>
      <c r="B128" s="82" t="s">
        <v>400</v>
      </c>
      <c r="C128" s="179" t="s">
        <v>625</v>
      </c>
      <c r="D128" s="180"/>
      <c r="E128" s="181"/>
      <c r="F128" s="82" t="s">
        <v>753</v>
      </c>
      <c r="G128" s="83">
        <v>1</v>
      </c>
      <c r="H128" s="83">
        <v>0</v>
      </c>
      <c r="I128" s="83">
        <f t="shared" si="88"/>
        <v>0</v>
      </c>
      <c r="J128" s="83">
        <f t="shared" si="89"/>
        <v>0</v>
      </c>
      <c r="K128" s="83">
        <f t="shared" si="90"/>
        <v>0</v>
      </c>
      <c r="Y128" s="36">
        <f t="shared" si="91"/>
        <v>0</v>
      </c>
      <c r="AA128" s="36">
        <f t="shared" si="92"/>
        <v>0</v>
      </c>
      <c r="AB128" s="36">
        <f t="shared" si="93"/>
        <v>0</v>
      </c>
      <c r="AC128" s="36">
        <f t="shared" si="94"/>
        <v>0</v>
      </c>
      <c r="AD128" s="36">
        <f t="shared" si="95"/>
        <v>0</v>
      </c>
      <c r="AE128" s="36">
        <f t="shared" si="96"/>
        <v>0</v>
      </c>
      <c r="AF128" s="36">
        <f t="shared" si="97"/>
        <v>0</v>
      </c>
      <c r="AG128" s="36">
        <f t="shared" si="98"/>
        <v>0</v>
      </c>
      <c r="AH128" s="54" t="s">
        <v>70</v>
      </c>
      <c r="AI128" s="50">
        <f t="shared" si="99"/>
        <v>0</v>
      </c>
      <c r="AJ128" s="50">
        <f t="shared" si="100"/>
        <v>0</v>
      </c>
      <c r="AK128" s="50">
        <f t="shared" si="101"/>
        <v>0</v>
      </c>
      <c r="AM128" s="36">
        <v>21</v>
      </c>
      <c r="AN128" s="36">
        <f>H128*0.687726537667986</f>
        <v>0</v>
      </c>
      <c r="AO128" s="36">
        <f>H128*(1-0.687726537667986)</f>
        <v>0</v>
      </c>
      <c r="AP128" s="55" t="s">
        <v>121</v>
      </c>
      <c r="AU128" s="36">
        <f t="shared" si="102"/>
        <v>0</v>
      </c>
      <c r="AV128" s="36">
        <f t="shared" si="103"/>
        <v>0</v>
      </c>
      <c r="AW128" s="36">
        <f t="shared" si="104"/>
        <v>0</v>
      </c>
      <c r="AX128" s="57" t="s">
        <v>789</v>
      </c>
      <c r="AY128" s="57" t="s">
        <v>817</v>
      </c>
      <c r="AZ128" s="54" t="s">
        <v>834</v>
      </c>
      <c r="BB128" s="36">
        <f t="shared" si="105"/>
        <v>0</v>
      </c>
      <c r="BC128" s="36">
        <f t="shared" si="106"/>
        <v>0</v>
      </c>
      <c r="BD128" s="36">
        <v>0</v>
      </c>
      <c r="BE128" s="36">
        <f>128</f>
        <v>128</v>
      </c>
      <c r="BG128" s="50">
        <f t="shared" si="107"/>
        <v>0</v>
      </c>
      <c r="BH128" s="50">
        <f t="shared" si="108"/>
        <v>0</v>
      </c>
      <c r="BI128" s="50">
        <f t="shared" si="109"/>
        <v>0</v>
      </c>
    </row>
    <row r="129" spans="1:61" ht="12.75">
      <c r="A129" s="82" t="s">
        <v>204</v>
      </c>
      <c r="B129" s="82" t="s">
        <v>401</v>
      </c>
      <c r="C129" s="179" t="s">
        <v>626</v>
      </c>
      <c r="D129" s="180"/>
      <c r="E129" s="181"/>
      <c r="F129" s="82" t="s">
        <v>751</v>
      </c>
      <c r="G129" s="83">
        <v>0.41</v>
      </c>
      <c r="H129" s="83">
        <v>0</v>
      </c>
      <c r="I129" s="83">
        <f t="shared" si="88"/>
        <v>0</v>
      </c>
      <c r="J129" s="83">
        <f t="shared" si="89"/>
        <v>0</v>
      </c>
      <c r="K129" s="83">
        <f t="shared" si="90"/>
        <v>0</v>
      </c>
      <c r="Y129" s="36">
        <f t="shared" si="91"/>
        <v>0</v>
      </c>
      <c r="AA129" s="36">
        <f t="shared" si="92"/>
        <v>0</v>
      </c>
      <c r="AB129" s="36">
        <f t="shared" si="93"/>
        <v>0</v>
      </c>
      <c r="AC129" s="36">
        <f t="shared" si="94"/>
        <v>0</v>
      </c>
      <c r="AD129" s="36">
        <f t="shared" si="95"/>
        <v>0</v>
      </c>
      <c r="AE129" s="36">
        <f t="shared" si="96"/>
        <v>0</v>
      </c>
      <c r="AF129" s="36">
        <f t="shared" si="97"/>
        <v>0</v>
      </c>
      <c r="AG129" s="36">
        <f t="shared" si="98"/>
        <v>0</v>
      </c>
      <c r="AH129" s="54" t="s">
        <v>70</v>
      </c>
      <c r="AI129" s="50">
        <f t="shared" si="99"/>
        <v>0</v>
      </c>
      <c r="AJ129" s="50">
        <f t="shared" si="100"/>
        <v>0</v>
      </c>
      <c r="AK129" s="50">
        <f t="shared" si="101"/>
        <v>0</v>
      </c>
      <c r="AM129" s="36">
        <v>21</v>
      </c>
      <c r="AN129" s="36">
        <f>H129*0</f>
        <v>0</v>
      </c>
      <c r="AO129" s="36">
        <f>H129*(1-0)</f>
        <v>0</v>
      </c>
      <c r="AP129" s="55" t="s">
        <v>103</v>
      </c>
      <c r="AU129" s="36">
        <f t="shared" si="102"/>
        <v>0</v>
      </c>
      <c r="AV129" s="36">
        <f t="shared" si="103"/>
        <v>0</v>
      </c>
      <c r="AW129" s="36">
        <f t="shared" si="104"/>
        <v>0</v>
      </c>
      <c r="AX129" s="57" t="s">
        <v>789</v>
      </c>
      <c r="AY129" s="57" t="s">
        <v>817</v>
      </c>
      <c r="AZ129" s="54" t="s">
        <v>834</v>
      </c>
      <c r="BB129" s="36">
        <f t="shared" si="105"/>
        <v>0</v>
      </c>
      <c r="BC129" s="36">
        <f t="shared" si="106"/>
        <v>0</v>
      </c>
      <c r="BD129" s="36">
        <v>0</v>
      </c>
      <c r="BE129" s="36">
        <f>129</f>
        <v>129</v>
      </c>
      <c r="BG129" s="50">
        <f t="shared" si="107"/>
        <v>0</v>
      </c>
      <c r="BH129" s="50">
        <f t="shared" si="108"/>
        <v>0</v>
      </c>
      <c r="BI129" s="50">
        <f t="shared" si="109"/>
        <v>0</v>
      </c>
    </row>
    <row r="130" spans="1:46" ht="12.75">
      <c r="A130" s="77"/>
      <c r="B130" s="78" t="s">
        <v>402</v>
      </c>
      <c r="C130" s="176" t="s">
        <v>627</v>
      </c>
      <c r="D130" s="177"/>
      <c r="E130" s="178"/>
      <c r="F130" s="77" t="s">
        <v>68</v>
      </c>
      <c r="G130" s="77" t="s">
        <v>68</v>
      </c>
      <c r="H130" s="77" t="s">
        <v>68</v>
      </c>
      <c r="I130" s="81">
        <f>SUM(I131:I135)</f>
        <v>0</v>
      </c>
      <c r="J130" s="81">
        <f>SUM(J131:J135)</f>
        <v>0</v>
      </c>
      <c r="K130" s="81">
        <f>SUM(K131:K135)</f>
        <v>0</v>
      </c>
      <c r="AH130" s="54" t="s">
        <v>70</v>
      </c>
      <c r="AR130" s="58">
        <f>SUM(AI131:AI135)</f>
        <v>0</v>
      </c>
      <c r="AS130" s="58">
        <f>SUM(AJ131:AJ135)</f>
        <v>0</v>
      </c>
      <c r="AT130" s="58">
        <f>SUM(AK131:AK135)</f>
        <v>0</v>
      </c>
    </row>
    <row r="131" spans="1:61" ht="12.75">
      <c r="A131" s="82" t="s">
        <v>205</v>
      </c>
      <c r="B131" s="82" t="s">
        <v>403</v>
      </c>
      <c r="C131" s="179" t="s">
        <v>628</v>
      </c>
      <c r="D131" s="180"/>
      <c r="E131" s="181"/>
      <c r="F131" s="82" t="s">
        <v>750</v>
      </c>
      <c r="G131" s="83">
        <v>26.23</v>
      </c>
      <c r="H131" s="83">
        <v>0</v>
      </c>
      <c r="I131" s="83">
        <f>G131*AN131</f>
        <v>0</v>
      </c>
      <c r="J131" s="83">
        <f>G131*AO131</f>
        <v>0</v>
      </c>
      <c r="K131" s="83">
        <f>G131*H131</f>
        <v>0</v>
      </c>
      <c r="Y131" s="36">
        <f>IF(AP131="5",BI131,0)</f>
        <v>0</v>
      </c>
      <c r="AA131" s="36">
        <f>IF(AP131="1",BG131,0)</f>
        <v>0</v>
      </c>
      <c r="AB131" s="36">
        <f>IF(AP131="1",BH131,0)</f>
        <v>0</v>
      </c>
      <c r="AC131" s="36">
        <f>IF(AP131="7",BG131,0)</f>
        <v>0</v>
      </c>
      <c r="AD131" s="36">
        <f>IF(AP131="7",BH131,0)</f>
        <v>0</v>
      </c>
      <c r="AE131" s="36">
        <f>IF(AP131="2",BG131,0)</f>
        <v>0</v>
      </c>
      <c r="AF131" s="36">
        <f>IF(AP131="2",BH131,0)</f>
        <v>0</v>
      </c>
      <c r="AG131" s="36">
        <f>IF(AP131="0",BI131,0)</f>
        <v>0</v>
      </c>
      <c r="AH131" s="54" t="s">
        <v>70</v>
      </c>
      <c r="AI131" s="50">
        <f>IF(AM131=0,K131,0)</f>
        <v>0</v>
      </c>
      <c r="AJ131" s="50">
        <f>IF(AM131=15,K131,0)</f>
        <v>0</v>
      </c>
      <c r="AK131" s="50">
        <f>IF(AM131=21,K131,0)</f>
        <v>0</v>
      </c>
      <c r="AM131" s="36">
        <v>21</v>
      </c>
      <c r="AN131" s="36">
        <f>H131*0.173321976149915</f>
        <v>0</v>
      </c>
      <c r="AO131" s="36">
        <f>H131*(1-0.173321976149915)</f>
        <v>0</v>
      </c>
      <c r="AP131" s="55" t="s">
        <v>121</v>
      </c>
      <c r="AU131" s="36">
        <f>AV131+AW131</f>
        <v>0</v>
      </c>
      <c r="AV131" s="36">
        <f>G131*AN131</f>
        <v>0</v>
      </c>
      <c r="AW131" s="36">
        <f>G131*AO131</f>
        <v>0</v>
      </c>
      <c r="AX131" s="57" t="s">
        <v>790</v>
      </c>
      <c r="AY131" s="57" t="s">
        <v>818</v>
      </c>
      <c r="AZ131" s="54" t="s">
        <v>834</v>
      </c>
      <c r="BB131" s="36">
        <f>AV131+AW131</f>
        <v>0</v>
      </c>
      <c r="BC131" s="36">
        <f>H131/(100-BD131)*100</f>
        <v>0</v>
      </c>
      <c r="BD131" s="36">
        <v>0</v>
      </c>
      <c r="BE131" s="36">
        <f>131</f>
        <v>131</v>
      </c>
      <c r="BG131" s="50">
        <f>G131*AN131</f>
        <v>0</v>
      </c>
      <c r="BH131" s="50">
        <f>G131*AO131</f>
        <v>0</v>
      </c>
      <c r="BI131" s="50">
        <f>G131*H131</f>
        <v>0</v>
      </c>
    </row>
    <row r="132" spans="1:61" ht="12.75">
      <c r="A132" s="79" t="s">
        <v>206</v>
      </c>
      <c r="B132" s="79" t="s">
        <v>404</v>
      </c>
      <c r="C132" s="182" t="s">
        <v>629</v>
      </c>
      <c r="D132" s="180"/>
      <c r="E132" s="183"/>
      <c r="F132" s="79" t="s">
        <v>752</v>
      </c>
      <c r="G132" s="80">
        <v>21.95</v>
      </c>
      <c r="H132" s="80">
        <v>0</v>
      </c>
      <c r="I132" s="80">
        <f>G132*AN132</f>
        <v>0</v>
      </c>
      <c r="J132" s="80">
        <f>G132*AO132</f>
        <v>0</v>
      </c>
      <c r="K132" s="80">
        <f>G132*H132</f>
        <v>0</v>
      </c>
      <c r="Y132" s="36">
        <f>IF(AP132="5",BI132,0)</f>
        <v>0</v>
      </c>
      <c r="AA132" s="36">
        <f>IF(AP132="1",BG132,0)</f>
        <v>0</v>
      </c>
      <c r="AB132" s="36">
        <f>IF(AP132="1",BH132,0)</f>
        <v>0</v>
      </c>
      <c r="AC132" s="36">
        <f>IF(AP132="7",BG132,0)</f>
        <v>0</v>
      </c>
      <c r="AD132" s="36">
        <f>IF(AP132="7",BH132,0)</f>
        <v>0</v>
      </c>
      <c r="AE132" s="36">
        <f>IF(AP132="2",BG132,0)</f>
        <v>0</v>
      </c>
      <c r="AF132" s="36">
        <f>IF(AP132="2",BH132,0)</f>
        <v>0</v>
      </c>
      <c r="AG132" s="36">
        <f>IF(AP132="0",BI132,0)</f>
        <v>0</v>
      </c>
      <c r="AH132" s="54" t="s">
        <v>70</v>
      </c>
      <c r="AI132" s="50">
        <f>IF(AM132=0,K132,0)</f>
        <v>0</v>
      </c>
      <c r="AJ132" s="50">
        <f>IF(AM132=15,K132,0)</f>
        <v>0</v>
      </c>
      <c r="AK132" s="50">
        <f>IF(AM132=21,K132,0)</f>
        <v>0</v>
      </c>
      <c r="AM132" s="36">
        <v>21</v>
      </c>
      <c r="AN132" s="36">
        <f>H132*0.08578125</f>
        <v>0</v>
      </c>
      <c r="AO132" s="36">
        <f>H132*(1-0.08578125)</f>
        <v>0</v>
      </c>
      <c r="AP132" s="55" t="s">
        <v>121</v>
      </c>
      <c r="AU132" s="36">
        <f>AV132+AW132</f>
        <v>0</v>
      </c>
      <c r="AV132" s="36">
        <f>G132*AN132</f>
        <v>0</v>
      </c>
      <c r="AW132" s="36">
        <f>G132*AO132</f>
        <v>0</v>
      </c>
      <c r="AX132" s="57" t="s">
        <v>790</v>
      </c>
      <c r="AY132" s="57" t="s">
        <v>818</v>
      </c>
      <c r="AZ132" s="54" t="s">
        <v>834</v>
      </c>
      <c r="BB132" s="36">
        <f>AV132+AW132</f>
        <v>0</v>
      </c>
      <c r="BC132" s="36">
        <f>H132/(100-BD132)*100</f>
        <v>0</v>
      </c>
      <c r="BD132" s="36">
        <v>0</v>
      </c>
      <c r="BE132" s="36">
        <f>132</f>
        <v>132</v>
      </c>
      <c r="BG132" s="50">
        <f>G132*AN132</f>
        <v>0</v>
      </c>
      <c r="BH132" s="50">
        <f>G132*AO132</f>
        <v>0</v>
      </c>
      <c r="BI132" s="50">
        <f>G132*H132</f>
        <v>0</v>
      </c>
    </row>
    <row r="133" spans="1:61" ht="12.75">
      <c r="A133" s="42" t="s">
        <v>207</v>
      </c>
      <c r="B133" s="42" t="s">
        <v>405</v>
      </c>
      <c r="C133" s="184" t="s">
        <v>630</v>
      </c>
      <c r="D133" s="180"/>
      <c r="E133" s="180"/>
      <c r="F133" s="42" t="s">
        <v>752</v>
      </c>
      <c r="G133" s="50">
        <v>21.95</v>
      </c>
      <c r="H133" s="50">
        <v>0</v>
      </c>
      <c r="I133" s="50">
        <f>G133*AN133</f>
        <v>0</v>
      </c>
      <c r="J133" s="50">
        <f>G133*AO133</f>
        <v>0</v>
      </c>
      <c r="K133" s="50">
        <f>G133*H133</f>
        <v>0</v>
      </c>
      <c r="Y133" s="36">
        <f>IF(AP133="5",BI133,0)</f>
        <v>0</v>
      </c>
      <c r="AA133" s="36">
        <f>IF(AP133="1",BG133,0)</f>
        <v>0</v>
      </c>
      <c r="AB133" s="36">
        <f>IF(AP133="1",BH133,0)</f>
        <v>0</v>
      </c>
      <c r="AC133" s="36">
        <f>IF(AP133="7",BG133,0)</f>
        <v>0</v>
      </c>
      <c r="AD133" s="36">
        <f>IF(AP133="7",BH133,0)</f>
        <v>0</v>
      </c>
      <c r="AE133" s="36">
        <f>IF(AP133="2",BG133,0)</f>
        <v>0</v>
      </c>
      <c r="AF133" s="36">
        <f>IF(AP133="2",BH133,0)</f>
        <v>0</v>
      </c>
      <c r="AG133" s="36">
        <f>IF(AP133="0",BI133,0)</f>
        <v>0</v>
      </c>
      <c r="AH133" s="54" t="s">
        <v>70</v>
      </c>
      <c r="AI133" s="50">
        <f>IF(AM133=0,K133,0)</f>
        <v>0</v>
      </c>
      <c r="AJ133" s="50">
        <f>IF(AM133=15,K133,0)</f>
        <v>0</v>
      </c>
      <c r="AK133" s="50">
        <f>IF(AM133=21,K133,0)</f>
        <v>0</v>
      </c>
      <c r="AM133" s="36">
        <v>21</v>
      </c>
      <c r="AN133" s="36">
        <f>H133*0.0578997829409074</f>
        <v>0</v>
      </c>
      <c r="AO133" s="36">
        <f>H133*(1-0.0578997829409074)</f>
        <v>0</v>
      </c>
      <c r="AP133" s="55" t="s">
        <v>121</v>
      </c>
      <c r="AU133" s="36">
        <f>AV133+AW133</f>
        <v>0</v>
      </c>
      <c r="AV133" s="36">
        <f>G133*AN133</f>
        <v>0</v>
      </c>
      <c r="AW133" s="36">
        <f>G133*AO133</f>
        <v>0</v>
      </c>
      <c r="AX133" s="57" t="s">
        <v>790</v>
      </c>
      <c r="AY133" s="57" t="s">
        <v>818</v>
      </c>
      <c r="AZ133" s="54" t="s">
        <v>834</v>
      </c>
      <c r="BB133" s="36">
        <f>AV133+AW133</f>
        <v>0</v>
      </c>
      <c r="BC133" s="36">
        <f>H133/(100-BD133)*100</f>
        <v>0</v>
      </c>
      <c r="BD133" s="36">
        <v>0</v>
      </c>
      <c r="BE133" s="36">
        <f>133</f>
        <v>133</v>
      </c>
      <c r="BG133" s="50">
        <f>G133*AN133</f>
        <v>0</v>
      </c>
      <c r="BH133" s="50">
        <f>G133*AO133</f>
        <v>0</v>
      </c>
      <c r="BI133" s="50">
        <f>G133*H133</f>
        <v>0</v>
      </c>
    </row>
    <row r="134" spans="1:61" ht="12.75">
      <c r="A134" s="84" t="s">
        <v>208</v>
      </c>
      <c r="B134" s="84" t="s">
        <v>406</v>
      </c>
      <c r="C134" s="189" t="s">
        <v>631</v>
      </c>
      <c r="D134" s="186"/>
      <c r="E134" s="190"/>
      <c r="F134" s="84" t="s">
        <v>750</v>
      </c>
      <c r="G134" s="85">
        <v>29.85</v>
      </c>
      <c r="H134" s="85">
        <v>0</v>
      </c>
      <c r="I134" s="85">
        <f>G134*AN134</f>
        <v>0</v>
      </c>
      <c r="J134" s="85">
        <f>G134*AO134</f>
        <v>0</v>
      </c>
      <c r="K134" s="85">
        <f>G134*H134</f>
        <v>0</v>
      </c>
      <c r="Y134" s="36">
        <f>IF(AP134="5",BI134,0)</f>
        <v>0</v>
      </c>
      <c r="AA134" s="36">
        <f>IF(AP134="1",BG134,0)</f>
        <v>0</v>
      </c>
      <c r="AB134" s="36">
        <f>IF(AP134="1",BH134,0)</f>
        <v>0</v>
      </c>
      <c r="AC134" s="36">
        <f>IF(AP134="7",BG134,0)</f>
        <v>0</v>
      </c>
      <c r="AD134" s="36">
        <f>IF(AP134="7",BH134,0)</f>
        <v>0</v>
      </c>
      <c r="AE134" s="36">
        <f>IF(AP134="2",BG134,0)</f>
        <v>0</v>
      </c>
      <c r="AF134" s="36">
        <f>IF(AP134="2",BH134,0)</f>
        <v>0</v>
      </c>
      <c r="AG134" s="36">
        <f>IF(AP134="0",BI134,0)</f>
        <v>0</v>
      </c>
      <c r="AH134" s="54" t="s">
        <v>70</v>
      </c>
      <c r="AI134" s="51">
        <f>IF(AM134=0,K134,0)</f>
        <v>0</v>
      </c>
      <c r="AJ134" s="51">
        <f>IF(AM134=15,K134,0)</f>
        <v>0</v>
      </c>
      <c r="AK134" s="51">
        <f>IF(AM134=21,K134,0)</f>
        <v>0</v>
      </c>
      <c r="AM134" s="36">
        <v>21</v>
      </c>
      <c r="AN134" s="36">
        <f>H134*1</f>
        <v>0</v>
      </c>
      <c r="AO134" s="36">
        <f>H134*(1-1)</f>
        <v>0</v>
      </c>
      <c r="AP134" s="56" t="s">
        <v>121</v>
      </c>
      <c r="AU134" s="36">
        <f>AV134+AW134</f>
        <v>0</v>
      </c>
      <c r="AV134" s="36">
        <f>G134*AN134</f>
        <v>0</v>
      </c>
      <c r="AW134" s="36">
        <f>G134*AO134</f>
        <v>0</v>
      </c>
      <c r="AX134" s="57" t="s">
        <v>790</v>
      </c>
      <c r="AY134" s="57" t="s">
        <v>818</v>
      </c>
      <c r="AZ134" s="54" t="s">
        <v>834</v>
      </c>
      <c r="BB134" s="36">
        <f>AV134+AW134</f>
        <v>0</v>
      </c>
      <c r="BC134" s="36">
        <f>H134/(100-BD134)*100</f>
        <v>0</v>
      </c>
      <c r="BD134" s="36">
        <v>0</v>
      </c>
      <c r="BE134" s="36">
        <f>134</f>
        <v>134</v>
      </c>
      <c r="BG134" s="51">
        <f>G134*AN134</f>
        <v>0</v>
      </c>
      <c r="BH134" s="51">
        <f>G134*AO134</f>
        <v>0</v>
      </c>
      <c r="BI134" s="51">
        <f>G134*H134</f>
        <v>0</v>
      </c>
    </row>
    <row r="135" spans="1:61" ht="12.75">
      <c r="A135" s="82" t="s">
        <v>209</v>
      </c>
      <c r="B135" s="82" t="s">
        <v>407</v>
      </c>
      <c r="C135" s="179" t="s">
        <v>632</v>
      </c>
      <c r="D135" s="180"/>
      <c r="E135" s="181"/>
      <c r="F135" s="82" t="s">
        <v>751</v>
      </c>
      <c r="G135" s="83">
        <v>0.71</v>
      </c>
      <c r="H135" s="83">
        <v>0</v>
      </c>
      <c r="I135" s="83">
        <f>G135*AN135</f>
        <v>0</v>
      </c>
      <c r="J135" s="83">
        <f>G135*AO135</f>
        <v>0</v>
      </c>
      <c r="K135" s="83">
        <f>G135*H135</f>
        <v>0</v>
      </c>
      <c r="Y135" s="36">
        <f>IF(AP135="5",BI135,0)</f>
        <v>0</v>
      </c>
      <c r="AA135" s="36">
        <f>IF(AP135="1",BG135,0)</f>
        <v>0</v>
      </c>
      <c r="AB135" s="36">
        <f>IF(AP135="1",BH135,0)</f>
        <v>0</v>
      </c>
      <c r="AC135" s="36">
        <f>IF(AP135="7",BG135,0)</f>
        <v>0</v>
      </c>
      <c r="AD135" s="36">
        <f>IF(AP135="7",BH135,0)</f>
        <v>0</v>
      </c>
      <c r="AE135" s="36">
        <f>IF(AP135="2",BG135,0)</f>
        <v>0</v>
      </c>
      <c r="AF135" s="36">
        <f>IF(AP135="2",BH135,0)</f>
        <v>0</v>
      </c>
      <c r="AG135" s="36">
        <f>IF(AP135="0",BI135,0)</f>
        <v>0</v>
      </c>
      <c r="AH135" s="54" t="s">
        <v>70</v>
      </c>
      <c r="AI135" s="50">
        <f>IF(AM135=0,K135,0)</f>
        <v>0</v>
      </c>
      <c r="AJ135" s="50">
        <f>IF(AM135=15,K135,0)</f>
        <v>0</v>
      </c>
      <c r="AK135" s="50">
        <f>IF(AM135=21,K135,0)</f>
        <v>0</v>
      </c>
      <c r="AM135" s="36">
        <v>21</v>
      </c>
      <c r="AN135" s="36">
        <f>H135*0</f>
        <v>0</v>
      </c>
      <c r="AO135" s="36">
        <f>H135*(1-0)</f>
        <v>0</v>
      </c>
      <c r="AP135" s="55" t="s">
        <v>103</v>
      </c>
      <c r="AU135" s="36">
        <f>AV135+AW135</f>
        <v>0</v>
      </c>
      <c r="AV135" s="36">
        <f>G135*AN135</f>
        <v>0</v>
      </c>
      <c r="AW135" s="36">
        <f>G135*AO135</f>
        <v>0</v>
      </c>
      <c r="AX135" s="57" t="s">
        <v>790</v>
      </c>
      <c r="AY135" s="57" t="s">
        <v>818</v>
      </c>
      <c r="AZ135" s="54" t="s">
        <v>834</v>
      </c>
      <c r="BB135" s="36">
        <f>AV135+AW135</f>
        <v>0</v>
      </c>
      <c r="BC135" s="36">
        <f>H135/(100-BD135)*100</f>
        <v>0</v>
      </c>
      <c r="BD135" s="36">
        <v>0</v>
      </c>
      <c r="BE135" s="36">
        <f>135</f>
        <v>135</v>
      </c>
      <c r="BG135" s="50">
        <f>G135*AN135</f>
        <v>0</v>
      </c>
      <c r="BH135" s="50">
        <f>G135*AO135</f>
        <v>0</v>
      </c>
      <c r="BI135" s="50">
        <f>G135*H135</f>
        <v>0</v>
      </c>
    </row>
    <row r="136" spans="1:46" ht="12.75">
      <c r="A136" s="77"/>
      <c r="B136" s="78" t="s">
        <v>408</v>
      </c>
      <c r="C136" s="176" t="s">
        <v>633</v>
      </c>
      <c r="D136" s="177"/>
      <c r="E136" s="178"/>
      <c r="F136" s="77" t="s">
        <v>68</v>
      </c>
      <c r="G136" s="77" t="s">
        <v>68</v>
      </c>
      <c r="H136" s="77" t="s">
        <v>68</v>
      </c>
      <c r="I136" s="81">
        <f>SUM(I137:I137)</f>
        <v>0</v>
      </c>
      <c r="J136" s="81">
        <f>SUM(J137:J137)</f>
        <v>0</v>
      </c>
      <c r="K136" s="81">
        <f>SUM(K137:K137)</f>
        <v>0</v>
      </c>
      <c r="AH136" s="54" t="s">
        <v>70</v>
      </c>
      <c r="AR136" s="58">
        <f>SUM(AI137:AI137)</f>
        <v>0</v>
      </c>
      <c r="AS136" s="58">
        <f>SUM(AJ137:AJ137)</f>
        <v>0</v>
      </c>
      <c r="AT136" s="58">
        <f>SUM(AK137:AK137)</f>
        <v>0</v>
      </c>
    </row>
    <row r="137" spans="1:61" ht="12.75">
      <c r="A137" s="84" t="s">
        <v>210</v>
      </c>
      <c r="B137" s="84" t="s">
        <v>409</v>
      </c>
      <c r="C137" s="189" t="s">
        <v>634</v>
      </c>
      <c r="D137" s="186"/>
      <c r="E137" s="190"/>
      <c r="F137" s="84" t="s">
        <v>749</v>
      </c>
      <c r="G137" s="85">
        <v>2</v>
      </c>
      <c r="H137" s="85">
        <v>0</v>
      </c>
      <c r="I137" s="85">
        <f>G137*AN137</f>
        <v>0</v>
      </c>
      <c r="J137" s="85">
        <f>G137*AO137</f>
        <v>0</v>
      </c>
      <c r="K137" s="85">
        <f>G137*H137</f>
        <v>0</v>
      </c>
      <c r="Y137" s="36">
        <f>IF(AP137="5",BI137,0)</f>
        <v>0</v>
      </c>
      <c r="AA137" s="36">
        <f>IF(AP137="1",BG137,0)</f>
        <v>0</v>
      </c>
      <c r="AB137" s="36">
        <f>IF(AP137="1",BH137,0)</f>
        <v>0</v>
      </c>
      <c r="AC137" s="36">
        <f>IF(AP137="7",BG137,0)</f>
        <v>0</v>
      </c>
      <c r="AD137" s="36">
        <f>IF(AP137="7",BH137,0)</f>
        <v>0</v>
      </c>
      <c r="AE137" s="36">
        <f>IF(AP137="2",BG137,0)</f>
        <v>0</v>
      </c>
      <c r="AF137" s="36">
        <f>IF(AP137="2",BH137,0)</f>
        <v>0</v>
      </c>
      <c r="AG137" s="36">
        <f>IF(AP137="0",BI137,0)</f>
        <v>0</v>
      </c>
      <c r="AH137" s="54" t="s">
        <v>70</v>
      </c>
      <c r="AI137" s="51">
        <f>IF(AM137=0,K137,0)</f>
        <v>0</v>
      </c>
      <c r="AJ137" s="51">
        <f>IF(AM137=15,K137,0)</f>
        <v>0</v>
      </c>
      <c r="AK137" s="51">
        <f>IF(AM137=21,K137,0)</f>
        <v>0</v>
      </c>
      <c r="AM137" s="36">
        <v>21</v>
      </c>
      <c r="AN137" s="36">
        <f>H137*1</f>
        <v>0</v>
      </c>
      <c r="AO137" s="36">
        <f>H137*(1-1)</f>
        <v>0</v>
      </c>
      <c r="AP137" s="56" t="s">
        <v>121</v>
      </c>
      <c r="AU137" s="36">
        <f>AV137+AW137</f>
        <v>0</v>
      </c>
      <c r="AV137" s="36">
        <f>G137*AN137</f>
        <v>0</v>
      </c>
      <c r="AW137" s="36">
        <f>G137*AO137</f>
        <v>0</v>
      </c>
      <c r="AX137" s="57" t="s">
        <v>791</v>
      </c>
      <c r="AY137" s="57" t="s">
        <v>818</v>
      </c>
      <c r="AZ137" s="54" t="s">
        <v>834</v>
      </c>
      <c r="BB137" s="36">
        <f>AV137+AW137</f>
        <v>0</v>
      </c>
      <c r="BC137" s="36">
        <f>H137/(100-BD137)*100</f>
        <v>0</v>
      </c>
      <c r="BD137" s="36">
        <v>0</v>
      </c>
      <c r="BE137" s="36">
        <f>137</f>
        <v>137</v>
      </c>
      <c r="BG137" s="51">
        <f>G137*AN137</f>
        <v>0</v>
      </c>
      <c r="BH137" s="51">
        <f>G137*AO137</f>
        <v>0</v>
      </c>
      <c r="BI137" s="51">
        <f>G137*H137</f>
        <v>0</v>
      </c>
    </row>
    <row r="138" spans="1:46" ht="12.75">
      <c r="A138" s="77"/>
      <c r="B138" s="78" t="s">
        <v>410</v>
      </c>
      <c r="C138" s="176" t="s">
        <v>635</v>
      </c>
      <c r="D138" s="177"/>
      <c r="E138" s="178"/>
      <c r="F138" s="77" t="s">
        <v>68</v>
      </c>
      <c r="G138" s="77" t="s">
        <v>68</v>
      </c>
      <c r="H138" s="77" t="s">
        <v>68</v>
      </c>
      <c r="I138" s="81">
        <f>SUM(I139:I143)</f>
        <v>0</v>
      </c>
      <c r="J138" s="81">
        <f>SUM(J139:J143)</f>
        <v>0</v>
      </c>
      <c r="K138" s="81">
        <f>SUM(K139:K143)</f>
        <v>0</v>
      </c>
      <c r="AH138" s="54" t="s">
        <v>70</v>
      </c>
      <c r="AR138" s="58">
        <f>SUM(AI139:AI143)</f>
        <v>0</v>
      </c>
      <c r="AS138" s="58">
        <f>SUM(AJ139:AJ143)</f>
        <v>0</v>
      </c>
      <c r="AT138" s="58">
        <f>SUM(AK139:AK143)</f>
        <v>0</v>
      </c>
    </row>
    <row r="139" spans="1:61" ht="12.75">
      <c r="A139" s="82" t="s">
        <v>211</v>
      </c>
      <c r="B139" s="82" t="s">
        <v>411</v>
      </c>
      <c r="C139" s="179" t="s">
        <v>636</v>
      </c>
      <c r="D139" s="180"/>
      <c r="E139" s="181"/>
      <c r="F139" s="82" t="s">
        <v>750</v>
      </c>
      <c r="G139" s="83">
        <v>44.78</v>
      </c>
      <c r="H139" s="83">
        <v>0</v>
      </c>
      <c r="I139" s="83">
        <f>G139*AN139</f>
        <v>0</v>
      </c>
      <c r="J139" s="83">
        <f>G139*AO139</f>
        <v>0</v>
      </c>
      <c r="K139" s="83">
        <f>G139*H139</f>
        <v>0</v>
      </c>
      <c r="Y139" s="36">
        <f>IF(AP139="5",BI139,0)</f>
        <v>0</v>
      </c>
      <c r="AA139" s="36">
        <f>IF(AP139="1",BG139,0)</f>
        <v>0</v>
      </c>
      <c r="AB139" s="36">
        <f>IF(AP139="1",BH139,0)</f>
        <v>0</v>
      </c>
      <c r="AC139" s="36">
        <f>IF(AP139="7",BG139,0)</f>
        <v>0</v>
      </c>
      <c r="AD139" s="36">
        <f>IF(AP139="7",BH139,0)</f>
        <v>0</v>
      </c>
      <c r="AE139" s="36">
        <f>IF(AP139="2",BG139,0)</f>
        <v>0</v>
      </c>
      <c r="AF139" s="36">
        <f>IF(AP139="2",BH139,0)</f>
        <v>0</v>
      </c>
      <c r="AG139" s="36">
        <f>IF(AP139="0",BI139,0)</f>
        <v>0</v>
      </c>
      <c r="AH139" s="54" t="s">
        <v>70</v>
      </c>
      <c r="AI139" s="50">
        <f>IF(AM139=0,K139,0)</f>
        <v>0</v>
      </c>
      <c r="AJ139" s="50">
        <f>IF(AM139=15,K139,0)</f>
        <v>0</v>
      </c>
      <c r="AK139" s="50">
        <f>IF(AM139=21,K139,0)</f>
        <v>0</v>
      </c>
      <c r="AM139" s="36">
        <v>21</v>
      </c>
      <c r="AN139" s="36">
        <f>H139*0.124953125</f>
        <v>0</v>
      </c>
      <c r="AO139" s="36">
        <f>H139*(1-0.124953125)</f>
        <v>0</v>
      </c>
      <c r="AP139" s="55" t="s">
        <v>121</v>
      </c>
      <c r="AU139" s="36">
        <f>AV139+AW139</f>
        <v>0</v>
      </c>
      <c r="AV139" s="36">
        <f>G139*AN139</f>
        <v>0</v>
      </c>
      <c r="AW139" s="36">
        <f>G139*AO139</f>
        <v>0</v>
      </c>
      <c r="AX139" s="57" t="s">
        <v>792</v>
      </c>
      <c r="AY139" s="57" t="s">
        <v>819</v>
      </c>
      <c r="AZ139" s="54" t="s">
        <v>834</v>
      </c>
      <c r="BB139" s="36">
        <f>AV139+AW139</f>
        <v>0</v>
      </c>
      <c r="BC139" s="36">
        <f>H139/(100-BD139)*100</f>
        <v>0</v>
      </c>
      <c r="BD139" s="36">
        <v>0</v>
      </c>
      <c r="BE139" s="36">
        <f>139</f>
        <v>139</v>
      </c>
      <c r="BG139" s="50">
        <f>G139*AN139</f>
        <v>0</v>
      </c>
      <c r="BH139" s="50">
        <f>G139*AO139</f>
        <v>0</v>
      </c>
      <c r="BI139" s="50">
        <f>G139*H139</f>
        <v>0</v>
      </c>
    </row>
    <row r="140" spans="1:61" ht="12.75">
      <c r="A140" s="82" t="s">
        <v>212</v>
      </c>
      <c r="B140" s="82" t="s">
        <v>412</v>
      </c>
      <c r="C140" s="179" t="s">
        <v>637</v>
      </c>
      <c r="D140" s="180"/>
      <c r="E140" s="181"/>
      <c r="F140" s="82" t="s">
        <v>750</v>
      </c>
      <c r="G140" s="83">
        <v>44.78</v>
      </c>
      <c r="H140" s="83">
        <v>0</v>
      </c>
      <c r="I140" s="83">
        <f>G140*AN140</f>
        <v>0</v>
      </c>
      <c r="J140" s="83">
        <f>G140*AO140</f>
        <v>0</v>
      </c>
      <c r="K140" s="83">
        <f>G140*H140</f>
        <v>0</v>
      </c>
      <c r="Y140" s="36">
        <f>IF(AP140="5",BI140,0)</f>
        <v>0</v>
      </c>
      <c r="AA140" s="36">
        <f>IF(AP140="1",BG140,0)</f>
        <v>0</v>
      </c>
      <c r="AB140" s="36">
        <f>IF(AP140="1",BH140,0)</f>
        <v>0</v>
      </c>
      <c r="AC140" s="36">
        <f>IF(AP140="7",BG140,0)</f>
        <v>0</v>
      </c>
      <c r="AD140" s="36">
        <f>IF(AP140="7",BH140,0)</f>
        <v>0</v>
      </c>
      <c r="AE140" s="36">
        <f>IF(AP140="2",BG140,0)</f>
        <v>0</v>
      </c>
      <c r="AF140" s="36">
        <f>IF(AP140="2",BH140,0)</f>
        <v>0</v>
      </c>
      <c r="AG140" s="36">
        <f>IF(AP140="0",BI140,0)</f>
        <v>0</v>
      </c>
      <c r="AH140" s="54" t="s">
        <v>70</v>
      </c>
      <c r="AI140" s="50">
        <f>IF(AM140=0,K140,0)</f>
        <v>0</v>
      </c>
      <c r="AJ140" s="50">
        <f>IF(AM140=15,K140,0)</f>
        <v>0</v>
      </c>
      <c r="AK140" s="50">
        <f>IF(AM140=21,K140,0)</f>
        <v>0</v>
      </c>
      <c r="AM140" s="36">
        <v>21</v>
      </c>
      <c r="AN140" s="36">
        <f>H140*0.462388059701492</f>
        <v>0</v>
      </c>
      <c r="AO140" s="36">
        <f>H140*(1-0.462388059701492)</f>
        <v>0</v>
      </c>
      <c r="AP140" s="55" t="s">
        <v>121</v>
      </c>
      <c r="AU140" s="36">
        <f>AV140+AW140</f>
        <v>0</v>
      </c>
      <c r="AV140" s="36">
        <f>G140*AN140</f>
        <v>0</v>
      </c>
      <c r="AW140" s="36">
        <f>G140*AO140</f>
        <v>0</v>
      </c>
      <c r="AX140" s="57" t="s">
        <v>792</v>
      </c>
      <c r="AY140" s="57" t="s">
        <v>819</v>
      </c>
      <c r="AZ140" s="54" t="s">
        <v>834</v>
      </c>
      <c r="BB140" s="36">
        <f>AV140+AW140</f>
        <v>0</v>
      </c>
      <c r="BC140" s="36">
        <f>H140/(100-BD140)*100</f>
        <v>0</v>
      </c>
      <c r="BD140" s="36">
        <v>0</v>
      </c>
      <c r="BE140" s="36">
        <f>140</f>
        <v>140</v>
      </c>
      <c r="BG140" s="50">
        <f>G140*AN140</f>
        <v>0</v>
      </c>
      <c r="BH140" s="50">
        <f>G140*AO140</f>
        <v>0</v>
      </c>
      <c r="BI140" s="50">
        <f>G140*H140</f>
        <v>0</v>
      </c>
    </row>
    <row r="141" spans="1:61" ht="12.75">
      <c r="A141" s="82" t="s">
        <v>213</v>
      </c>
      <c r="B141" s="82" t="s">
        <v>413</v>
      </c>
      <c r="C141" s="179" t="s">
        <v>638</v>
      </c>
      <c r="D141" s="180"/>
      <c r="E141" s="181"/>
      <c r="F141" s="82" t="s">
        <v>750</v>
      </c>
      <c r="G141" s="83">
        <v>44.78</v>
      </c>
      <c r="H141" s="83">
        <v>0</v>
      </c>
      <c r="I141" s="83">
        <f>G141*AN141</f>
        <v>0</v>
      </c>
      <c r="J141" s="83">
        <f>G141*AO141</f>
        <v>0</v>
      </c>
      <c r="K141" s="83">
        <f>G141*H141</f>
        <v>0</v>
      </c>
      <c r="Y141" s="36">
        <f>IF(AP141="5",BI141,0)</f>
        <v>0</v>
      </c>
      <c r="AA141" s="36">
        <f>IF(AP141="1",BG141,0)</f>
        <v>0</v>
      </c>
      <c r="AB141" s="36">
        <f>IF(AP141="1",BH141,0)</f>
        <v>0</v>
      </c>
      <c r="AC141" s="36">
        <f>IF(AP141="7",BG141,0)</f>
        <v>0</v>
      </c>
      <c r="AD141" s="36">
        <f>IF(AP141="7",BH141,0)</f>
        <v>0</v>
      </c>
      <c r="AE141" s="36">
        <f>IF(AP141="2",BG141,0)</f>
        <v>0</v>
      </c>
      <c r="AF141" s="36">
        <f>IF(AP141="2",BH141,0)</f>
        <v>0</v>
      </c>
      <c r="AG141" s="36">
        <f>IF(AP141="0",BI141,0)</f>
        <v>0</v>
      </c>
      <c r="AH141" s="54" t="s">
        <v>70</v>
      </c>
      <c r="AI141" s="50">
        <f>IF(AM141=0,K141,0)</f>
        <v>0</v>
      </c>
      <c r="AJ141" s="50">
        <f>IF(AM141=15,K141,0)</f>
        <v>0</v>
      </c>
      <c r="AK141" s="50">
        <f>IF(AM141=21,K141,0)</f>
        <v>0</v>
      </c>
      <c r="AM141" s="36">
        <v>21</v>
      </c>
      <c r="AN141" s="36">
        <f>H141*0</f>
        <v>0</v>
      </c>
      <c r="AO141" s="36">
        <f>H141*(1-0)</f>
        <v>0</v>
      </c>
      <c r="AP141" s="55" t="s">
        <v>121</v>
      </c>
      <c r="AU141" s="36">
        <f>AV141+AW141</f>
        <v>0</v>
      </c>
      <c r="AV141" s="36">
        <f>G141*AN141</f>
        <v>0</v>
      </c>
      <c r="AW141" s="36">
        <f>G141*AO141</f>
        <v>0</v>
      </c>
      <c r="AX141" s="57" t="s">
        <v>792</v>
      </c>
      <c r="AY141" s="57" t="s">
        <v>819</v>
      </c>
      <c r="AZ141" s="54" t="s">
        <v>834</v>
      </c>
      <c r="BB141" s="36">
        <f>AV141+AW141</f>
        <v>0</v>
      </c>
      <c r="BC141" s="36">
        <f>H141/(100-BD141)*100</f>
        <v>0</v>
      </c>
      <c r="BD141" s="36">
        <v>0</v>
      </c>
      <c r="BE141" s="36">
        <f>141</f>
        <v>141</v>
      </c>
      <c r="BG141" s="50">
        <f>G141*AN141</f>
        <v>0</v>
      </c>
      <c r="BH141" s="50">
        <f>G141*AO141</f>
        <v>0</v>
      </c>
      <c r="BI141" s="50">
        <f>G141*H141</f>
        <v>0</v>
      </c>
    </row>
    <row r="142" spans="1:61" ht="12.75">
      <c r="A142" s="84" t="s">
        <v>214</v>
      </c>
      <c r="B142" s="84" t="s">
        <v>414</v>
      </c>
      <c r="C142" s="189" t="s">
        <v>639</v>
      </c>
      <c r="D142" s="186"/>
      <c r="E142" s="190"/>
      <c r="F142" s="84" t="s">
        <v>750</v>
      </c>
      <c r="G142" s="85">
        <v>47.02</v>
      </c>
      <c r="H142" s="85">
        <v>0</v>
      </c>
      <c r="I142" s="85">
        <f>G142*AN142</f>
        <v>0</v>
      </c>
      <c r="J142" s="85">
        <f>G142*AO142</f>
        <v>0</v>
      </c>
      <c r="K142" s="85">
        <f>G142*H142</f>
        <v>0</v>
      </c>
      <c r="Y142" s="36">
        <f>IF(AP142="5",BI142,0)</f>
        <v>0</v>
      </c>
      <c r="AA142" s="36">
        <f>IF(AP142="1",BG142,0)</f>
        <v>0</v>
      </c>
      <c r="AB142" s="36">
        <f>IF(AP142="1",BH142,0)</f>
        <v>0</v>
      </c>
      <c r="AC142" s="36">
        <f>IF(AP142="7",BG142,0)</f>
        <v>0</v>
      </c>
      <c r="AD142" s="36">
        <f>IF(AP142="7",BH142,0)</f>
        <v>0</v>
      </c>
      <c r="AE142" s="36">
        <f>IF(AP142="2",BG142,0)</f>
        <v>0</v>
      </c>
      <c r="AF142" s="36">
        <f>IF(AP142="2",BH142,0)</f>
        <v>0</v>
      </c>
      <c r="AG142" s="36">
        <f>IF(AP142="0",BI142,0)</f>
        <v>0</v>
      </c>
      <c r="AH142" s="54" t="s">
        <v>70</v>
      </c>
      <c r="AI142" s="51">
        <f>IF(AM142=0,K142,0)</f>
        <v>0</v>
      </c>
      <c r="AJ142" s="51">
        <f>IF(AM142=15,K142,0)</f>
        <v>0</v>
      </c>
      <c r="AK142" s="51">
        <f>IF(AM142=21,K142,0)</f>
        <v>0</v>
      </c>
      <c r="AM142" s="36">
        <v>21</v>
      </c>
      <c r="AN142" s="36">
        <f>H142*1</f>
        <v>0</v>
      </c>
      <c r="AO142" s="36">
        <f>H142*(1-1)</f>
        <v>0</v>
      </c>
      <c r="AP142" s="56" t="s">
        <v>121</v>
      </c>
      <c r="AU142" s="36">
        <f>AV142+AW142</f>
        <v>0</v>
      </c>
      <c r="AV142" s="36">
        <f>G142*AN142</f>
        <v>0</v>
      </c>
      <c r="AW142" s="36">
        <f>G142*AO142</f>
        <v>0</v>
      </c>
      <c r="AX142" s="57" t="s">
        <v>792</v>
      </c>
      <c r="AY142" s="57" t="s">
        <v>819</v>
      </c>
      <c r="AZ142" s="54" t="s">
        <v>834</v>
      </c>
      <c r="BB142" s="36">
        <f>AV142+AW142</f>
        <v>0</v>
      </c>
      <c r="BC142" s="36">
        <f>H142/(100-BD142)*100</f>
        <v>0</v>
      </c>
      <c r="BD142" s="36">
        <v>0</v>
      </c>
      <c r="BE142" s="36">
        <f>142</f>
        <v>142</v>
      </c>
      <c r="BG142" s="51">
        <f>G142*AN142</f>
        <v>0</v>
      </c>
      <c r="BH142" s="51">
        <f>G142*AO142</f>
        <v>0</v>
      </c>
      <c r="BI142" s="51">
        <f>G142*H142</f>
        <v>0</v>
      </c>
    </row>
    <row r="143" spans="1:61" ht="12.75">
      <c r="A143" s="82" t="s">
        <v>215</v>
      </c>
      <c r="B143" s="82" t="s">
        <v>415</v>
      </c>
      <c r="C143" s="179" t="s">
        <v>640</v>
      </c>
      <c r="D143" s="180"/>
      <c r="E143" s="181"/>
      <c r="F143" s="82" t="s">
        <v>751</v>
      </c>
      <c r="G143" s="83">
        <v>0.8</v>
      </c>
      <c r="H143" s="83">
        <v>0</v>
      </c>
      <c r="I143" s="83">
        <f>G143*AN143</f>
        <v>0</v>
      </c>
      <c r="J143" s="83">
        <f>G143*AO143</f>
        <v>0</v>
      </c>
      <c r="K143" s="83">
        <f>G143*H143</f>
        <v>0</v>
      </c>
      <c r="Y143" s="36">
        <f>IF(AP143="5",BI143,0)</f>
        <v>0</v>
      </c>
      <c r="AA143" s="36">
        <f>IF(AP143="1",BG143,0)</f>
        <v>0</v>
      </c>
      <c r="AB143" s="36">
        <f>IF(AP143="1",BH143,0)</f>
        <v>0</v>
      </c>
      <c r="AC143" s="36">
        <f>IF(AP143="7",BG143,0)</f>
        <v>0</v>
      </c>
      <c r="AD143" s="36">
        <f>IF(AP143="7",BH143,0)</f>
        <v>0</v>
      </c>
      <c r="AE143" s="36">
        <f>IF(AP143="2",BG143,0)</f>
        <v>0</v>
      </c>
      <c r="AF143" s="36">
        <f>IF(AP143="2",BH143,0)</f>
        <v>0</v>
      </c>
      <c r="AG143" s="36">
        <f>IF(AP143="0",BI143,0)</f>
        <v>0</v>
      </c>
      <c r="AH143" s="54" t="s">
        <v>70</v>
      </c>
      <c r="AI143" s="50">
        <f>IF(AM143=0,K143,0)</f>
        <v>0</v>
      </c>
      <c r="AJ143" s="50">
        <f>IF(AM143=15,K143,0)</f>
        <v>0</v>
      </c>
      <c r="AK143" s="50">
        <f>IF(AM143=21,K143,0)</f>
        <v>0</v>
      </c>
      <c r="AM143" s="36">
        <v>21</v>
      </c>
      <c r="AN143" s="36">
        <f>H143*0</f>
        <v>0</v>
      </c>
      <c r="AO143" s="36">
        <f>H143*(1-0)</f>
        <v>0</v>
      </c>
      <c r="AP143" s="55" t="s">
        <v>103</v>
      </c>
      <c r="AU143" s="36">
        <f>AV143+AW143</f>
        <v>0</v>
      </c>
      <c r="AV143" s="36">
        <f>G143*AN143</f>
        <v>0</v>
      </c>
      <c r="AW143" s="36">
        <f>G143*AO143</f>
        <v>0</v>
      </c>
      <c r="AX143" s="57" t="s">
        <v>792</v>
      </c>
      <c r="AY143" s="57" t="s">
        <v>819</v>
      </c>
      <c r="AZ143" s="54" t="s">
        <v>834</v>
      </c>
      <c r="BB143" s="36">
        <f>AV143+AW143</f>
        <v>0</v>
      </c>
      <c r="BC143" s="36">
        <f>H143/(100-BD143)*100</f>
        <v>0</v>
      </c>
      <c r="BD143" s="36">
        <v>0</v>
      </c>
      <c r="BE143" s="36">
        <f>143</f>
        <v>143</v>
      </c>
      <c r="BG143" s="50">
        <f>G143*AN143</f>
        <v>0</v>
      </c>
      <c r="BH143" s="50">
        <f>G143*AO143</f>
        <v>0</v>
      </c>
      <c r="BI143" s="50">
        <f>G143*H143</f>
        <v>0</v>
      </c>
    </row>
    <row r="144" spans="1:46" ht="12.75">
      <c r="A144" s="77"/>
      <c r="B144" s="78" t="s">
        <v>416</v>
      </c>
      <c r="C144" s="176" t="s">
        <v>641</v>
      </c>
      <c r="D144" s="177"/>
      <c r="E144" s="178"/>
      <c r="F144" s="77" t="s">
        <v>68</v>
      </c>
      <c r="G144" s="77" t="s">
        <v>68</v>
      </c>
      <c r="H144" s="77" t="s">
        <v>68</v>
      </c>
      <c r="I144" s="81">
        <f>SUM(I145:I145)</f>
        <v>0</v>
      </c>
      <c r="J144" s="81">
        <f>SUM(J145:J145)</f>
        <v>0</v>
      </c>
      <c r="K144" s="81">
        <f>SUM(K145:K145)</f>
        <v>0</v>
      </c>
      <c r="AH144" s="54" t="s">
        <v>70</v>
      </c>
      <c r="AR144" s="58">
        <f>SUM(AI145:AI145)</f>
        <v>0</v>
      </c>
      <c r="AS144" s="58">
        <f>SUM(AJ145:AJ145)</f>
        <v>0</v>
      </c>
      <c r="AT144" s="58">
        <f>SUM(AK145:AK145)</f>
        <v>0</v>
      </c>
    </row>
    <row r="145" spans="1:61" ht="12.75">
      <c r="A145" s="82" t="s">
        <v>216</v>
      </c>
      <c r="B145" s="82" t="s">
        <v>417</v>
      </c>
      <c r="C145" s="179" t="s">
        <v>642</v>
      </c>
      <c r="D145" s="180"/>
      <c r="E145" s="181"/>
      <c r="F145" s="82" t="s">
        <v>750</v>
      </c>
      <c r="G145" s="83">
        <v>3.2</v>
      </c>
      <c r="H145" s="83">
        <v>0</v>
      </c>
      <c r="I145" s="83">
        <f>G145*AN145</f>
        <v>0</v>
      </c>
      <c r="J145" s="83">
        <f>G145*AO145</f>
        <v>0</v>
      </c>
      <c r="K145" s="83">
        <f>G145*H145</f>
        <v>0</v>
      </c>
      <c r="Y145" s="36">
        <f>IF(AP145="5",BI145,0)</f>
        <v>0</v>
      </c>
      <c r="AA145" s="36">
        <f>IF(AP145="1",BG145,0)</f>
        <v>0</v>
      </c>
      <c r="AB145" s="36">
        <f>IF(AP145="1",BH145,0)</f>
        <v>0</v>
      </c>
      <c r="AC145" s="36">
        <f>IF(AP145="7",BG145,0)</f>
        <v>0</v>
      </c>
      <c r="AD145" s="36">
        <f>IF(AP145="7",BH145,0)</f>
        <v>0</v>
      </c>
      <c r="AE145" s="36">
        <f>IF(AP145="2",BG145,0)</f>
        <v>0</v>
      </c>
      <c r="AF145" s="36">
        <f>IF(AP145="2",BH145,0)</f>
        <v>0</v>
      </c>
      <c r="AG145" s="36">
        <f>IF(AP145="0",BI145,0)</f>
        <v>0</v>
      </c>
      <c r="AH145" s="54" t="s">
        <v>70</v>
      </c>
      <c r="AI145" s="50">
        <f>IF(AM145=0,K145,0)</f>
        <v>0</v>
      </c>
      <c r="AJ145" s="50">
        <f>IF(AM145=15,K145,0)</f>
        <v>0</v>
      </c>
      <c r="AK145" s="50">
        <f>IF(AM145=21,K145,0)</f>
        <v>0</v>
      </c>
      <c r="AM145" s="36">
        <v>21</v>
      </c>
      <c r="AN145" s="36">
        <f>H145*0.40048309178744</f>
        <v>0</v>
      </c>
      <c r="AO145" s="36">
        <f>H145*(1-0.40048309178744)</f>
        <v>0</v>
      </c>
      <c r="AP145" s="55" t="s">
        <v>121</v>
      </c>
      <c r="AU145" s="36">
        <f>AV145+AW145</f>
        <v>0</v>
      </c>
      <c r="AV145" s="36">
        <f>G145*AN145</f>
        <v>0</v>
      </c>
      <c r="AW145" s="36">
        <f>G145*AO145</f>
        <v>0</v>
      </c>
      <c r="AX145" s="57" t="s">
        <v>793</v>
      </c>
      <c r="AY145" s="57" t="s">
        <v>819</v>
      </c>
      <c r="AZ145" s="54" t="s">
        <v>834</v>
      </c>
      <c r="BB145" s="36">
        <f>AV145+AW145</f>
        <v>0</v>
      </c>
      <c r="BC145" s="36">
        <f>H145/(100-BD145)*100</f>
        <v>0</v>
      </c>
      <c r="BD145" s="36">
        <v>0</v>
      </c>
      <c r="BE145" s="36">
        <f>145</f>
        <v>145</v>
      </c>
      <c r="BG145" s="50">
        <f>G145*AN145</f>
        <v>0</v>
      </c>
      <c r="BH145" s="50">
        <f>G145*AO145</f>
        <v>0</v>
      </c>
      <c r="BI145" s="50">
        <f>G145*H145</f>
        <v>0</v>
      </c>
    </row>
    <row r="146" spans="1:46" ht="12.75">
      <c r="A146" s="77"/>
      <c r="B146" s="78" t="s">
        <v>418</v>
      </c>
      <c r="C146" s="176" t="s">
        <v>643</v>
      </c>
      <c r="D146" s="177"/>
      <c r="E146" s="178"/>
      <c r="F146" s="77" t="s">
        <v>68</v>
      </c>
      <c r="G146" s="77" t="s">
        <v>68</v>
      </c>
      <c r="H146" s="77" t="s">
        <v>68</v>
      </c>
      <c r="I146" s="81">
        <f>SUM(I147:I148)</f>
        <v>0</v>
      </c>
      <c r="J146" s="81">
        <f>SUM(J147:J148)</f>
        <v>0</v>
      </c>
      <c r="K146" s="81">
        <f>SUM(K147:K148)</f>
        <v>0</v>
      </c>
      <c r="AH146" s="54" t="s">
        <v>70</v>
      </c>
      <c r="AR146" s="58">
        <f>SUM(AI147:AI148)</f>
        <v>0</v>
      </c>
      <c r="AS146" s="58">
        <f>SUM(AJ147:AJ148)</f>
        <v>0</v>
      </c>
      <c r="AT146" s="58">
        <f>SUM(AK147:AK148)</f>
        <v>0</v>
      </c>
    </row>
    <row r="147" spans="1:61" ht="12.75">
      <c r="A147" s="82" t="s">
        <v>217</v>
      </c>
      <c r="B147" s="82" t="s">
        <v>419</v>
      </c>
      <c r="C147" s="179" t="s">
        <v>644</v>
      </c>
      <c r="D147" s="180"/>
      <c r="E147" s="181"/>
      <c r="F147" s="82" t="s">
        <v>750</v>
      </c>
      <c r="G147" s="83">
        <v>113.56</v>
      </c>
      <c r="H147" s="83">
        <v>0</v>
      </c>
      <c r="I147" s="83">
        <f>G147*AN147</f>
        <v>0</v>
      </c>
      <c r="J147" s="83">
        <f>G147*AO147</f>
        <v>0</v>
      </c>
      <c r="K147" s="83">
        <f>G147*H147</f>
        <v>0</v>
      </c>
      <c r="Y147" s="36">
        <f>IF(AP147="5",BI147,0)</f>
        <v>0</v>
      </c>
      <c r="AA147" s="36">
        <f>IF(AP147="1",BG147,0)</f>
        <v>0</v>
      </c>
      <c r="AB147" s="36">
        <f>IF(AP147="1",BH147,0)</f>
        <v>0</v>
      </c>
      <c r="AC147" s="36">
        <f>IF(AP147="7",BG147,0)</f>
        <v>0</v>
      </c>
      <c r="AD147" s="36">
        <f>IF(AP147="7",BH147,0)</f>
        <v>0</v>
      </c>
      <c r="AE147" s="36">
        <f>IF(AP147="2",BG147,0)</f>
        <v>0</v>
      </c>
      <c r="AF147" s="36">
        <f>IF(AP147="2",BH147,0)</f>
        <v>0</v>
      </c>
      <c r="AG147" s="36">
        <f>IF(AP147="0",BI147,0)</f>
        <v>0</v>
      </c>
      <c r="AH147" s="54" t="s">
        <v>70</v>
      </c>
      <c r="AI147" s="50">
        <f>IF(AM147=0,K147,0)</f>
        <v>0</v>
      </c>
      <c r="AJ147" s="50">
        <f>IF(AM147=15,K147,0)</f>
        <v>0</v>
      </c>
      <c r="AK147" s="50">
        <f>IF(AM147=21,K147,0)</f>
        <v>0</v>
      </c>
      <c r="AM147" s="36">
        <v>21</v>
      </c>
      <c r="AN147" s="36">
        <f>H147*0.426446591343267</f>
        <v>0</v>
      </c>
      <c r="AO147" s="36">
        <f>H147*(1-0.426446591343267)</f>
        <v>0</v>
      </c>
      <c r="AP147" s="55" t="s">
        <v>121</v>
      </c>
      <c r="AU147" s="36">
        <f>AV147+AW147</f>
        <v>0</v>
      </c>
      <c r="AV147" s="36">
        <f>G147*AN147</f>
        <v>0</v>
      </c>
      <c r="AW147" s="36">
        <f>G147*AO147</f>
        <v>0</v>
      </c>
      <c r="AX147" s="57" t="s">
        <v>794</v>
      </c>
      <c r="AY147" s="57" t="s">
        <v>819</v>
      </c>
      <c r="AZ147" s="54" t="s">
        <v>834</v>
      </c>
      <c r="BB147" s="36">
        <f>AV147+AW147</f>
        <v>0</v>
      </c>
      <c r="BC147" s="36">
        <f>H147/(100-BD147)*100</f>
        <v>0</v>
      </c>
      <c r="BD147" s="36">
        <v>0</v>
      </c>
      <c r="BE147" s="36">
        <f>147</f>
        <v>147</v>
      </c>
      <c r="BG147" s="50">
        <f>G147*AN147</f>
        <v>0</v>
      </c>
      <c r="BH147" s="50">
        <f>G147*AO147</f>
        <v>0</v>
      </c>
      <c r="BI147" s="50">
        <f>G147*H147</f>
        <v>0</v>
      </c>
    </row>
    <row r="148" spans="1:61" ht="12.75">
      <c r="A148" s="82" t="s">
        <v>218</v>
      </c>
      <c r="B148" s="82" t="s">
        <v>420</v>
      </c>
      <c r="C148" s="179" t="s">
        <v>645</v>
      </c>
      <c r="D148" s="180"/>
      <c r="E148" s="181"/>
      <c r="F148" s="82" t="s">
        <v>750</v>
      </c>
      <c r="G148" s="83">
        <v>113.56</v>
      </c>
      <c r="H148" s="83">
        <v>0</v>
      </c>
      <c r="I148" s="83">
        <f>G148*AN148</f>
        <v>0</v>
      </c>
      <c r="J148" s="83">
        <f>G148*AO148</f>
        <v>0</v>
      </c>
      <c r="K148" s="83">
        <f>G148*H148</f>
        <v>0</v>
      </c>
      <c r="Y148" s="36">
        <f>IF(AP148="5",BI148,0)</f>
        <v>0</v>
      </c>
      <c r="AA148" s="36">
        <f>IF(AP148="1",BG148,0)</f>
        <v>0</v>
      </c>
      <c r="AB148" s="36">
        <f>IF(AP148="1",BH148,0)</f>
        <v>0</v>
      </c>
      <c r="AC148" s="36">
        <f>IF(AP148="7",BG148,0)</f>
        <v>0</v>
      </c>
      <c r="AD148" s="36">
        <f>IF(AP148="7",BH148,0)</f>
        <v>0</v>
      </c>
      <c r="AE148" s="36">
        <f>IF(AP148="2",BG148,0)</f>
        <v>0</v>
      </c>
      <c r="AF148" s="36">
        <f>IF(AP148="2",BH148,0)</f>
        <v>0</v>
      </c>
      <c r="AG148" s="36">
        <f>IF(AP148="0",BI148,0)</f>
        <v>0</v>
      </c>
      <c r="AH148" s="54" t="s">
        <v>70</v>
      </c>
      <c r="AI148" s="50">
        <f>IF(AM148=0,K148,0)</f>
        <v>0</v>
      </c>
      <c r="AJ148" s="50">
        <f>IF(AM148=15,K148,0)</f>
        <v>0</v>
      </c>
      <c r="AK148" s="50">
        <f>IF(AM148=21,K148,0)</f>
        <v>0</v>
      </c>
      <c r="AM148" s="36">
        <v>21</v>
      </c>
      <c r="AN148" s="36">
        <f>H148*0.305107671330807</f>
        <v>0</v>
      </c>
      <c r="AO148" s="36">
        <f>H148*(1-0.305107671330807)</f>
        <v>0</v>
      </c>
      <c r="AP148" s="55" t="s">
        <v>121</v>
      </c>
      <c r="AU148" s="36">
        <f>AV148+AW148</f>
        <v>0</v>
      </c>
      <c r="AV148" s="36">
        <f>G148*AN148</f>
        <v>0</v>
      </c>
      <c r="AW148" s="36">
        <f>G148*AO148</f>
        <v>0</v>
      </c>
      <c r="AX148" s="57" t="s">
        <v>794</v>
      </c>
      <c r="AY148" s="57" t="s">
        <v>819</v>
      </c>
      <c r="AZ148" s="54" t="s">
        <v>834</v>
      </c>
      <c r="BB148" s="36">
        <f>AV148+AW148</f>
        <v>0</v>
      </c>
      <c r="BC148" s="36">
        <f>H148/(100-BD148)*100</f>
        <v>0</v>
      </c>
      <c r="BD148" s="36">
        <v>0</v>
      </c>
      <c r="BE148" s="36">
        <f>148</f>
        <v>148</v>
      </c>
      <c r="BG148" s="50">
        <f>G148*AN148</f>
        <v>0</v>
      </c>
      <c r="BH148" s="50">
        <f>G148*AO148</f>
        <v>0</v>
      </c>
      <c r="BI148" s="50">
        <f>G148*H148</f>
        <v>0</v>
      </c>
    </row>
    <row r="149" spans="1:46" ht="12.75">
      <c r="A149" s="77"/>
      <c r="B149" s="78" t="s">
        <v>201</v>
      </c>
      <c r="C149" s="176" t="s">
        <v>646</v>
      </c>
      <c r="D149" s="177"/>
      <c r="E149" s="178"/>
      <c r="F149" s="77" t="s">
        <v>68</v>
      </c>
      <c r="G149" s="77" t="s">
        <v>68</v>
      </c>
      <c r="H149" s="77" t="s">
        <v>68</v>
      </c>
      <c r="I149" s="81">
        <f>SUM(I150:I151)</f>
        <v>0</v>
      </c>
      <c r="J149" s="81">
        <f>SUM(J150:J151)</f>
        <v>0</v>
      </c>
      <c r="K149" s="81">
        <f>SUM(K150:K151)</f>
        <v>0</v>
      </c>
      <c r="AH149" s="54" t="s">
        <v>70</v>
      </c>
      <c r="AR149" s="58">
        <f>SUM(AI150:AI151)</f>
        <v>0</v>
      </c>
      <c r="AS149" s="58">
        <f>SUM(AJ150:AJ151)</f>
        <v>0</v>
      </c>
      <c r="AT149" s="58">
        <f>SUM(AK150:AK151)</f>
        <v>0</v>
      </c>
    </row>
    <row r="150" spans="1:61" ht="12.75">
      <c r="A150" s="82" t="s">
        <v>219</v>
      </c>
      <c r="B150" s="82" t="s">
        <v>421</v>
      </c>
      <c r="C150" s="179" t="s">
        <v>647</v>
      </c>
      <c r="D150" s="180"/>
      <c r="E150" s="181"/>
      <c r="F150" s="82" t="s">
        <v>750</v>
      </c>
      <c r="G150" s="83">
        <v>26.23</v>
      </c>
      <c r="H150" s="83">
        <v>0</v>
      </c>
      <c r="I150" s="83">
        <f>G150*AN150</f>
        <v>0</v>
      </c>
      <c r="J150" s="83">
        <f>G150*AO150</f>
        <v>0</v>
      </c>
      <c r="K150" s="83">
        <f>G150*H150</f>
        <v>0</v>
      </c>
      <c r="Y150" s="36">
        <f>IF(AP150="5",BI150,0)</f>
        <v>0</v>
      </c>
      <c r="AA150" s="36">
        <f>IF(AP150="1",BG150,0)</f>
        <v>0</v>
      </c>
      <c r="AB150" s="36">
        <f>IF(AP150="1",BH150,0)</f>
        <v>0</v>
      </c>
      <c r="AC150" s="36">
        <f>IF(AP150="7",BG150,0)</f>
        <v>0</v>
      </c>
      <c r="AD150" s="36">
        <f>IF(AP150="7",BH150,0)</f>
        <v>0</v>
      </c>
      <c r="AE150" s="36">
        <f>IF(AP150="2",BG150,0)</f>
        <v>0</v>
      </c>
      <c r="AF150" s="36">
        <f>IF(AP150="2",BH150,0)</f>
        <v>0</v>
      </c>
      <c r="AG150" s="36">
        <f>IF(AP150="0",BI150,0)</f>
        <v>0</v>
      </c>
      <c r="AH150" s="54" t="s">
        <v>70</v>
      </c>
      <c r="AI150" s="50">
        <f>IF(AM150=0,K150,0)</f>
        <v>0</v>
      </c>
      <c r="AJ150" s="50">
        <f>IF(AM150=15,K150,0)</f>
        <v>0</v>
      </c>
      <c r="AK150" s="50">
        <f>IF(AM150=21,K150,0)</f>
        <v>0</v>
      </c>
      <c r="AM150" s="36">
        <v>21</v>
      </c>
      <c r="AN150" s="36">
        <f>H150*0.337601368325405</f>
        <v>0</v>
      </c>
      <c r="AO150" s="36">
        <f>H150*(1-0.337601368325405)</f>
        <v>0</v>
      </c>
      <c r="AP150" s="55" t="s">
        <v>92</v>
      </c>
      <c r="AU150" s="36">
        <f>AV150+AW150</f>
        <v>0</v>
      </c>
      <c r="AV150" s="36">
        <f>G150*AN150</f>
        <v>0</v>
      </c>
      <c r="AW150" s="36">
        <f>G150*AO150</f>
        <v>0</v>
      </c>
      <c r="AX150" s="57" t="s">
        <v>795</v>
      </c>
      <c r="AY150" s="57" t="s">
        <v>820</v>
      </c>
      <c r="AZ150" s="54" t="s">
        <v>834</v>
      </c>
      <c r="BB150" s="36">
        <f>AV150+AW150</f>
        <v>0</v>
      </c>
      <c r="BC150" s="36">
        <f>H150/(100-BD150)*100</f>
        <v>0</v>
      </c>
      <c r="BD150" s="36">
        <v>0</v>
      </c>
      <c r="BE150" s="36">
        <f>150</f>
        <v>150</v>
      </c>
      <c r="BG150" s="50">
        <f>G150*AN150</f>
        <v>0</v>
      </c>
      <c r="BH150" s="50">
        <f>G150*AO150</f>
        <v>0</v>
      </c>
      <c r="BI150" s="50">
        <f>G150*H150</f>
        <v>0</v>
      </c>
    </row>
    <row r="151" spans="1:61" ht="12.75">
      <c r="A151" s="82" t="s">
        <v>220</v>
      </c>
      <c r="B151" s="82" t="s">
        <v>422</v>
      </c>
      <c r="C151" s="179" t="s">
        <v>648</v>
      </c>
      <c r="D151" s="180"/>
      <c r="E151" s="181"/>
      <c r="F151" s="82" t="s">
        <v>750</v>
      </c>
      <c r="G151" s="83">
        <v>28</v>
      </c>
      <c r="H151" s="83">
        <v>0</v>
      </c>
      <c r="I151" s="83">
        <f>G151*AN151</f>
        <v>0</v>
      </c>
      <c r="J151" s="83">
        <f>G151*AO151</f>
        <v>0</v>
      </c>
      <c r="K151" s="83">
        <f>G151*H151</f>
        <v>0</v>
      </c>
      <c r="Y151" s="36">
        <f>IF(AP151="5",BI151,0)</f>
        <v>0</v>
      </c>
      <c r="AA151" s="36">
        <f>IF(AP151="1",BG151,0)</f>
        <v>0</v>
      </c>
      <c r="AB151" s="36">
        <f>IF(AP151="1",BH151,0)</f>
        <v>0</v>
      </c>
      <c r="AC151" s="36">
        <f>IF(AP151="7",BG151,0)</f>
        <v>0</v>
      </c>
      <c r="AD151" s="36">
        <f>IF(AP151="7",BH151,0)</f>
        <v>0</v>
      </c>
      <c r="AE151" s="36">
        <f>IF(AP151="2",BG151,0)</f>
        <v>0</v>
      </c>
      <c r="AF151" s="36">
        <f>IF(AP151="2",BH151,0)</f>
        <v>0</v>
      </c>
      <c r="AG151" s="36">
        <f>IF(AP151="0",BI151,0)</f>
        <v>0</v>
      </c>
      <c r="AH151" s="54" t="s">
        <v>70</v>
      </c>
      <c r="AI151" s="50">
        <f>IF(AM151=0,K151,0)</f>
        <v>0</v>
      </c>
      <c r="AJ151" s="50">
        <f>IF(AM151=15,K151,0)</f>
        <v>0</v>
      </c>
      <c r="AK151" s="50">
        <f>IF(AM151=21,K151,0)</f>
        <v>0</v>
      </c>
      <c r="AM151" s="36">
        <v>21</v>
      </c>
      <c r="AN151" s="36">
        <f>H151*0.433984842441165</f>
        <v>0</v>
      </c>
      <c r="AO151" s="36">
        <f>H151*(1-0.433984842441165)</f>
        <v>0</v>
      </c>
      <c r="AP151" s="55" t="s">
        <v>92</v>
      </c>
      <c r="AU151" s="36">
        <f>AV151+AW151</f>
        <v>0</v>
      </c>
      <c r="AV151" s="36">
        <f>G151*AN151</f>
        <v>0</v>
      </c>
      <c r="AW151" s="36">
        <f>G151*AO151</f>
        <v>0</v>
      </c>
      <c r="AX151" s="57" t="s">
        <v>795</v>
      </c>
      <c r="AY151" s="57" t="s">
        <v>820</v>
      </c>
      <c r="AZ151" s="54" t="s">
        <v>834</v>
      </c>
      <c r="BB151" s="36">
        <f>AV151+AW151</f>
        <v>0</v>
      </c>
      <c r="BC151" s="36">
        <f>H151/(100-BD151)*100</f>
        <v>0</v>
      </c>
      <c r="BD151" s="36">
        <v>0</v>
      </c>
      <c r="BE151" s="36">
        <f>151</f>
        <v>151</v>
      </c>
      <c r="BG151" s="50">
        <f>G151*AN151</f>
        <v>0</v>
      </c>
      <c r="BH151" s="50">
        <f>G151*AO151</f>
        <v>0</v>
      </c>
      <c r="BI151" s="50">
        <f>G151*H151</f>
        <v>0</v>
      </c>
    </row>
    <row r="152" spans="1:46" ht="12.75">
      <c r="A152" s="77"/>
      <c r="B152" s="78" t="s">
        <v>202</v>
      </c>
      <c r="C152" s="176" t="s">
        <v>649</v>
      </c>
      <c r="D152" s="177"/>
      <c r="E152" s="178"/>
      <c r="F152" s="77" t="s">
        <v>68</v>
      </c>
      <c r="G152" s="77" t="s">
        <v>68</v>
      </c>
      <c r="H152" s="77" t="s">
        <v>68</v>
      </c>
      <c r="I152" s="81">
        <f>SUM(I153:I153)</f>
        <v>0</v>
      </c>
      <c r="J152" s="81">
        <f>SUM(J153:J153)</f>
        <v>0</v>
      </c>
      <c r="K152" s="81">
        <f>SUM(K153:K153)</f>
        <v>0</v>
      </c>
      <c r="AH152" s="54" t="s">
        <v>70</v>
      </c>
      <c r="AR152" s="58">
        <f>SUM(AI153:AI153)</f>
        <v>0</v>
      </c>
      <c r="AS152" s="58">
        <f>SUM(AJ153:AJ153)</f>
        <v>0</v>
      </c>
      <c r="AT152" s="58">
        <f>SUM(AK153:AK153)</f>
        <v>0</v>
      </c>
    </row>
    <row r="153" spans="1:61" ht="12.75">
      <c r="A153" s="82" t="s">
        <v>221</v>
      </c>
      <c r="B153" s="82" t="s">
        <v>423</v>
      </c>
      <c r="C153" s="179" t="s">
        <v>650</v>
      </c>
      <c r="D153" s="180"/>
      <c r="E153" s="181"/>
      <c r="F153" s="82" t="s">
        <v>750</v>
      </c>
      <c r="G153" s="83">
        <v>26.23</v>
      </c>
      <c r="H153" s="83">
        <v>0</v>
      </c>
      <c r="I153" s="83">
        <f>G153*AN153</f>
        <v>0</v>
      </c>
      <c r="J153" s="83">
        <f>G153*AO153</f>
        <v>0</v>
      </c>
      <c r="K153" s="83">
        <f>G153*H153</f>
        <v>0</v>
      </c>
      <c r="Y153" s="36">
        <f>IF(AP153="5",BI153,0)</f>
        <v>0</v>
      </c>
      <c r="AA153" s="36">
        <f>IF(AP153="1",BG153,0)</f>
        <v>0</v>
      </c>
      <c r="AB153" s="36">
        <f>IF(AP153="1",BH153,0)</f>
        <v>0</v>
      </c>
      <c r="AC153" s="36">
        <f>IF(AP153="7",BG153,0)</f>
        <v>0</v>
      </c>
      <c r="AD153" s="36">
        <f>IF(AP153="7",BH153,0)</f>
        <v>0</v>
      </c>
      <c r="AE153" s="36">
        <f>IF(AP153="2",BG153,0)</f>
        <v>0</v>
      </c>
      <c r="AF153" s="36">
        <f>IF(AP153="2",BH153,0)</f>
        <v>0</v>
      </c>
      <c r="AG153" s="36">
        <f>IF(AP153="0",BI153,0)</f>
        <v>0</v>
      </c>
      <c r="AH153" s="54" t="s">
        <v>70</v>
      </c>
      <c r="AI153" s="50">
        <f>IF(AM153=0,K153,0)</f>
        <v>0</v>
      </c>
      <c r="AJ153" s="50">
        <f>IF(AM153=15,K153,0)</f>
        <v>0</v>
      </c>
      <c r="AK153" s="50">
        <f>IF(AM153=21,K153,0)</f>
        <v>0</v>
      </c>
      <c r="AM153" s="36">
        <v>21</v>
      </c>
      <c r="AN153" s="36">
        <f>H153*0.0123809319474381</f>
        <v>0</v>
      </c>
      <c r="AO153" s="36">
        <f>H153*(1-0.0123809319474381)</f>
        <v>0</v>
      </c>
      <c r="AP153" s="55" t="s">
        <v>92</v>
      </c>
      <c r="AU153" s="36">
        <f>AV153+AW153</f>
        <v>0</v>
      </c>
      <c r="AV153" s="36">
        <f>G153*AN153</f>
        <v>0</v>
      </c>
      <c r="AW153" s="36">
        <f>G153*AO153</f>
        <v>0</v>
      </c>
      <c r="AX153" s="57" t="s">
        <v>796</v>
      </c>
      <c r="AY153" s="57" t="s">
        <v>820</v>
      </c>
      <c r="AZ153" s="54" t="s">
        <v>834</v>
      </c>
      <c r="BB153" s="36">
        <f>AV153+AW153</f>
        <v>0</v>
      </c>
      <c r="BC153" s="36">
        <f>H153/(100-BD153)*100</f>
        <v>0</v>
      </c>
      <c r="BD153" s="36">
        <v>0</v>
      </c>
      <c r="BE153" s="36">
        <f>153</f>
        <v>153</v>
      </c>
      <c r="BG153" s="50">
        <f>G153*AN153</f>
        <v>0</v>
      </c>
      <c r="BH153" s="50">
        <f>G153*AO153</f>
        <v>0</v>
      </c>
      <c r="BI153" s="50">
        <f>G153*H153</f>
        <v>0</v>
      </c>
    </row>
    <row r="154" spans="1:11" ht="12.75">
      <c r="A154" s="86"/>
      <c r="B154" s="87"/>
      <c r="C154" s="192" t="s">
        <v>78</v>
      </c>
      <c r="D154" s="193"/>
      <c r="E154" s="194"/>
      <c r="F154" s="86" t="s">
        <v>68</v>
      </c>
      <c r="G154" s="86" t="s">
        <v>68</v>
      </c>
      <c r="H154" s="86" t="s">
        <v>68</v>
      </c>
      <c r="I154" s="88">
        <f>I155+I167+I181+I183</f>
        <v>0</v>
      </c>
      <c r="J154" s="88">
        <f>J155+J167+J181+J183</f>
        <v>0</v>
      </c>
      <c r="K154" s="88">
        <f>K155+K167+K181+K183</f>
        <v>0</v>
      </c>
    </row>
    <row r="155" spans="1:46" ht="12.75">
      <c r="A155" s="41"/>
      <c r="B155" s="47" t="s">
        <v>424</v>
      </c>
      <c r="C155" s="191" t="s">
        <v>651</v>
      </c>
      <c r="D155" s="177"/>
      <c r="E155" s="177"/>
      <c r="F155" s="41" t="s">
        <v>68</v>
      </c>
      <c r="G155" s="41" t="s">
        <v>68</v>
      </c>
      <c r="H155" s="41" t="s">
        <v>68</v>
      </c>
      <c r="I155" s="58">
        <f>SUM(I156:I166)</f>
        <v>0</v>
      </c>
      <c r="J155" s="58">
        <f>SUM(J156:J166)</f>
        <v>0</v>
      </c>
      <c r="K155" s="58">
        <f>SUM(K156:K166)</f>
        <v>0</v>
      </c>
      <c r="AH155" s="54" t="s">
        <v>71</v>
      </c>
      <c r="AR155" s="58">
        <f>SUM(AI156:AI166)</f>
        <v>0</v>
      </c>
      <c r="AS155" s="58">
        <f>SUM(AJ156:AJ166)</f>
        <v>0</v>
      </c>
      <c r="AT155" s="58">
        <f>SUM(AK156:AK166)</f>
        <v>0</v>
      </c>
    </row>
    <row r="156" spans="1:61" ht="12.75">
      <c r="A156" s="42" t="s">
        <v>222</v>
      </c>
      <c r="B156" s="42" t="s">
        <v>425</v>
      </c>
      <c r="C156" s="184" t="s">
        <v>652</v>
      </c>
      <c r="D156" s="180"/>
      <c r="E156" s="180"/>
      <c r="F156" s="42" t="s">
        <v>753</v>
      </c>
      <c r="G156" s="50">
        <v>1</v>
      </c>
      <c r="H156" s="50">
        <v>0</v>
      </c>
      <c r="I156" s="50">
        <f aca="true" t="shared" si="110" ref="I156:I166">G156*AN156</f>
        <v>0</v>
      </c>
      <c r="J156" s="50">
        <f aca="true" t="shared" si="111" ref="J156:J166">G156*AO156</f>
        <v>0</v>
      </c>
      <c r="K156" s="50">
        <f aca="true" t="shared" si="112" ref="K156:K166">G156*H156</f>
        <v>0</v>
      </c>
      <c r="Y156" s="36">
        <f aca="true" t="shared" si="113" ref="Y156:Y166">IF(AP156="5",BI156,0)</f>
        <v>0</v>
      </c>
      <c r="AA156" s="36">
        <f aca="true" t="shared" si="114" ref="AA156:AA166">IF(AP156="1",BG156,0)</f>
        <v>0</v>
      </c>
      <c r="AB156" s="36">
        <f aca="true" t="shared" si="115" ref="AB156:AB166">IF(AP156="1",BH156,0)</f>
        <v>0</v>
      </c>
      <c r="AC156" s="36">
        <f aca="true" t="shared" si="116" ref="AC156:AC166">IF(AP156="7",BG156,0)</f>
        <v>0</v>
      </c>
      <c r="AD156" s="36">
        <f aca="true" t="shared" si="117" ref="AD156:AD166">IF(AP156="7",BH156,0)</f>
        <v>0</v>
      </c>
      <c r="AE156" s="36">
        <f aca="true" t="shared" si="118" ref="AE156:AE166">IF(AP156="2",BG156,0)</f>
        <v>0</v>
      </c>
      <c r="AF156" s="36">
        <f aca="true" t="shared" si="119" ref="AF156:AF166">IF(AP156="2",BH156,0)</f>
        <v>0</v>
      </c>
      <c r="AG156" s="36">
        <f aca="true" t="shared" si="120" ref="AG156:AG166">IF(AP156="0",BI156,0)</f>
        <v>0</v>
      </c>
      <c r="AH156" s="54" t="s">
        <v>71</v>
      </c>
      <c r="AI156" s="50">
        <f aca="true" t="shared" si="121" ref="AI156:AI166">IF(AM156=0,K156,0)</f>
        <v>0</v>
      </c>
      <c r="AJ156" s="50">
        <f aca="true" t="shared" si="122" ref="AJ156:AJ166">IF(AM156=15,K156,0)</f>
        <v>0</v>
      </c>
      <c r="AK156" s="50">
        <f aca="true" t="shared" si="123" ref="AK156:AK166">IF(AM156=21,K156,0)</f>
        <v>0</v>
      </c>
      <c r="AM156" s="36">
        <v>21</v>
      </c>
      <c r="AN156" s="36">
        <f>H156*0.666666666666667</f>
        <v>0</v>
      </c>
      <c r="AO156" s="36">
        <f>H156*(1-0.666666666666667)</f>
        <v>0</v>
      </c>
      <c r="AP156" s="55" t="s">
        <v>121</v>
      </c>
      <c r="AU156" s="36">
        <f aca="true" t="shared" si="124" ref="AU156:AU166">AV156+AW156</f>
        <v>0</v>
      </c>
      <c r="AV156" s="36">
        <f aca="true" t="shared" si="125" ref="AV156:AV166">G156*AN156</f>
        <v>0</v>
      </c>
      <c r="AW156" s="36">
        <f aca="true" t="shared" si="126" ref="AW156:AW166">G156*AO156</f>
        <v>0</v>
      </c>
      <c r="AX156" s="57" t="s">
        <v>797</v>
      </c>
      <c r="AY156" s="57" t="s">
        <v>821</v>
      </c>
      <c r="AZ156" s="54" t="s">
        <v>835</v>
      </c>
      <c r="BB156" s="36">
        <f aca="true" t="shared" si="127" ref="BB156:BB166">AV156+AW156</f>
        <v>0</v>
      </c>
      <c r="BC156" s="36">
        <f aca="true" t="shared" si="128" ref="BC156:BC166">H156/(100-BD156)*100</f>
        <v>0</v>
      </c>
      <c r="BD156" s="36">
        <v>0</v>
      </c>
      <c r="BE156" s="36">
        <f>156</f>
        <v>156</v>
      </c>
      <c r="BG156" s="50">
        <f aca="true" t="shared" si="129" ref="BG156:BG166">G156*AN156</f>
        <v>0</v>
      </c>
      <c r="BH156" s="50">
        <f aca="true" t="shared" si="130" ref="BH156:BH166">G156*AO156</f>
        <v>0</v>
      </c>
      <c r="BI156" s="50">
        <f aca="true" t="shared" si="131" ref="BI156:BI166">G156*H156</f>
        <v>0</v>
      </c>
    </row>
    <row r="157" spans="1:61" ht="12.75">
      <c r="A157" s="42" t="s">
        <v>223</v>
      </c>
      <c r="B157" s="42" t="s">
        <v>426</v>
      </c>
      <c r="C157" s="184" t="s">
        <v>653</v>
      </c>
      <c r="D157" s="180"/>
      <c r="E157" s="180"/>
      <c r="F157" s="42" t="s">
        <v>753</v>
      </c>
      <c r="G157" s="50">
        <v>1</v>
      </c>
      <c r="H157" s="50">
        <v>0</v>
      </c>
      <c r="I157" s="50">
        <f t="shared" si="110"/>
        <v>0</v>
      </c>
      <c r="J157" s="50">
        <f t="shared" si="111"/>
        <v>0</v>
      </c>
      <c r="K157" s="50">
        <f t="shared" si="112"/>
        <v>0</v>
      </c>
      <c r="Y157" s="36">
        <f t="shared" si="113"/>
        <v>0</v>
      </c>
      <c r="AA157" s="36">
        <f t="shared" si="114"/>
        <v>0</v>
      </c>
      <c r="AB157" s="36">
        <f t="shared" si="115"/>
        <v>0</v>
      </c>
      <c r="AC157" s="36">
        <f t="shared" si="116"/>
        <v>0</v>
      </c>
      <c r="AD157" s="36">
        <f t="shared" si="117"/>
        <v>0</v>
      </c>
      <c r="AE157" s="36">
        <f t="shared" si="118"/>
        <v>0</v>
      </c>
      <c r="AF157" s="36">
        <f t="shared" si="119"/>
        <v>0</v>
      </c>
      <c r="AG157" s="36">
        <f t="shared" si="120"/>
        <v>0</v>
      </c>
      <c r="AH157" s="54" t="s">
        <v>71</v>
      </c>
      <c r="AI157" s="50">
        <f t="shared" si="121"/>
        <v>0</v>
      </c>
      <c r="AJ157" s="50">
        <f t="shared" si="122"/>
        <v>0</v>
      </c>
      <c r="AK157" s="50">
        <f t="shared" si="123"/>
        <v>0</v>
      </c>
      <c r="AM157" s="36">
        <v>21</v>
      </c>
      <c r="AN157" s="36">
        <f>H157*0.736855745721271</f>
        <v>0</v>
      </c>
      <c r="AO157" s="36">
        <f>H157*(1-0.736855745721271)</f>
        <v>0</v>
      </c>
      <c r="AP157" s="55" t="s">
        <v>121</v>
      </c>
      <c r="AU157" s="36">
        <f t="shared" si="124"/>
        <v>0</v>
      </c>
      <c r="AV157" s="36">
        <f t="shared" si="125"/>
        <v>0</v>
      </c>
      <c r="AW157" s="36">
        <f t="shared" si="126"/>
        <v>0</v>
      </c>
      <c r="AX157" s="57" t="s">
        <v>797</v>
      </c>
      <c r="AY157" s="57" t="s">
        <v>821</v>
      </c>
      <c r="AZ157" s="54" t="s">
        <v>835</v>
      </c>
      <c r="BB157" s="36">
        <f t="shared" si="127"/>
        <v>0</v>
      </c>
      <c r="BC157" s="36">
        <f t="shared" si="128"/>
        <v>0</v>
      </c>
      <c r="BD157" s="36">
        <v>0</v>
      </c>
      <c r="BE157" s="36">
        <f>157</f>
        <v>157</v>
      </c>
      <c r="BG157" s="50">
        <f t="shared" si="129"/>
        <v>0</v>
      </c>
      <c r="BH157" s="50">
        <f t="shared" si="130"/>
        <v>0</v>
      </c>
      <c r="BI157" s="50">
        <f t="shared" si="131"/>
        <v>0</v>
      </c>
    </row>
    <row r="158" spans="1:61" ht="12.75">
      <c r="A158" s="42" t="s">
        <v>224</v>
      </c>
      <c r="B158" s="42" t="s">
        <v>427</v>
      </c>
      <c r="C158" s="184" t="s">
        <v>654</v>
      </c>
      <c r="D158" s="180"/>
      <c r="E158" s="180"/>
      <c r="F158" s="42" t="s">
        <v>752</v>
      </c>
      <c r="G158" s="50">
        <v>5</v>
      </c>
      <c r="H158" s="50">
        <v>0</v>
      </c>
      <c r="I158" s="50">
        <f t="shared" si="110"/>
        <v>0</v>
      </c>
      <c r="J158" s="50">
        <f t="shared" si="111"/>
        <v>0</v>
      </c>
      <c r="K158" s="50">
        <f t="shared" si="112"/>
        <v>0</v>
      </c>
      <c r="Y158" s="36">
        <f t="shared" si="113"/>
        <v>0</v>
      </c>
      <c r="AA158" s="36">
        <f t="shared" si="114"/>
        <v>0</v>
      </c>
      <c r="AB158" s="36">
        <f t="shared" si="115"/>
        <v>0</v>
      </c>
      <c r="AC158" s="36">
        <f t="shared" si="116"/>
        <v>0</v>
      </c>
      <c r="AD158" s="36">
        <f t="shared" si="117"/>
        <v>0</v>
      </c>
      <c r="AE158" s="36">
        <f t="shared" si="118"/>
        <v>0</v>
      </c>
      <c r="AF158" s="36">
        <f t="shared" si="119"/>
        <v>0</v>
      </c>
      <c r="AG158" s="36">
        <f t="shared" si="120"/>
        <v>0</v>
      </c>
      <c r="AH158" s="54" t="s">
        <v>71</v>
      </c>
      <c r="AI158" s="50">
        <f t="shared" si="121"/>
        <v>0</v>
      </c>
      <c r="AJ158" s="50">
        <f t="shared" si="122"/>
        <v>0</v>
      </c>
      <c r="AK158" s="50">
        <f t="shared" si="123"/>
        <v>0</v>
      </c>
      <c r="AM158" s="36">
        <v>21</v>
      </c>
      <c r="AN158" s="36">
        <f>H158*0.455435816164818</f>
        <v>0</v>
      </c>
      <c r="AO158" s="36">
        <f>H158*(1-0.455435816164818)</f>
        <v>0</v>
      </c>
      <c r="AP158" s="55" t="s">
        <v>121</v>
      </c>
      <c r="AU158" s="36">
        <f t="shared" si="124"/>
        <v>0</v>
      </c>
      <c r="AV158" s="36">
        <f t="shared" si="125"/>
        <v>0</v>
      </c>
      <c r="AW158" s="36">
        <f t="shared" si="126"/>
        <v>0</v>
      </c>
      <c r="AX158" s="57" t="s">
        <v>797</v>
      </c>
      <c r="AY158" s="57" t="s">
        <v>821</v>
      </c>
      <c r="AZ158" s="54" t="s">
        <v>835</v>
      </c>
      <c r="BB158" s="36">
        <f t="shared" si="127"/>
        <v>0</v>
      </c>
      <c r="BC158" s="36">
        <f t="shared" si="128"/>
        <v>0</v>
      </c>
      <c r="BD158" s="36">
        <v>0</v>
      </c>
      <c r="BE158" s="36">
        <f>158</f>
        <v>158</v>
      </c>
      <c r="BG158" s="50">
        <f t="shared" si="129"/>
        <v>0</v>
      </c>
      <c r="BH158" s="50">
        <f t="shared" si="130"/>
        <v>0</v>
      </c>
      <c r="BI158" s="50">
        <f t="shared" si="131"/>
        <v>0</v>
      </c>
    </row>
    <row r="159" spans="1:61" ht="12.75">
      <c r="A159" s="42" t="s">
        <v>225</v>
      </c>
      <c r="B159" s="42" t="s">
        <v>428</v>
      </c>
      <c r="C159" s="184" t="s">
        <v>655</v>
      </c>
      <c r="D159" s="180"/>
      <c r="E159" s="180"/>
      <c r="F159" s="42" t="s">
        <v>752</v>
      </c>
      <c r="G159" s="50">
        <v>20</v>
      </c>
      <c r="H159" s="50">
        <v>0</v>
      </c>
      <c r="I159" s="50">
        <f t="shared" si="110"/>
        <v>0</v>
      </c>
      <c r="J159" s="50">
        <f t="shared" si="111"/>
        <v>0</v>
      </c>
      <c r="K159" s="50">
        <f t="shared" si="112"/>
        <v>0</v>
      </c>
      <c r="Y159" s="36">
        <f t="shared" si="113"/>
        <v>0</v>
      </c>
      <c r="AA159" s="36">
        <f t="shared" si="114"/>
        <v>0</v>
      </c>
      <c r="AB159" s="36">
        <f t="shared" si="115"/>
        <v>0</v>
      </c>
      <c r="AC159" s="36">
        <f t="shared" si="116"/>
        <v>0</v>
      </c>
      <c r="AD159" s="36">
        <f t="shared" si="117"/>
        <v>0</v>
      </c>
      <c r="AE159" s="36">
        <f t="shared" si="118"/>
        <v>0</v>
      </c>
      <c r="AF159" s="36">
        <f t="shared" si="119"/>
        <v>0</v>
      </c>
      <c r="AG159" s="36">
        <f t="shared" si="120"/>
        <v>0</v>
      </c>
      <c r="AH159" s="54" t="s">
        <v>71</v>
      </c>
      <c r="AI159" s="50">
        <f t="shared" si="121"/>
        <v>0</v>
      </c>
      <c r="AJ159" s="50">
        <f t="shared" si="122"/>
        <v>0</v>
      </c>
      <c r="AK159" s="50">
        <f t="shared" si="123"/>
        <v>0</v>
      </c>
      <c r="AM159" s="36">
        <v>21</v>
      </c>
      <c r="AN159" s="36">
        <f>H159*0.363512396694215</f>
        <v>0</v>
      </c>
      <c r="AO159" s="36">
        <f>H159*(1-0.363512396694215)</f>
        <v>0</v>
      </c>
      <c r="AP159" s="55" t="s">
        <v>121</v>
      </c>
      <c r="AU159" s="36">
        <f t="shared" si="124"/>
        <v>0</v>
      </c>
      <c r="AV159" s="36">
        <f t="shared" si="125"/>
        <v>0</v>
      </c>
      <c r="AW159" s="36">
        <f t="shared" si="126"/>
        <v>0</v>
      </c>
      <c r="AX159" s="57" t="s">
        <v>797</v>
      </c>
      <c r="AY159" s="57" t="s">
        <v>821</v>
      </c>
      <c r="AZ159" s="54" t="s">
        <v>835</v>
      </c>
      <c r="BB159" s="36">
        <f t="shared" si="127"/>
        <v>0</v>
      </c>
      <c r="BC159" s="36">
        <f t="shared" si="128"/>
        <v>0</v>
      </c>
      <c r="BD159" s="36">
        <v>0</v>
      </c>
      <c r="BE159" s="36">
        <f>159</f>
        <v>159</v>
      </c>
      <c r="BG159" s="50">
        <f t="shared" si="129"/>
        <v>0</v>
      </c>
      <c r="BH159" s="50">
        <f t="shared" si="130"/>
        <v>0</v>
      </c>
      <c r="BI159" s="50">
        <f t="shared" si="131"/>
        <v>0</v>
      </c>
    </row>
    <row r="160" spans="1:61" ht="12.75">
      <c r="A160" s="42" t="s">
        <v>226</v>
      </c>
      <c r="B160" s="42" t="s">
        <v>429</v>
      </c>
      <c r="C160" s="184" t="s">
        <v>656</v>
      </c>
      <c r="D160" s="180"/>
      <c r="E160" s="180"/>
      <c r="F160" s="42" t="s">
        <v>752</v>
      </c>
      <c r="G160" s="50">
        <v>20.5</v>
      </c>
      <c r="H160" s="50">
        <v>0</v>
      </c>
      <c r="I160" s="50">
        <f t="shared" si="110"/>
        <v>0</v>
      </c>
      <c r="J160" s="50">
        <f t="shared" si="111"/>
        <v>0</v>
      </c>
      <c r="K160" s="50">
        <f t="shared" si="112"/>
        <v>0</v>
      </c>
      <c r="Y160" s="36">
        <f t="shared" si="113"/>
        <v>0</v>
      </c>
      <c r="AA160" s="36">
        <f t="shared" si="114"/>
        <v>0</v>
      </c>
      <c r="AB160" s="36">
        <f t="shared" si="115"/>
        <v>0</v>
      </c>
      <c r="AC160" s="36">
        <f t="shared" si="116"/>
        <v>0</v>
      </c>
      <c r="AD160" s="36">
        <f t="shared" si="117"/>
        <v>0</v>
      </c>
      <c r="AE160" s="36">
        <f t="shared" si="118"/>
        <v>0</v>
      </c>
      <c r="AF160" s="36">
        <f t="shared" si="119"/>
        <v>0</v>
      </c>
      <c r="AG160" s="36">
        <f t="shared" si="120"/>
        <v>0</v>
      </c>
      <c r="AH160" s="54" t="s">
        <v>71</v>
      </c>
      <c r="AI160" s="50">
        <f t="shared" si="121"/>
        <v>0</v>
      </c>
      <c r="AJ160" s="50">
        <f t="shared" si="122"/>
        <v>0</v>
      </c>
      <c r="AK160" s="50">
        <f t="shared" si="123"/>
        <v>0</v>
      </c>
      <c r="AM160" s="36">
        <v>21</v>
      </c>
      <c r="AN160" s="36">
        <f>H160*0.328186046511628</f>
        <v>0</v>
      </c>
      <c r="AO160" s="36">
        <f>H160*(1-0.328186046511628)</f>
        <v>0</v>
      </c>
      <c r="AP160" s="55" t="s">
        <v>121</v>
      </c>
      <c r="AU160" s="36">
        <f t="shared" si="124"/>
        <v>0</v>
      </c>
      <c r="AV160" s="36">
        <f t="shared" si="125"/>
        <v>0</v>
      </c>
      <c r="AW160" s="36">
        <f t="shared" si="126"/>
        <v>0</v>
      </c>
      <c r="AX160" s="57" t="s">
        <v>797</v>
      </c>
      <c r="AY160" s="57" t="s">
        <v>821</v>
      </c>
      <c r="AZ160" s="54" t="s">
        <v>835</v>
      </c>
      <c r="BB160" s="36">
        <f t="shared" si="127"/>
        <v>0</v>
      </c>
      <c r="BC160" s="36">
        <f t="shared" si="128"/>
        <v>0</v>
      </c>
      <c r="BD160" s="36">
        <v>0</v>
      </c>
      <c r="BE160" s="36">
        <f>160</f>
        <v>160</v>
      </c>
      <c r="BG160" s="50">
        <f t="shared" si="129"/>
        <v>0</v>
      </c>
      <c r="BH160" s="50">
        <f t="shared" si="130"/>
        <v>0</v>
      </c>
      <c r="BI160" s="50">
        <f t="shared" si="131"/>
        <v>0</v>
      </c>
    </row>
    <row r="161" spans="1:61" ht="12.75">
      <c r="A161" s="42" t="s">
        <v>227</v>
      </c>
      <c r="B161" s="42" t="s">
        <v>430</v>
      </c>
      <c r="C161" s="184" t="s">
        <v>657</v>
      </c>
      <c r="D161" s="180"/>
      <c r="E161" s="180"/>
      <c r="F161" s="42" t="s">
        <v>752</v>
      </c>
      <c r="G161" s="50">
        <v>45.5</v>
      </c>
      <c r="H161" s="50">
        <v>0</v>
      </c>
      <c r="I161" s="50">
        <f t="shared" si="110"/>
        <v>0</v>
      </c>
      <c r="J161" s="50">
        <f t="shared" si="111"/>
        <v>0</v>
      </c>
      <c r="K161" s="50">
        <f t="shared" si="112"/>
        <v>0</v>
      </c>
      <c r="Y161" s="36">
        <f t="shared" si="113"/>
        <v>0</v>
      </c>
      <c r="AA161" s="36">
        <f t="shared" si="114"/>
        <v>0</v>
      </c>
      <c r="AB161" s="36">
        <f t="shared" si="115"/>
        <v>0</v>
      </c>
      <c r="AC161" s="36">
        <f t="shared" si="116"/>
        <v>0</v>
      </c>
      <c r="AD161" s="36">
        <f t="shared" si="117"/>
        <v>0</v>
      </c>
      <c r="AE161" s="36">
        <f t="shared" si="118"/>
        <v>0</v>
      </c>
      <c r="AF161" s="36">
        <f t="shared" si="119"/>
        <v>0</v>
      </c>
      <c r="AG161" s="36">
        <f t="shared" si="120"/>
        <v>0</v>
      </c>
      <c r="AH161" s="54" t="s">
        <v>71</v>
      </c>
      <c r="AI161" s="50">
        <f t="shared" si="121"/>
        <v>0</v>
      </c>
      <c r="AJ161" s="50">
        <f t="shared" si="122"/>
        <v>0</v>
      </c>
      <c r="AK161" s="50">
        <f t="shared" si="123"/>
        <v>0</v>
      </c>
      <c r="AM161" s="36">
        <v>21</v>
      </c>
      <c r="AN161" s="36">
        <f>H161*0.236326530612245</f>
        <v>0</v>
      </c>
      <c r="AO161" s="36">
        <f>H161*(1-0.236326530612245)</f>
        <v>0</v>
      </c>
      <c r="AP161" s="55" t="s">
        <v>121</v>
      </c>
      <c r="AU161" s="36">
        <f t="shared" si="124"/>
        <v>0</v>
      </c>
      <c r="AV161" s="36">
        <f t="shared" si="125"/>
        <v>0</v>
      </c>
      <c r="AW161" s="36">
        <f t="shared" si="126"/>
        <v>0</v>
      </c>
      <c r="AX161" s="57" t="s">
        <v>797</v>
      </c>
      <c r="AY161" s="57" t="s">
        <v>821</v>
      </c>
      <c r="AZ161" s="54" t="s">
        <v>835</v>
      </c>
      <c r="BB161" s="36">
        <f t="shared" si="127"/>
        <v>0</v>
      </c>
      <c r="BC161" s="36">
        <f t="shared" si="128"/>
        <v>0</v>
      </c>
      <c r="BD161" s="36">
        <v>0</v>
      </c>
      <c r="BE161" s="36">
        <f>161</f>
        <v>161</v>
      </c>
      <c r="BG161" s="50">
        <f t="shared" si="129"/>
        <v>0</v>
      </c>
      <c r="BH161" s="50">
        <f t="shared" si="130"/>
        <v>0</v>
      </c>
      <c r="BI161" s="50">
        <f t="shared" si="131"/>
        <v>0</v>
      </c>
    </row>
    <row r="162" spans="1:61" ht="12.75">
      <c r="A162" s="42" t="s">
        <v>228</v>
      </c>
      <c r="B162" s="42" t="s">
        <v>431</v>
      </c>
      <c r="C162" s="184" t="s">
        <v>658</v>
      </c>
      <c r="D162" s="180"/>
      <c r="E162" s="180"/>
      <c r="F162" s="42" t="s">
        <v>752</v>
      </c>
      <c r="G162" s="50">
        <v>45.5</v>
      </c>
      <c r="H162" s="50">
        <v>0</v>
      </c>
      <c r="I162" s="50">
        <f t="shared" si="110"/>
        <v>0</v>
      </c>
      <c r="J162" s="50">
        <f t="shared" si="111"/>
        <v>0</v>
      </c>
      <c r="K162" s="50">
        <f t="shared" si="112"/>
        <v>0</v>
      </c>
      <c r="Y162" s="36">
        <f t="shared" si="113"/>
        <v>0</v>
      </c>
      <c r="AA162" s="36">
        <f t="shared" si="114"/>
        <v>0</v>
      </c>
      <c r="AB162" s="36">
        <f t="shared" si="115"/>
        <v>0</v>
      </c>
      <c r="AC162" s="36">
        <f t="shared" si="116"/>
        <v>0</v>
      </c>
      <c r="AD162" s="36">
        <f t="shared" si="117"/>
        <v>0</v>
      </c>
      <c r="AE162" s="36">
        <f t="shared" si="118"/>
        <v>0</v>
      </c>
      <c r="AF162" s="36">
        <f t="shared" si="119"/>
        <v>0</v>
      </c>
      <c r="AG162" s="36">
        <f t="shared" si="120"/>
        <v>0</v>
      </c>
      <c r="AH162" s="54" t="s">
        <v>71</v>
      </c>
      <c r="AI162" s="50">
        <f t="shared" si="121"/>
        <v>0</v>
      </c>
      <c r="AJ162" s="50">
        <f t="shared" si="122"/>
        <v>0</v>
      </c>
      <c r="AK162" s="50">
        <f t="shared" si="123"/>
        <v>0</v>
      </c>
      <c r="AM162" s="36">
        <v>21</v>
      </c>
      <c r="AN162" s="36">
        <f>H162*0.0609496974456095</f>
        <v>0</v>
      </c>
      <c r="AO162" s="36">
        <f>H162*(1-0.0609496974456095)</f>
        <v>0</v>
      </c>
      <c r="AP162" s="55" t="s">
        <v>121</v>
      </c>
      <c r="AU162" s="36">
        <f t="shared" si="124"/>
        <v>0</v>
      </c>
      <c r="AV162" s="36">
        <f t="shared" si="125"/>
        <v>0</v>
      </c>
      <c r="AW162" s="36">
        <f t="shared" si="126"/>
        <v>0</v>
      </c>
      <c r="AX162" s="57" t="s">
        <v>797</v>
      </c>
      <c r="AY162" s="57" t="s">
        <v>821</v>
      </c>
      <c r="AZ162" s="54" t="s">
        <v>835</v>
      </c>
      <c r="BB162" s="36">
        <f t="shared" si="127"/>
        <v>0</v>
      </c>
      <c r="BC162" s="36">
        <f t="shared" si="128"/>
        <v>0</v>
      </c>
      <c r="BD162" s="36">
        <v>0</v>
      </c>
      <c r="BE162" s="36">
        <f>162</f>
        <v>162</v>
      </c>
      <c r="BG162" s="50">
        <f t="shared" si="129"/>
        <v>0</v>
      </c>
      <c r="BH162" s="50">
        <f t="shared" si="130"/>
        <v>0</v>
      </c>
      <c r="BI162" s="50">
        <f t="shared" si="131"/>
        <v>0</v>
      </c>
    </row>
    <row r="163" spans="1:61" ht="12.75">
      <c r="A163" s="42" t="s">
        <v>229</v>
      </c>
      <c r="B163" s="42" t="s">
        <v>432</v>
      </c>
      <c r="C163" s="184" t="s">
        <v>659</v>
      </c>
      <c r="D163" s="180"/>
      <c r="E163" s="180"/>
      <c r="F163" s="42" t="s">
        <v>749</v>
      </c>
      <c r="G163" s="50">
        <v>14</v>
      </c>
      <c r="H163" s="50">
        <v>0</v>
      </c>
      <c r="I163" s="50">
        <f t="shared" si="110"/>
        <v>0</v>
      </c>
      <c r="J163" s="50">
        <f t="shared" si="111"/>
        <v>0</v>
      </c>
      <c r="K163" s="50">
        <f t="shared" si="112"/>
        <v>0</v>
      </c>
      <c r="Y163" s="36">
        <f t="shared" si="113"/>
        <v>0</v>
      </c>
      <c r="AA163" s="36">
        <f t="shared" si="114"/>
        <v>0</v>
      </c>
      <c r="AB163" s="36">
        <f t="shared" si="115"/>
        <v>0</v>
      </c>
      <c r="AC163" s="36">
        <f t="shared" si="116"/>
        <v>0</v>
      </c>
      <c r="AD163" s="36">
        <f t="shared" si="117"/>
        <v>0</v>
      </c>
      <c r="AE163" s="36">
        <f t="shared" si="118"/>
        <v>0</v>
      </c>
      <c r="AF163" s="36">
        <f t="shared" si="119"/>
        <v>0</v>
      </c>
      <c r="AG163" s="36">
        <f t="shared" si="120"/>
        <v>0</v>
      </c>
      <c r="AH163" s="54" t="s">
        <v>71</v>
      </c>
      <c r="AI163" s="50">
        <f t="shared" si="121"/>
        <v>0</v>
      </c>
      <c r="AJ163" s="50">
        <f t="shared" si="122"/>
        <v>0</v>
      </c>
      <c r="AK163" s="50">
        <f t="shared" si="123"/>
        <v>0</v>
      </c>
      <c r="AM163" s="36">
        <v>21</v>
      </c>
      <c r="AN163" s="36">
        <f>H163*0.371736842105263</f>
        <v>0</v>
      </c>
      <c r="AO163" s="36">
        <f>H163*(1-0.371736842105263)</f>
        <v>0</v>
      </c>
      <c r="AP163" s="55" t="s">
        <v>121</v>
      </c>
      <c r="AU163" s="36">
        <f t="shared" si="124"/>
        <v>0</v>
      </c>
      <c r="AV163" s="36">
        <f t="shared" si="125"/>
        <v>0</v>
      </c>
      <c r="AW163" s="36">
        <f t="shared" si="126"/>
        <v>0</v>
      </c>
      <c r="AX163" s="57" t="s">
        <v>797</v>
      </c>
      <c r="AY163" s="57" t="s">
        <v>821</v>
      </c>
      <c r="AZ163" s="54" t="s">
        <v>835</v>
      </c>
      <c r="BB163" s="36">
        <f t="shared" si="127"/>
        <v>0</v>
      </c>
      <c r="BC163" s="36">
        <f t="shared" si="128"/>
        <v>0</v>
      </c>
      <c r="BD163" s="36">
        <v>0</v>
      </c>
      <c r="BE163" s="36">
        <f>163</f>
        <v>163</v>
      </c>
      <c r="BG163" s="50">
        <f t="shared" si="129"/>
        <v>0</v>
      </c>
      <c r="BH163" s="50">
        <f t="shared" si="130"/>
        <v>0</v>
      </c>
      <c r="BI163" s="50">
        <f t="shared" si="131"/>
        <v>0</v>
      </c>
    </row>
    <row r="164" spans="1:61" ht="12.75">
      <c r="A164" s="42" t="s">
        <v>230</v>
      </c>
      <c r="B164" s="42" t="s">
        <v>433</v>
      </c>
      <c r="C164" s="184" t="s">
        <v>660</v>
      </c>
      <c r="D164" s="180"/>
      <c r="E164" s="180"/>
      <c r="F164" s="42" t="s">
        <v>749</v>
      </c>
      <c r="G164" s="50">
        <v>2</v>
      </c>
      <c r="H164" s="50">
        <v>0</v>
      </c>
      <c r="I164" s="50">
        <f t="shared" si="110"/>
        <v>0</v>
      </c>
      <c r="J164" s="50">
        <f t="shared" si="111"/>
        <v>0</v>
      </c>
      <c r="K164" s="50">
        <f t="shared" si="112"/>
        <v>0</v>
      </c>
      <c r="Y164" s="36">
        <f t="shared" si="113"/>
        <v>0</v>
      </c>
      <c r="AA164" s="36">
        <f t="shared" si="114"/>
        <v>0</v>
      </c>
      <c r="AB164" s="36">
        <f t="shared" si="115"/>
        <v>0</v>
      </c>
      <c r="AC164" s="36">
        <f t="shared" si="116"/>
        <v>0</v>
      </c>
      <c r="AD164" s="36">
        <f t="shared" si="117"/>
        <v>0</v>
      </c>
      <c r="AE164" s="36">
        <f t="shared" si="118"/>
        <v>0</v>
      </c>
      <c r="AF164" s="36">
        <f t="shared" si="119"/>
        <v>0</v>
      </c>
      <c r="AG164" s="36">
        <f t="shared" si="120"/>
        <v>0</v>
      </c>
      <c r="AH164" s="54" t="s">
        <v>71</v>
      </c>
      <c r="AI164" s="50">
        <f t="shared" si="121"/>
        <v>0</v>
      </c>
      <c r="AJ164" s="50">
        <f t="shared" si="122"/>
        <v>0</v>
      </c>
      <c r="AK164" s="50">
        <f t="shared" si="123"/>
        <v>0</v>
      </c>
      <c r="AM164" s="36">
        <v>21</v>
      </c>
      <c r="AN164" s="36">
        <f>H164*0.474453441295547</f>
        <v>0</v>
      </c>
      <c r="AO164" s="36">
        <f>H164*(1-0.474453441295547)</f>
        <v>0</v>
      </c>
      <c r="AP164" s="55" t="s">
        <v>121</v>
      </c>
      <c r="AU164" s="36">
        <f t="shared" si="124"/>
        <v>0</v>
      </c>
      <c r="AV164" s="36">
        <f t="shared" si="125"/>
        <v>0</v>
      </c>
      <c r="AW164" s="36">
        <f t="shared" si="126"/>
        <v>0</v>
      </c>
      <c r="AX164" s="57" t="s">
        <v>797</v>
      </c>
      <c r="AY164" s="57" t="s">
        <v>821</v>
      </c>
      <c r="AZ164" s="54" t="s">
        <v>835</v>
      </c>
      <c r="BB164" s="36">
        <f t="shared" si="127"/>
        <v>0</v>
      </c>
      <c r="BC164" s="36">
        <f t="shared" si="128"/>
        <v>0</v>
      </c>
      <c r="BD164" s="36">
        <v>0</v>
      </c>
      <c r="BE164" s="36">
        <f>164</f>
        <v>164</v>
      </c>
      <c r="BG164" s="50">
        <f t="shared" si="129"/>
        <v>0</v>
      </c>
      <c r="BH164" s="50">
        <f t="shared" si="130"/>
        <v>0</v>
      </c>
      <c r="BI164" s="50">
        <f t="shared" si="131"/>
        <v>0</v>
      </c>
    </row>
    <row r="165" spans="1:61" ht="12.75">
      <c r="A165" s="42" t="s">
        <v>231</v>
      </c>
      <c r="B165" s="42" t="s">
        <v>434</v>
      </c>
      <c r="C165" s="184" t="s">
        <v>661</v>
      </c>
      <c r="D165" s="180"/>
      <c r="E165" s="180"/>
      <c r="F165" s="42" t="s">
        <v>749</v>
      </c>
      <c r="G165" s="50">
        <v>1</v>
      </c>
      <c r="H165" s="50">
        <v>0</v>
      </c>
      <c r="I165" s="50">
        <f t="shared" si="110"/>
        <v>0</v>
      </c>
      <c r="J165" s="50">
        <f t="shared" si="111"/>
        <v>0</v>
      </c>
      <c r="K165" s="50">
        <f t="shared" si="112"/>
        <v>0</v>
      </c>
      <c r="Y165" s="36">
        <f t="shared" si="113"/>
        <v>0</v>
      </c>
      <c r="AA165" s="36">
        <f t="shared" si="114"/>
        <v>0</v>
      </c>
      <c r="AB165" s="36">
        <f t="shared" si="115"/>
        <v>0</v>
      </c>
      <c r="AC165" s="36">
        <f t="shared" si="116"/>
        <v>0</v>
      </c>
      <c r="AD165" s="36">
        <f t="shared" si="117"/>
        <v>0</v>
      </c>
      <c r="AE165" s="36">
        <f t="shared" si="118"/>
        <v>0</v>
      </c>
      <c r="AF165" s="36">
        <f t="shared" si="119"/>
        <v>0</v>
      </c>
      <c r="AG165" s="36">
        <f t="shared" si="120"/>
        <v>0</v>
      </c>
      <c r="AH165" s="54" t="s">
        <v>71</v>
      </c>
      <c r="AI165" s="50">
        <f t="shared" si="121"/>
        <v>0</v>
      </c>
      <c r="AJ165" s="50">
        <f t="shared" si="122"/>
        <v>0</v>
      </c>
      <c r="AK165" s="50">
        <f t="shared" si="123"/>
        <v>0</v>
      </c>
      <c r="AM165" s="36">
        <v>21</v>
      </c>
      <c r="AN165" s="36">
        <f>H165*0.723294117647059</f>
        <v>0</v>
      </c>
      <c r="AO165" s="36">
        <f>H165*(1-0.723294117647059)</f>
        <v>0</v>
      </c>
      <c r="AP165" s="55" t="s">
        <v>121</v>
      </c>
      <c r="AU165" s="36">
        <f t="shared" si="124"/>
        <v>0</v>
      </c>
      <c r="AV165" s="36">
        <f t="shared" si="125"/>
        <v>0</v>
      </c>
      <c r="AW165" s="36">
        <f t="shared" si="126"/>
        <v>0</v>
      </c>
      <c r="AX165" s="57" t="s">
        <v>797</v>
      </c>
      <c r="AY165" s="57" t="s">
        <v>821</v>
      </c>
      <c r="AZ165" s="54" t="s">
        <v>835</v>
      </c>
      <c r="BB165" s="36">
        <f t="shared" si="127"/>
        <v>0</v>
      </c>
      <c r="BC165" s="36">
        <f t="shared" si="128"/>
        <v>0</v>
      </c>
      <c r="BD165" s="36">
        <v>0</v>
      </c>
      <c r="BE165" s="36">
        <f>165</f>
        <v>165</v>
      </c>
      <c r="BG165" s="50">
        <f t="shared" si="129"/>
        <v>0</v>
      </c>
      <c r="BH165" s="50">
        <f t="shared" si="130"/>
        <v>0</v>
      </c>
      <c r="BI165" s="50">
        <f t="shared" si="131"/>
        <v>0</v>
      </c>
    </row>
    <row r="166" spans="1:61" ht="12.75">
      <c r="A166" s="42" t="s">
        <v>232</v>
      </c>
      <c r="B166" s="42" t="s">
        <v>435</v>
      </c>
      <c r="C166" s="184" t="s">
        <v>662</v>
      </c>
      <c r="D166" s="180"/>
      <c r="E166" s="180"/>
      <c r="F166" s="42" t="s">
        <v>751</v>
      </c>
      <c r="G166" s="50">
        <v>0.04</v>
      </c>
      <c r="H166" s="50">
        <v>0</v>
      </c>
      <c r="I166" s="50">
        <f t="shared" si="110"/>
        <v>0</v>
      </c>
      <c r="J166" s="50">
        <f t="shared" si="111"/>
        <v>0</v>
      </c>
      <c r="K166" s="50">
        <f t="shared" si="112"/>
        <v>0</v>
      </c>
      <c r="Y166" s="36">
        <f t="shared" si="113"/>
        <v>0</v>
      </c>
      <c r="AA166" s="36">
        <f t="shared" si="114"/>
        <v>0</v>
      </c>
      <c r="AB166" s="36">
        <f t="shared" si="115"/>
        <v>0</v>
      </c>
      <c r="AC166" s="36">
        <f t="shared" si="116"/>
        <v>0</v>
      </c>
      <c r="AD166" s="36">
        <f t="shared" si="117"/>
        <v>0</v>
      </c>
      <c r="AE166" s="36">
        <f t="shared" si="118"/>
        <v>0</v>
      </c>
      <c r="AF166" s="36">
        <f t="shared" si="119"/>
        <v>0</v>
      </c>
      <c r="AG166" s="36">
        <f t="shared" si="120"/>
        <v>0</v>
      </c>
      <c r="AH166" s="54" t="s">
        <v>71</v>
      </c>
      <c r="AI166" s="50">
        <f t="shared" si="121"/>
        <v>0</v>
      </c>
      <c r="AJ166" s="50">
        <f t="shared" si="122"/>
        <v>0</v>
      </c>
      <c r="AK166" s="50">
        <f t="shared" si="123"/>
        <v>0</v>
      </c>
      <c r="AM166" s="36">
        <v>21</v>
      </c>
      <c r="AN166" s="36">
        <f>H166*0</f>
        <v>0</v>
      </c>
      <c r="AO166" s="36">
        <f>H166*(1-0)</f>
        <v>0</v>
      </c>
      <c r="AP166" s="55" t="s">
        <v>103</v>
      </c>
      <c r="AU166" s="36">
        <f t="shared" si="124"/>
        <v>0</v>
      </c>
      <c r="AV166" s="36">
        <f t="shared" si="125"/>
        <v>0</v>
      </c>
      <c r="AW166" s="36">
        <f t="shared" si="126"/>
        <v>0</v>
      </c>
      <c r="AX166" s="57" t="s">
        <v>797</v>
      </c>
      <c r="AY166" s="57" t="s">
        <v>821</v>
      </c>
      <c r="AZ166" s="54" t="s">
        <v>835</v>
      </c>
      <c r="BB166" s="36">
        <f t="shared" si="127"/>
        <v>0</v>
      </c>
      <c r="BC166" s="36">
        <f t="shared" si="128"/>
        <v>0</v>
      </c>
      <c r="BD166" s="36">
        <v>0</v>
      </c>
      <c r="BE166" s="36">
        <f>166</f>
        <v>166</v>
      </c>
      <c r="BG166" s="50">
        <f t="shared" si="129"/>
        <v>0</v>
      </c>
      <c r="BH166" s="50">
        <f t="shared" si="130"/>
        <v>0</v>
      </c>
      <c r="BI166" s="50">
        <f t="shared" si="131"/>
        <v>0</v>
      </c>
    </row>
    <row r="167" spans="1:46" ht="12.75">
      <c r="A167" s="73"/>
      <c r="B167" s="74" t="s">
        <v>436</v>
      </c>
      <c r="C167" s="187" t="s">
        <v>663</v>
      </c>
      <c r="D167" s="177"/>
      <c r="E167" s="188"/>
      <c r="F167" s="73" t="s">
        <v>68</v>
      </c>
      <c r="G167" s="73" t="s">
        <v>68</v>
      </c>
      <c r="H167" s="73" t="s">
        <v>68</v>
      </c>
      <c r="I167" s="76">
        <f>SUM(I168:I180)</f>
        <v>0</v>
      </c>
      <c r="J167" s="76">
        <f>SUM(J168:J180)</f>
        <v>0</v>
      </c>
      <c r="K167" s="76">
        <f>SUM(K168:K180)</f>
        <v>0</v>
      </c>
      <c r="AH167" s="54" t="s">
        <v>71</v>
      </c>
      <c r="AR167" s="58">
        <f>SUM(AI168:AI180)</f>
        <v>0</v>
      </c>
      <c r="AS167" s="58">
        <f>SUM(AJ168:AJ180)</f>
        <v>0</v>
      </c>
      <c r="AT167" s="58">
        <f>SUM(AK168:AK180)</f>
        <v>0</v>
      </c>
    </row>
    <row r="168" spans="1:61" ht="12.75">
      <c r="A168" s="42" t="s">
        <v>233</v>
      </c>
      <c r="B168" s="42" t="s">
        <v>437</v>
      </c>
      <c r="C168" s="184" t="s">
        <v>664</v>
      </c>
      <c r="D168" s="180"/>
      <c r="E168" s="180"/>
      <c r="F168" s="42" t="s">
        <v>753</v>
      </c>
      <c r="G168" s="50">
        <v>3</v>
      </c>
      <c r="H168" s="50">
        <v>0</v>
      </c>
      <c r="I168" s="50">
        <f aca="true" t="shared" si="132" ref="I168:I180">G168*AN168</f>
        <v>0</v>
      </c>
      <c r="J168" s="50">
        <f aca="true" t="shared" si="133" ref="J168:J180">G168*AO168</f>
        <v>0</v>
      </c>
      <c r="K168" s="50">
        <f aca="true" t="shared" si="134" ref="K168:K180">G168*H168</f>
        <v>0</v>
      </c>
      <c r="Y168" s="36">
        <f aca="true" t="shared" si="135" ref="Y168:Y180">IF(AP168="5",BI168,0)</f>
        <v>0</v>
      </c>
      <c r="AA168" s="36">
        <f aca="true" t="shared" si="136" ref="AA168:AA180">IF(AP168="1",BG168,0)</f>
        <v>0</v>
      </c>
      <c r="AB168" s="36">
        <f aca="true" t="shared" si="137" ref="AB168:AB180">IF(AP168="1",BH168,0)</f>
        <v>0</v>
      </c>
      <c r="AC168" s="36">
        <f aca="true" t="shared" si="138" ref="AC168:AC180">IF(AP168="7",BG168,0)</f>
        <v>0</v>
      </c>
      <c r="AD168" s="36">
        <f aca="true" t="shared" si="139" ref="AD168:AD180">IF(AP168="7",BH168,0)</f>
        <v>0</v>
      </c>
      <c r="AE168" s="36">
        <f aca="true" t="shared" si="140" ref="AE168:AE180">IF(AP168="2",BG168,0)</f>
        <v>0</v>
      </c>
      <c r="AF168" s="36">
        <f aca="true" t="shared" si="141" ref="AF168:AF180">IF(AP168="2",BH168,0)</f>
        <v>0</v>
      </c>
      <c r="AG168" s="36">
        <f aca="true" t="shared" si="142" ref="AG168:AG180">IF(AP168="0",BI168,0)</f>
        <v>0</v>
      </c>
      <c r="AH168" s="54" t="s">
        <v>71</v>
      </c>
      <c r="AI168" s="50">
        <f aca="true" t="shared" si="143" ref="AI168:AI180">IF(AM168=0,K168,0)</f>
        <v>0</v>
      </c>
      <c r="AJ168" s="50">
        <f aca="true" t="shared" si="144" ref="AJ168:AJ180">IF(AM168=15,K168,0)</f>
        <v>0</v>
      </c>
      <c r="AK168" s="50">
        <f aca="true" t="shared" si="145" ref="AK168:AK180">IF(AM168=21,K168,0)</f>
        <v>0</v>
      </c>
      <c r="AM168" s="36">
        <v>21</v>
      </c>
      <c r="AN168" s="36">
        <f>H168*0.715170720396673</f>
        <v>0</v>
      </c>
      <c r="AO168" s="36">
        <f>H168*(1-0.715170720396673)</f>
        <v>0</v>
      </c>
      <c r="AP168" s="55" t="s">
        <v>121</v>
      </c>
      <c r="AU168" s="36">
        <f aca="true" t="shared" si="146" ref="AU168:AU180">AV168+AW168</f>
        <v>0</v>
      </c>
      <c r="AV168" s="36">
        <f aca="true" t="shared" si="147" ref="AV168:AV180">G168*AN168</f>
        <v>0</v>
      </c>
      <c r="AW168" s="36">
        <f aca="true" t="shared" si="148" ref="AW168:AW180">G168*AO168</f>
        <v>0</v>
      </c>
      <c r="AX168" s="57" t="s">
        <v>798</v>
      </c>
      <c r="AY168" s="57" t="s">
        <v>821</v>
      </c>
      <c r="AZ168" s="54" t="s">
        <v>835</v>
      </c>
      <c r="BB168" s="36">
        <f aca="true" t="shared" si="149" ref="BB168:BB180">AV168+AW168</f>
        <v>0</v>
      </c>
      <c r="BC168" s="36">
        <f aca="true" t="shared" si="150" ref="BC168:BC180">H168/(100-BD168)*100</f>
        <v>0</v>
      </c>
      <c r="BD168" s="36">
        <v>0</v>
      </c>
      <c r="BE168" s="36">
        <f>168</f>
        <v>168</v>
      </c>
      <c r="BG168" s="50">
        <f aca="true" t="shared" si="151" ref="BG168:BG180">G168*AN168</f>
        <v>0</v>
      </c>
      <c r="BH168" s="50">
        <f aca="true" t="shared" si="152" ref="BH168:BH180">G168*AO168</f>
        <v>0</v>
      </c>
      <c r="BI168" s="50">
        <f aca="true" t="shared" si="153" ref="BI168:BI180">G168*H168</f>
        <v>0</v>
      </c>
    </row>
    <row r="169" spans="1:61" ht="12.75">
      <c r="A169" s="79" t="s">
        <v>234</v>
      </c>
      <c r="B169" s="79" t="s">
        <v>438</v>
      </c>
      <c r="C169" s="182" t="s">
        <v>665</v>
      </c>
      <c r="D169" s="180"/>
      <c r="E169" s="183"/>
      <c r="F169" s="79" t="s">
        <v>753</v>
      </c>
      <c r="G169" s="80">
        <v>1</v>
      </c>
      <c r="H169" s="80">
        <v>0</v>
      </c>
      <c r="I169" s="80">
        <f t="shared" si="132"/>
        <v>0</v>
      </c>
      <c r="J169" s="80">
        <f t="shared" si="133"/>
        <v>0</v>
      </c>
      <c r="K169" s="80">
        <f t="shared" si="134"/>
        <v>0</v>
      </c>
      <c r="Y169" s="36">
        <f t="shared" si="135"/>
        <v>0</v>
      </c>
      <c r="AA169" s="36">
        <f t="shared" si="136"/>
        <v>0</v>
      </c>
      <c r="AB169" s="36">
        <f t="shared" si="137"/>
        <v>0</v>
      </c>
      <c r="AC169" s="36">
        <f t="shared" si="138"/>
        <v>0</v>
      </c>
      <c r="AD169" s="36">
        <f t="shared" si="139"/>
        <v>0</v>
      </c>
      <c r="AE169" s="36">
        <f t="shared" si="140"/>
        <v>0</v>
      </c>
      <c r="AF169" s="36">
        <f t="shared" si="141"/>
        <v>0</v>
      </c>
      <c r="AG169" s="36">
        <f t="shared" si="142"/>
        <v>0</v>
      </c>
      <c r="AH169" s="54" t="s">
        <v>71</v>
      </c>
      <c r="AI169" s="50">
        <f t="shared" si="143"/>
        <v>0</v>
      </c>
      <c r="AJ169" s="50">
        <f t="shared" si="144"/>
        <v>0</v>
      </c>
      <c r="AK169" s="50">
        <f t="shared" si="145"/>
        <v>0</v>
      </c>
      <c r="AM169" s="36">
        <v>21</v>
      </c>
      <c r="AN169" s="36">
        <f>H169*0.737725052801049</f>
        <v>0</v>
      </c>
      <c r="AO169" s="36">
        <f>H169*(1-0.737725052801049)</f>
        <v>0</v>
      </c>
      <c r="AP169" s="55" t="s">
        <v>121</v>
      </c>
      <c r="AU169" s="36">
        <f t="shared" si="146"/>
        <v>0</v>
      </c>
      <c r="AV169" s="36">
        <f t="shared" si="147"/>
        <v>0</v>
      </c>
      <c r="AW169" s="36">
        <f t="shared" si="148"/>
        <v>0</v>
      </c>
      <c r="AX169" s="57" t="s">
        <v>798</v>
      </c>
      <c r="AY169" s="57" t="s">
        <v>821</v>
      </c>
      <c r="AZ169" s="54" t="s">
        <v>835</v>
      </c>
      <c r="BB169" s="36">
        <f t="shared" si="149"/>
        <v>0</v>
      </c>
      <c r="BC169" s="36">
        <f t="shared" si="150"/>
        <v>0</v>
      </c>
      <c r="BD169" s="36">
        <v>0</v>
      </c>
      <c r="BE169" s="36">
        <f>169</f>
        <v>169</v>
      </c>
      <c r="BG169" s="50">
        <f t="shared" si="151"/>
        <v>0</v>
      </c>
      <c r="BH169" s="50">
        <f t="shared" si="152"/>
        <v>0</v>
      </c>
      <c r="BI169" s="50">
        <f t="shared" si="153"/>
        <v>0</v>
      </c>
    </row>
    <row r="170" spans="1:61" ht="12.75">
      <c r="A170" s="42" t="s">
        <v>235</v>
      </c>
      <c r="B170" s="42" t="s">
        <v>439</v>
      </c>
      <c r="C170" s="184" t="s">
        <v>666</v>
      </c>
      <c r="D170" s="180"/>
      <c r="E170" s="180"/>
      <c r="F170" s="42" t="s">
        <v>753</v>
      </c>
      <c r="G170" s="50">
        <v>1</v>
      </c>
      <c r="H170" s="50">
        <v>0</v>
      </c>
      <c r="I170" s="50">
        <f t="shared" si="132"/>
        <v>0</v>
      </c>
      <c r="J170" s="50">
        <f t="shared" si="133"/>
        <v>0</v>
      </c>
      <c r="K170" s="50">
        <f t="shared" si="134"/>
        <v>0</v>
      </c>
      <c r="Y170" s="36">
        <f t="shared" si="135"/>
        <v>0</v>
      </c>
      <c r="AA170" s="36">
        <f t="shared" si="136"/>
        <v>0</v>
      </c>
      <c r="AB170" s="36">
        <f t="shared" si="137"/>
        <v>0</v>
      </c>
      <c r="AC170" s="36">
        <f t="shared" si="138"/>
        <v>0</v>
      </c>
      <c r="AD170" s="36">
        <f t="shared" si="139"/>
        <v>0</v>
      </c>
      <c r="AE170" s="36">
        <f t="shared" si="140"/>
        <v>0</v>
      </c>
      <c r="AF170" s="36">
        <f t="shared" si="141"/>
        <v>0</v>
      </c>
      <c r="AG170" s="36">
        <f t="shared" si="142"/>
        <v>0</v>
      </c>
      <c r="AH170" s="54" t="s">
        <v>71</v>
      </c>
      <c r="AI170" s="50">
        <f t="shared" si="143"/>
        <v>0</v>
      </c>
      <c r="AJ170" s="50">
        <f t="shared" si="144"/>
        <v>0</v>
      </c>
      <c r="AK170" s="50">
        <f t="shared" si="145"/>
        <v>0</v>
      </c>
      <c r="AM170" s="36">
        <v>21</v>
      </c>
      <c r="AN170" s="36">
        <f>H170*0.89572049689441</f>
        <v>0</v>
      </c>
      <c r="AO170" s="36">
        <f>H170*(1-0.89572049689441)</f>
        <v>0</v>
      </c>
      <c r="AP170" s="55" t="s">
        <v>121</v>
      </c>
      <c r="AU170" s="36">
        <f t="shared" si="146"/>
        <v>0</v>
      </c>
      <c r="AV170" s="36">
        <f t="shared" si="147"/>
        <v>0</v>
      </c>
      <c r="AW170" s="36">
        <f t="shared" si="148"/>
        <v>0</v>
      </c>
      <c r="AX170" s="57" t="s">
        <v>798</v>
      </c>
      <c r="AY170" s="57" t="s">
        <v>821</v>
      </c>
      <c r="AZ170" s="54" t="s">
        <v>835</v>
      </c>
      <c r="BB170" s="36">
        <f t="shared" si="149"/>
        <v>0</v>
      </c>
      <c r="BC170" s="36">
        <f t="shared" si="150"/>
        <v>0</v>
      </c>
      <c r="BD170" s="36">
        <v>0</v>
      </c>
      <c r="BE170" s="36">
        <f>170</f>
        <v>170</v>
      </c>
      <c r="BG170" s="50">
        <f t="shared" si="151"/>
        <v>0</v>
      </c>
      <c r="BH170" s="50">
        <f t="shared" si="152"/>
        <v>0</v>
      </c>
      <c r="BI170" s="50">
        <f t="shared" si="153"/>
        <v>0</v>
      </c>
    </row>
    <row r="171" spans="1:61" ht="12.75">
      <c r="A171" s="42" t="s">
        <v>236</v>
      </c>
      <c r="B171" s="42" t="s">
        <v>440</v>
      </c>
      <c r="C171" s="184" t="s">
        <v>667</v>
      </c>
      <c r="D171" s="180"/>
      <c r="E171" s="180"/>
      <c r="F171" s="42" t="s">
        <v>753</v>
      </c>
      <c r="G171" s="50">
        <v>4</v>
      </c>
      <c r="H171" s="50">
        <v>0</v>
      </c>
      <c r="I171" s="50">
        <f t="shared" si="132"/>
        <v>0</v>
      </c>
      <c r="J171" s="50">
        <f t="shared" si="133"/>
        <v>0</v>
      </c>
      <c r="K171" s="50">
        <f t="shared" si="134"/>
        <v>0</v>
      </c>
      <c r="Y171" s="36">
        <f t="shared" si="135"/>
        <v>0</v>
      </c>
      <c r="AA171" s="36">
        <f t="shared" si="136"/>
        <v>0</v>
      </c>
      <c r="AB171" s="36">
        <f t="shared" si="137"/>
        <v>0</v>
      </c>
      <c r="AC171" s="36">
        <f t="shared" si="138"/>
        <v>0</v>
      </c>
      <c r="AD171" s="36">
        <f t="shared" si="139"/>
        <v>0</v>
      </c>
      <c r="AE171" s="36">
        <f t="shared" si="140"/>
        <v>0</v>
      </c>
      <c r="AF171" s="36">
        <f t="shared" si="141"/>
        <v>0</v>
      </c>
      <c r="AG171" s="36">
        <f t="shared" si="142"/>
        <v>0</v>
      </c>
      <c r="AH171" s="54" t="s">
        <v>71</v>
      </c>
      <c r="AI171" s="50">
        <f t="shared" si="143"/>
        <v>0</v>
      </c>
      <c r="AJ171" s="50">
        <f t="shared" si="144"/>
        <v>0</v>
      </c>
      <c r="AK171" s="50">
        <f t="shared" si="145"/>
        <v>0</v>
      </c>
      <c r="AM171" s="36">
        <v>21</v>
      </c>
      <c r="AN171" s="36">
        <f>H171*0.881722113502936</f>
        <v>0</v>
      </c>
      <c r="AO171" s="36">
        <f>H171*(1-0.881722113502936)</f>
        <v>0</v>
      </c>
      <c r="AP171" s="55" t="s">
        <v>121</v>
      </c>
      <c r="AU171" s="36">
        <f t="shared" si="146"/>
        <v>0</v>
      </c>
      <c r="AV171" s="36">
        <f t="shared" si="147"/>
        <v>0</v>
      </c>
      <c r="AW171" s="36">
        <f t="shared" si="148"/>
        <v>0</v>
      </c>
      <c r="AX171" s="57" t="s">
        <v>798</v>
      </c>
      <c r="AY171" s="57" t="s">
        <v>821</v>
      </c>
      <c r="AZ171" s="54" t="s">
        <v>835</v>
      </c>
      <c r="BB171" s="36">
        <f t="shared" si="149"/>
        <v>0</v>
      </c>
      <c r="BC171" s="36">
        <f t="shared" si="150"/>
        <v>0</v>
      </c>
      <c r="BD171" s="36">
        <v>0</v>
      </c>
      <c r="BE171" s="36">
        <f>171</f>
        <v>171</v>
      </c>
      <c r="BG171" s="50">
        <f t="shared" si="151"/>
        <v>0</v>
      </c>
      <c r="BH171" s="50">
        <f t="shared" si="152"/>
        <v>0</v>
      </c>
      <c r="BI171" s="50">
        <f t="shared" si="153"/>
        <v>0</v>
      </c>
    </row>
    <row r="172" spans="1:61" ht="12.75">
      <c r="A172" s="42" t="s">
        <v>237</v>
      </c>
      <c r="B172" s="42" t="s">
        <v>441</v>
      </c>
      <c r="C172" s="184" t="s">
        <v>668</v>
      </c>
      <c r="D172" s="180"/>
      <c r="E172" s="180"/>
      <c r="F172" s="42" t="s">
        <v>753</v>
      </c>
      <c r="G172" s="50">
        <v>2</v>
      </c>
      <c r="H172" s="50">
        <v>0</v>
      </c>
      <c r="I172" s="50">
        <f t="shared" si="132"/>
        <v>0</v>
      </c>
      <c r="J172" s="50">
        <f t="shared" si="133"/>
        <v>0</v>
      </c>
      <c r="K172" s="50">
        <f t="shared" si="134"/>
        <v>0</v>
      </c>
      <c r="Y172" s="36">
        <f t="shared" si="135"/>
        <v>0</v>
      </c>
      <c r="AA172" s="36">
        <f t="shared" si="136"/>
        <v>0</v>
      </c>
      <c r="AB172" s="36">
        <f t="shared" si="137"/>
        <v>0</v>
      </c>
      <c r="AC172" s="36">
        <f t="shared" si="138"/>
        <v>0</v>
      </c>
      <c r="AD172" s="36">
        <f t="shared" si="139"/>
        <v>0</v>
      </c>
      <c r="AE172" s="36">
        <f t="shared" si="140"/>
        <v>0</v>
      </c>
      <c r="AF172" s="36">
        <f t="shared" si="141"/>
        <v>0</v>
      </c>
      <c r="AG172" s="36">
        <f t="shared" si="142"/>
        <v>0</v>
      </c>
      <c r="AH172" s="54" t="s">
        <v>71</v>
      </c>
      <c r="AI172" s="50">
        <f t="shared" si="143"/>
        <v>0</v>
      </c>
      <c r="AJ172" s="50">
        <f t="shared" si="144"/>
        <v>0</v>
      </c>
      <c r="AK172" s="50">
        <f t="shared" si="145"/>
        <v>0</v>
      </c>
      <c r="AM172" s="36">
        <v>21</v>
      </c>
      <c r="AN172" s="36">
        <f>H172*0.891666666666667</f>
        <v>0</v>
      </c>
      <c r="AO172" s="36">
        <f>H172*(1-0.891666666666667)</f>
        <v>0</v>
      </c>
      <c r="AP172" s="55" t="s">
        <v>121</v>
      </c>
      <c r="AU172" s="36">
        <f t="shared" si="146"/>
        <v>0</v>
      </c>
      <c r="AV172" s="36">
        <f t="shared" si="147"/>
        <v>0</v>
      </c>
      <c r="AW172" s="36">
        <f t="shared" si="148"/>
        <v>0</v>
      </c>
      <c r="AX172" s="57" t="s">
        <v>798</v>
      </c>
      <c r="AY172" s="57" t="s">
        <v>821</v>
      </c>
      <c r="AZ172" s="54" t="s">
        <v>835</v>
      </c>
      <c r="BB172" s="36">
        <f t="shared" si="149"/>
        <v>0</v>
      </c>
      <c r="BC172" s="36">
        <f t="shared" si="150"/>
        <v>0</v>
      </c>
      <c r="BD172" s="36">
        <v>0</v>
      </c>
      <c r="BE172" s="36">
        <f>172</f>
        <v>172</v>
      </c>
      <c r="BG172" s="50">
        <f t="shared" si="151"/>
        <v>0</v>
      </c>
      <c r="BH172" s="50">
        <f t="shared" si="152"/>
        <v>0</v>
      </c>
      <c r="BI172" s="50">
        <f t="shared" si="153"/>
        <v>0</v>
      </c>
    </row>
    <row r="173" spans="1:61" ht="12.75">
      <c r="A173" s="42" t="s">
        <v>238</v>
      </c>
      <c r="B173" s="42" t="s">
        <v>442</v>
      </c>
      <c r="C173" s="184" t="s">
        <v>669</v>
      </c>
      <c r="D173" s="180"/>
      <c r="E173" s="180"/>
      <c r="F173" s="42" t="s">
        <v>749</v>
      </c>
      <c r="G173" s="50">
        <v>1</v>
      </c>
      <c r="H173" s="50">
        <v>0</v>
      </c>
      <c r="I173" s="50">
        <f t="shared" si="132"/>
        <v>0</v>
      </c>
      <c r="J173" s="50">
        <f t="shared" si="133"/>
        <v>0</v>
      </c>
      <c r="K173" s="50">
        <f t="shared" si="134"/>
        <v>0</v>
      </c>
      <c r="Y173" s="36">
        <f t="shared" si="135"/>
        <v>0</v>
      </c>
      <c r="AA173" s="36">
        <f t="shared" si="136"/>
        <v>0</v>
      </c>
      <c r="AB173" s="36">
        <f t="shared" si="137"/>
        <v>0</v>
      </c>
      <c r="AC173" s="36">
        <f t="shared" si="138"/>
        <v>0</v>
      </c>
      <c r="AD173" s="36">
        <f t="shared" si="139"/>
        <v>0</v>
      </c>
      <c r="AE173" s="36">
        <f t="shared" si="140"/>
        <v>0</v>
      </c>
      <c r="AF173" s="36">
        <f t="shared" si="141"/>
        <v>0</v>
      </c>
      <c r="AG173" s="36">
        <f t="shared" si="142"/>
        <v>0</v>
      </c>
      <c r="AH173" s="54" t="s">
        <v>71</v>
      </c>
      <c r="AI173" s="50">
        <f t="shared" si="143"/>
        <v>0</v>
      </c>
      <c r="AJ173" s="50">
        <f t="shared" si="144"/>
        <v>0</v>
      </c>
      <c r="AK173" s="50">
        <f t="shared" si="145"/>
        <v>0</v>
      </c>
      <c r="AM173" s="36">
        <v>21</v>
      </c>
      <c r="AN173" s="36">
        <f>H173*0.320933559867656</f>
        <v>0</v>
      </c>
      <c r="AO173" s="36">
        <f>H173*(1-0.320933559867656)</f>
        <v>0</v>
      </c>
      <c r="AP173" s="55" t="s">
        <v>121</v>
      </c>
      <c r="AU173" s="36">
        <f t="shared" si="146"/>
        <v>0</v>
      </c>
      <c r="AV173" s="36">
        <f t="shared" si="147"/>
        <v>0</v>
      </c>
      <c r="AW173" s="36">
        <f t="shared" si="148"/>
        <v>0</v>
      </c>
      <c r="AX173" s="57" t="s">
        <v>798</v>
      </c>
      <c r="AY173" s="57" t="s">
        <v>821</v>
      </c>
      <c r="AZ173" s="54" t="s">
        <v>835</v>
      </c>
      <c r="BB173" s="36">
        <f t="shared" si="149"/>
        <v>0</v>
      </c>
      <c r="BC173" s="36">
        <f t="shared" si="150"/>
        <v>0</v>
      </c>
      <c r="BD173" s="36">
        <v>0</v>
      </c>
      <c r="BE173" s="36">
        <f>173</f>
        <v>173</v>
      </c>
      <c r="BG173" s="50">
        <f t="shared" si="151"/>
        <v>0</v>
      </c>
      <c r="BH173" s="50">
        <f t="shared" si="152"/>
        <v>0</v>
      </c>
      <c r="BI173" s="50">
        <f t="shared" si="153"/>
        <v>0</v>
      </c>
    </row>
    <row r="174" spans="1:61" ht="12.75">
      <c r="A174" s="43" t="s">
        <v>239</v>
      </c>
      <c r="B174" s="43" t="s">
        <v>443</v>
      </c>
      <c r="C174" s="185" t="s">
        <v>670</v>
      </c>
      <c r="D174" s="186"/>
      <c r="E174" s="186"/>
      <c r="F174" s="43" t="s">
        <v>749</v>
      </c>
      <c r="G174" s="51">
        <v>1</v>
      </c>
      <c r="H174" s="51">
        <v>0</v>
      </c>
      <c r="I174" s="51">
        <f t="shared" si="132"/>
        <v>0</v>
      </c>
      <c r="J174" s="51">
        <f t="shared" si="133"/>
        <v>0</v>
      </c>
      <c r="K174" s="51">
        <f t="shared" si="134"/>
        <v>0</v>
      </c>
      <c r="Y174" s="36">
        <f t="shared" si="135"/>
        <v>0</v>
      </c>
      <c r="AA174" s="36">
        <f t="shared" si="136"/>
        <v>0</v>
      </c>
      <c r="AB174" s="36">
        <f t="shared" si="137"/>
        <v>0</v>
      </c>
      <c r="AC174" s="36">
        <f t="shared" si="138"/>
        <v>0</v>
      </c>
      <c r="AD174" s="36">
        <f t="shared" si="139"/>
        <v>0</v>
      </c>
      <c r="AE174" s="36">
        <f t="shared" si="140"/>
        <v>0</v>
      </c>
      <c r="AF174" s="36">
        <f t="shared" si="141"/>
        <v>0</v>
      </c>
      <c r="AG174" s="36">
        <f t="shared" si="142"/>
        <v>0</v>
      </c>
      <c r="AH174" s="54" t="s">
        <v>71</v>
      </c>
      <c r="AI174" s="51">
        <f t="shared" si="143"/>
        <v>0</v>
      </c>
      <c r="AJ174" s="51">
        <f t="shared" si="144"/>
        <v>0</v>
      </c>
      <c r="AK174" s="51">
        <f t="shared" si="145"/>
        <v>0</v>
      </c>
      <c r="AM174" s="36">
        <v>21</v>
      </c>
      <c r="AN174" s="36">
        <f>H174*1</f>
        <v>0</v>
      </c>
      <c r="AO174" s="36">
        <f>H174*(1-1)</f>
        <v>0</v>
      </c>
      <c r="AP174" s="56" t="s">
        <v>121</v>
      </c>
      <c r="AU174" s="36">
        <f t="shared" si="146"/>
        <v>0</v>
      </c>
      <c r="AV174" s="36">
        <f t="shared" si="147"/>
        <v>0</v>
      </c>
      <c r="AW174" s="36">
        <f t="shared" si="148"/>
        <v>0</v>
      </c>
      <c r="AX174" s="57" t="s">
        <v>798</v>
      </c>
      <c r="AY174" s="57" t="s">
        <v>821</v>
      </c>
      <c r="AZ174" s="54" t="s">
        <v>835</v>
      </c>
      <c r="BB174" s="36">
        <f t="shared" si="149"/>
        <v>0</v>
      </c>
      <c r="BC174" s="36">
        <f t="shared" si="150"/>
        <v>0</v>
      </c>
      <c r="BD174" s="36">
        <v>0</v>
      </c>
      <c r="BE174" s="36">
        <f>174</f>
        <v>174</v>
      </c>
      <c r="BG174" s="51">
        <f t="shared" si="151"/>
        <v>0</v>
      </c>
      <c r="BH174" s="51">
        <f t="shared" si="152"/>
        <v>0</v>
      </c>
      <c r="BI174" s="51">
        <f t="shared" si="153"/>
        <v>0</v>
      </c>
    </row>
    <row r="175" spans="1:61" ht="12.75">
      <c r="A175" s="42" t="s">
        <v>240</v>
      </c>
      <c r="B175" s="42" t="s">
        <v>444</v>
      </c>
      <c r="C175" s="184" t="s">
        <v>671</v>
      </c>
      <c r="D175" s="180"/>
      <c r="E175" s="180"/>
      <c r="F175" s="42" t="s">
        <v>749</v>
      </c>
      <c r="G175" s="50">
        <v>4</v>
      </c>
      <c r="H175" s="50">
        <v>0</v>
      </c>
      <c r="I175" s="50">
        <f t="shared" si="132"/>
        <v>0</v>
      </c>
      <c r="J175" s="50">
        <f t="shared" si="133"/>
        <v>0</v>
      </c>
      <c r="K175" s="50">
        <f t="shared" si="134"/>
        <v>0</v>
      </c>
      <c r="Y175" s="36">
        <f t="shared" si="135"/>
        <v>0</v>
      </c>
      <c r="AA175" s="36">
        <f t="shared" si="136"/>
        <v>0</v>
      </c>
      <c r="AB175" s="36">
        <f t="shared" si="137"/>
        <v>0</v>
      </c>
      <c r="AC175" s="36">
        <f t="shared" si="138"/>
        <v>0</v>
      </c>
      <c r="AD175" s="36">
        <f t="shared" si="139"/>
        <v>0</v>
      </c>
      <c r="AE175" s="36">
        <f t="shared" si="140"/>
        <v>0</v>
      </c>
      <c r="AF175" s="36">
        <f t="shared" si="141"/>
        <v>0</v>
      </c>
      <c r="AG175" s="36">
        <f t="shared" si="142"/>
        <v>0</v>
      </c>
      <c r="AH175" s="54" t="s">
        <v>71</v>
      </c>
      <c r="AI175" s="50">
        <f t="shared" si="143"/>
        <v>0</v>
      </c>
      <c r="AJ175" s="50">
        <f t="shared" si="144"/>
        <v>0</v>
      </c>
      <c r="AK175" s="50">
        <f t="shared" si="145"/>
        <v>0</v>
      </c>
      <c r="AM175" s="36">
        <v>21</v>
      </c>
      <c r="AN175" s="36">
        <f>H175*0.848371353989332</f>
        <v>0</v>
      </c>
      <c r="AO175" s="36">
        <f>H175*(1-0.848371353989332)</f>
        <v>0</v>
      </c>
      <c r="AP175" s="55" t="s">
        <v>121</v>
      </c>
      <c r="AU175" s="36">
        <f t="shared" si="146"/>
        <v>0</v>
      </c>
      <c r="AV175" s="36">
        <f t="shared" si="147"/>
        <v>0</v>
      </c>
      <c r="AW175" s="36">
        <f t="shared" si="148"/>
        <v>0</v>
      </c>
      <c r="AX175" s="57" t="s">
        <v>798</v>
      </c>
      <c r="AY175" s="57" t="s">
        <v>821</v>
      </c>
      <c r="AZ175" s="54" t="s">
        <v>835</v>
      </c>
      <c r="BB175" s="36">
        <f t="shared" si="149"/>
        <v>0</v>
      </c>
      <c r="BC175" s="36">
        <f t="shared" si="150"/>
        <v>0</v>
      </c>
      <c r="BD175" s="36">
        <v>0</v>
      </c>
      <c r="BE175" s="36">
        <f>175</f>
        <v>175</v>
      </c>
      <c r="BG175" s="50">
        <f t="shared" si="151"/>
        <v>0</v>
      </c>
      <c r="BH175" s="50">
        <f t="shared" si="152"/>
        <v>0</v>
      </c>
      <c r="BI175" s="50">
        <f t="shared" si="153"/>
        <v>0</v>
      </c>
    </row>
    <row r="176" spans="1:61" ht="12.75">
      <c r="A176" s="42" t="s">
        <v>241</v>
      </c>
      <c r="B176" s="42" t="s">
        <v>445</v>
      </c>
      <c r="C176" s="184" t="s">
        <v>672</v>
      </c>
      <c r="D176" s="180"/>
      <c r="E176" s="180"/>
      <c r="F176" s="42" t="s">
        <v>753</v>
      </c>
      <c r="G176" s="50">
        <v>14</v>
      </c>
      <c r="H176" s="50">
        <v>0</v>
      </c>
      <c r="I176" s="50">
        <f t="shared" si="132"/>
        <v>0</v>
      </c>
      <c r="J176" s="50">
        <f t="shared" si="133"/>
        <v>0</v>
      </c>
      <c r="K176" s="50">
        <f t="shared" si="134"/>
        <v>0</v>
      </c>
      <c r="Y176" s="36">
        <f t="shared" si="135"/>
        <v>0</v>
      </c>
      <c r="AA176" s="36">
        <f t="shared" si="136"/>
        <v>0</v>
      </c>
      <c r="AB176" s="36">
        <f t="shared" si="137"/>
        <v>0</v>
      </c>
      <c r="AC176" s="36">
        <f t="shared" si="138"/>
        <v>0</v>
      </c>
      <c r="AD176" s="36">
        <f t="shared" si="139"/>
        <v>0</v>
      </c>
      <c r="AE176" s="36">
        <f t="shared" si="140"/>
        <v>0</v>
      </c>
      <c r="AF176" s="36">
        <f t="shared" si="141"/>
        <v>0</v>
      </c>
      <c r="AG176" s="36">
        <f t="shared" si="142"/>
        <v>0</v>
      </c>
      <c r="AH176" s="54" t="s">
        <v>71</v>
      </c>
      <c r="AI176" s="50">
        <f t="shared" si="143"/>
        <v>0</v>
      </c>
      <c r="AJ176" s="50">
        <f t="shared" si="144"/>
        <v>0</v>
      </c>
      <c r="AK176" s="50">
        <f t="shared" si="145"/>
        <v>0</v>
      </c>
      <c r="AM176" s="36">
        <v>21</v>
      </c>
      <c r="AN176" s="36">
        <f>H176*0.558</f>
        <v>0</v>
      </c>
      <c r="AO176" s="36">
        <f>H176*(1-0.558)</f>
        <v>0</v>
      </c>
      <c r="AP176" s="55" t="s">
        <v>121</v>
      </c>
      <c r="AU176" s="36">
        <f t="shared" si="146"/>
        <v>0</v>
      </c>
      <c r="AV176" s="36">
        <f t="shared" si="147"/>
        <v>0</v>
      </c>
      <c r="AW176" s="36">
        <f t="shared" si="148"/>
        <v>0</v>
      </c>
      <c r="AX176" s="57" t="s">
        <v>798</v>
      </c>
      <c r="AY176" s="57" t="s">
        <v>821</v>
      </c>
      <c r="AZ176" s="54" t="s">
        <v>835</v>
      </c>
      <c r="BB176" s="36">
        <f t="shared" si="149"/>
        <v>0</v>
      </c>
      <c r="BC176" s="36">
        <f t="shared" si="150"/>
        <v>0</v>
      </c>
      <c r="BD176" s="36">
        <v>0</v>
      </c>
      <c r="BE176" s="36">
        <f>176</f>
        <v>176</v>
      </c>
      <c r="BG176" s="50">
        <f t="shared" si="151"/>
        <v>0</v>
      </c>
      <c r="BH176" s="50">
        <f t="shared" si="152"/>
        <v>0</v>
      </c>
      <c r="BI176" s="50">
        <f t="shared" si="153"/>
        <v>0</v>
      </c>
    </row>
    <row r="177" spans="1:61" ht="12.75">
      <c r="A177" s="42" t="s">
        <v>242</v>
      </c>
      <c r="B177" s="42" t="s">
        <v>446</v>
      </c>
      <c r="C177" s="184" t="s">
        <v>673</v>
      </c>
      <c r="D177" s="180"/>
      <c r="E177" s="180"/>
      <c r="F177" s="42" t="s">
        <v>753</v>
      </c>
      <c r="G177" s="50">
        <v>4</v>
      </c>
      <c r="H177" s="50">
        <v>0</v>
      </c>
      <c r="I177" s="50">
        <f t="shared" si="132"/>
        <v>0</v>
      </c>
      <c r="J177" s="50">
        <f t="shared" si="133"/>
        <v>0</v>
      </c>
      <c r="K177" s="50">
        <f t="shared" si="134"/>
        <v>0</v>
      </c>
      <c r="Y177" s="36">
        <f t="shared" si="135"/>
        <v>0</v>
      </c>
      <c r="AA177" s="36">
        <f t="shared" si="136"/>
        <v>0</v>
      </c>
      <c r="AB177" s="36">
        <f t="shared" si="137"/>
        <v>0</v>
      </c>
      <c r="AC177" s="36">
        <f t="shared" si="138"/>
        <v>0</v>
      </c>
      <c r="AD177" s="36">
        <f t="shared" si="139"/>
        <v>0</v>
      </c>
      <c r="AE177" s="36">
        <f t="shared" si="140"/>
        <v>0</v>
      </c>
      <c r="AF177" s="36">
        <f t="shared" si="141"/>
        <v>0</v>
      </c>
      <c r="AG177" s="36">
        <f t="shared" si="142"/>
        <v>0</v>
      </c>
      <c r="AH177" s="54" t="s">
        <v>71</v>
      </c>
      <c r="AI177" s="50">
        <f t="shared" si="143"/>
        <v>0</v>
      </c>
      <c r="AJ177" s="50">
        <f t="shared" si="144"/>
        <v>0</v>
      </c>
      <c r="AK177" s="50">
        <f t="shared" si="145"/>
        <v>0</v>
      </c>
      <c r="AM177" s="36">
        <v>21</v>
      </c>
      <c r="AN177" s="36">
        <f>H177*0.143625949575179</f>
        <v>0</v>
      </c>
      <c r="AO177" s="36">
        <f>H177*(1-0.143625949575179)</f>
        <v>0</v>
      </c>
      <c r="AP177" s="55" t="s">
        <v>121</v>
      </c>
      <c r="AU177" s="36">
        <f t="shared" si="146"/>
        <v>0</v>
      </c>
      <c r="AV177" s="36">
        <f t="shared" si="147"/>
        <v>0</v>
      </c>
      <c r="AW177" s="36">
        <f t="shared" si="148"/>
        <v>0</v>
      </c>
      <c r="AX177" s="57" t="s">
        <v>798</v>
      </c>
      <c r="AY177" s="57" t="s">
        <v>821</v>
      </c>
      <c r="AZ177" s="54" t="s">
        <v>835</v>
      </c>
      <c r="BB177" s="36">
        <f t="shared" si="149"/>
        <v>0</v>
      </c>
      <c r="BC177" s="36">
        <f t="shared" si="150"/>
        <v>0</v>
      </c>
      <c r="BD177" s="36">
        <v>0</v>
      </c>
      <c r="BE177" s="36">
        <f>177</f>
        <v>177</v>
      </c>
      <c r="BG177" s="50">
        <f t="shared" si="151"/>
        <v>0</v>
      </c>
      <c r="BH177" s="50">
        <f t="shared" si="152"/>
        <v>0</v>
      </c>
      <c r="BI177" s="50">
        <f t="shared" si="153"/>
        <v>0</v>
      </c>
    </row>
    <row r="178" spans="1:61" ht="12.75">
      <c r="A178" s="42" t="s">
        <v>243</v>
      </c>
      <c r="B178" s="42" t="s">
        <v>447</v>
      </c>
      <c r="C178" s="184" t="s">
        <v>674</v>
      </c>
      <c r="D178" s="180"/>
      <c r="E178" s="180"/>
      <c r="F178" s="42" t="s">
        <v>749</v>
      </c>
      <c r="G178" s="50">
        <v>4</v>
      </c>
      <c r="H178" s="50">
        <v>0</v>
      </c>
      <c r="I178" s="50">
        <f t="shared" si="132"/>
        <v>0</v>
      </c>
      <c r="J178" s="50">
        <f t="shared" si="133"/>
        <v>0</v>
      </c>
      <c r="K178" s="50">
        <f t="shared" si="134"/>
        <v>0</v>
      </c>
      <c r="Y178" s="36">
        <f t="shared" si="135"/>
        <v>0</v>
      </c>
      <c r="AA178" s="36">
        <f t="shared" si="136"/>
        <v>0</v>
      </c>
      <c r="AB178" s="36">
        <f t="shared" si="137"/>
        <v>0</v>
      </c>
      <c r="AC178" s="36">
        <f t="shared" si="138"/>
        <v>0</v>
      </c>
      <c r="AD178" s="36">
        <f t="shared" si="139"/>
        <v>0</v>
      </c>
      <c r="AE178" s="36">
        <f t="shared" si="140"/>
        <v>0</v>
      </c>
      <c r="AF178" s="36">
        <f t="shared" si="141"/>
        <v>0</v>
      </c>
      <c r="AG178" s="36">
        <f t="shared" si="142"/>
        <v>0</v>
      </c>
      <c r="AH178" s="54" t="s">
        <v>71</v>
      </c>
      <c r="AI178" s="50">
        <f t="shared" si="143"/>
        <v>0</v>
      </c>
      <c r="AJ178" s="50">
        <f t="shared" si="144"/>
        <v>0</v>
      </c>
      <c r="AK178" s="50">
        <f t="shared" si="145"/>
        <v>0</v>
      </c>
      <c r="AM178" s="36">
        <v>21</v>
      </c>
      <c r="AN178" s="36">
        <f>H178*0.216279069767442</f>
        <v>0</v>
      </c>
      <c r="AO178" s="36">
        <f>H178*(1-0.216279069767442)</f>
        <v>0</v>
      </c>
      <c r="AP178" s="55" t="s">
        <v>121</v>
      </c>
      <c r="AU178" s="36">
        <f t="shared" si="146"/>
        <v>0</v>
      </c>
      <c r="AV178" s="36">
        <f t="shared" si="147"/>
        <v>0</v>
      </c>
      <c r="AW178" s="36">
        <f t="shared" si="148"/>
        <v>0</v>
      </c>
      <c r="AX178" s="57" t="s">
        <v>798</v>
      </c>
      <c r="AY178" s="57" t="s">
        <v>821</v>
      </c>
      <c r="AZ178" s="54" t="s">
        <v>835</v>
      </c>
      <c r="BB178" s="36">
        <f t="shared" si="149"/>
        <v>0</v>
      </c>
      <c r="BC178" s="36">
        <f t="shared" si="150"/>
        <v>0</v>
      </c>
      <c r="BD178" s="36">
        <v>0</v>
      </c>
      <c r="BE178" s="36">
        <f>178</f>
        <v>178</v>
      </c>
      <c r="BG178" s="50">
        <f t="shared" si="151"/>
        <v>0</v>
      </c>
      <c r="BH178" s="50">
        <f t="shared" si="152"/>
        <v>0</v>
      </c>
      <c r="BI178" s="50">
        <f t="shared" si="153"/>
        <v>0</v>
      </c>
    </row>
    <row r="179" spans="1:61" ht="12.75">
      <c r="A179" s="43" t="s">
        <v>244</v>
      </c>
      <c r="B179" s="43" t="s">
        <v>448</v>
      </c>
      <c r="C179" s="185" t="s">
        <v>675</v>
      </c>
      <c r="D179" s="186"/>
      <c r="E179" s="186"/>
      <c r="F179" s="43" t="s">
        <v>749</v>
      </c>
      <c r="G179" s="51">
        <v>4</v>
      </c>
      <c r="H179" s="51">
        <v>0</v>
      </c>
      <c r="I179" s="51">
        <f t="shared" si="132"/>
        <v>0</v>
      </c>
      <c r="J179" s="51">
        <f t="shared" si="133"/>
        <v>0</v>
      </c>
      <c r="K179" s="51">
        <f t="shared" si="134"/>
        <v>0</v>
      </c>
      <c r="Y179" s="36">
        <f t="shared" si="135"/>
        <v>0</v>
      </c>
      <c r="AA179" s="36">
        <f t="shared" si="136"/>
        <v>0</v>
      </c>
      <c r="AB179" s="36">
        <f t="shared" si="137"/>
        <v>0</v>
      </c>
      <c r="AC179" s="36">
        <f t="shared" si="138"/>
        <v>0</v>
      </c>
      <c r="AD179" s="36">
        <f t="shared" si="139"/>
        <v>0</v>
      </c>
      <c r="AE179" s="36">
        <f t="shared" si="140"/>
        <v>0</v>
      </c>
      <c r="AF179" s="36">
        <f t="shared" si="141"/>
        <v>0</v>
      </c>
      <c r="AG179" s="36">
        <f t="shared" si="142"/>
        <v>0</v>
      </c>
      <c r="AH179" s="54" t="s">
        <v>71</v>
      </c>
      <c r="AI179" s="51">
        <f t="shared" si="143"/>
        <v>0</v>
      </c>
      <c r="AJ179" s="51">
        <f t="shared" si="144"/>
        <v>0</v>
      </c>
      <c r="AK179" s="51">
        <f t="shared" si="145"/>
        <v>0</v>
      </c>
      <c r="AM179" s="36">
        <v>21</v>
      </c>
      <c r="AN179" s="36">
        <f>H179*1</f>
        <v>0</v>
      </c>
      <c r="AO179" s="36">
        <f>H179*(1-1)</f>
        <v>0</v>
      </c>
      <c r="AP179" s="56" t="s">
        <v>121</v>
      </c>
      <c r="AU179" s="36">
        <f t="shared" si="146"/>
        <v>0</v>
      </c>
      <c r="AV179" s="36">
        <f t="shared" si="147"/>
        <v>0</v>
      </c>
      <c r="AW179" s="36">
        <f t="shared" si="148"/>
        <v>0</v>
      </c>
      <c r="AX179" s="57" t="s">
        <v>798</v>
      </c>
      <c r="AY179" s="57" t="s">
        <v>821</v>
      </c>
      <c r="AZ179" s="54" t="s">
        <v>835</v>
      </c>
      <c r="BB179" s="36">
        <f t="shared" si="149"/>
        <v>0</v>
      </c>
      <c r="BC179" s="36">
        <f t="shared" si="150"/>
        <v>0</v>
      </c>
      <c r="BD179" s="36">
        <v>0</v>
      </c>
      <c r="BE179" s="36">
        <f>179</f>
        <v>179</v>
      </c>
      <c r="BG179" s="51">
        <f t="shared" si="151"/>
        <v>0</v>
      </c>
      <c r="BH179" s="51">
        <f t="shared" si="152"/>
        <v>0</v>
      </c>
      <c r="BI179" s="51">
        <f t="shared" si="153"/>
        <v>0</v>
      </c>
    </row>
    <row r="180" spans="1:61" ht="12.75">
      <c r="A180" s="42" t="s">
        <v>245</v>
      </c>
      <c r="B180" s="42" t="s">
        <v>449</v>
      </c>
      <c r="C180" s="184" t="s">
        <v>676</v>
      </c>
      <c r="D180" s="180"/>
      <c r="E180" s="180"/>
      <c r="F180" s="42" t="s">
        <v>751</v>
      </c>
      <c r="G180" s="50">
        <v>0.35</v>
      </c>
      <c r="H180" s="50">
        <v>0</v>
      </c>
      <c r="I180" s="50">
        <f t="shared" si="132"/>
        <v>0</v>
      </c>
      <c r="J180" s="50">
        <f t="shared" si="133"/>
        <v>0</v>
      </c>
      <c r="K180" s="50">
        <f t="shared" si="134"/>
        <v>0</v>
      </c>
      <c r="Y180" s="36">
        <f t="shared" si="135"/>
        <v>0</v>
      </c>
      <c r="AA180" s="36">
        <f t="shared" si="136"/>
        <v>0</v>
      </c>
      <c r="AB180" s="36">
        <f t="shared" si="137"/>
        <v>0</v>
      </c>
      <c r="AC180" s="36">
        <f t="shared" si="138"/>
        <v>0</v>
      </c>
      <c r="AD180" s="36">
        <f t="shared" si="139"/>
        <v>0</v>
      </c>
      <c r="AE180" s="36">
        <f t="shared" si="140"/>
        <v>0</v>
      </c>
      <c r="AF180" s="36">
        <f t="shared" si="141"/>
        <v>0</v>
      </c>
      <c r="AG180" s="36">
        <f t="shared" si="142"/>
        <v>0</v>
      </c>
      <c r="AH180" s="54" t="s">
        <v>71</v>
      </c>
      <c r="AI180" s="50">
        <f t="shared" si="143"/>
        <v>0</v>
      </c>
      <c r="AJ180" s="50">
        <f t="shared" si="144"/>
        <v>0</v>
      </c>
      <c r="AK180" s="50">
        <f t="shared" si="145"/>
        <v>0</v>
      </c>
      <c r="AM180" s="36">
        <v>21</v>
      </c>
      <c r="AN180" s="36">
        <f>H180*0</f>
        <v>0</v>
      </c>
      <c r="AO180" s="36">
        <f>H180*(1-0)</f>
        <v>0</v>
      </c>
      <c r="AP180" s="55" t="s">
        <v>103</v>
      </c>
      <c r="AU180" s="36">
        <f t="shared" si="146"/>
        <v>0</v>
      </c>
      <c r="AV180" s="36">
        <f t="shared" si="147"/>
        <v>0</v>
      </c>
      <c r="AW180" s="36">
        <f t="shared" si="148"/>
        <v>0</v>
      </c>
      <c r="AX180" s="57" t="s">
        <v>798</v>
      </c>
      <c r="AY180" s="57" t="s">
        <v>821</v>
      </c>
      <c r="AZ180" s="54" t="s">
        <v>835</v>
      </c>
      <c r="BB180" s="36">
        <f t="shared" si="149"/>
        <v>0</v>
      </c>
      <c r="BC180" s="36">
        <f t="shared" si="150"/>
        <v>0</v>
      </c>
      <c r="BD180" s="36">
        <v>0</v>
      </c>
      <c r="BE180" s="36">
        <f>180</f>
        <v>180</v>
      </c>
      <c r="BG180" s="50">
        <f t="shared" si="151"/>
        <v>0</v>
      </c>
      <c r="BH180" s="50">
        <f t="shared" si="152"/>
        <v>0</v>
      </c>
      <c r="BI180" s="50">
        <f t="shared" si="153"/>
        <v>0</v>
      </c>
    </row>
    <row r="181" spans="1:46" ht="12.75">
      <c r="A181" s="41"/>
      <c r="B181" s="47" t="s">
        <v>450</v>
      </c>
      <c r="C181" s="191" t="s">
        <v>677</v>
      </c>
      <c r="D181" s="177"/>
      <c r="E181" s="177"/>
      <c r="F181" s="41" t="s">
        <v>68</v>
      </c>
      <c r="G181" s="41" t="s">
        <v>68</v>
      </c>
      <c r="H181" s="41" t="s">
        <v>68</v>
      </c>
      <c r="I181" s="58">
        <f>SUM(I182:I182)</f>
        <v>0</v>
      </c>
      <c r="J181" s="58">
        <f>SUM(J182:J182)</f>
        <v>0</v>
      </c>
      <c r="K181" s="58">
        <f>SUM(K182:K182)</f>
        <v>0</v>
      </c>
      <c r="AH181" s="54" t="s">
        <v>71</v>
      </c>
      <c r="AR181" s="58">
        <f>SUM(AI182:AI182)</f>
        <v>0</v>
      </c>
      <c r="AS181" s="58">
        <f>SUM(AJ182:AJ182)</f>
        <v>0</v>
      </c>
      <c r="AT181" s="58">
        <f>SUM(AK182:AK182)</f>
        <v>0</v>
      </c>
    </row>
    <row r="182" spans="1:61" ht="12.75">
      <c r="A182" s="42" t="s">
        <v>246</v>
      </c>
      <c r="B182" s="42" t="s">
        <v>451</v>
      </c>
      <c r="C182" s="184" t="s">
        <v>678</v>
      </c>
      <c r="D182" s="180"/>
      <c r="E182" s="180"/>
      <c r="F182" s="42" t="s">
        <v>65</v>
      </c>
      <c r="G182" s="50">
        <v>987.28</v>
      </c>
      <c r="H182" s="50">
        <v>0</v>
      </c>
      <c r="I182" s="50">
        <f>G182*AN182</f>
        <v>0</v>
      </c>
      <c r="J182" s="50">
        <f>G182*AO182</f>
        <v>0</v>
      </c>
      <c r="K182" s="50">
        <f>G182*H182</f>
        <v>0</v>
      </c>
      <c r="Y182" s="36">
        <f>IF(AP182="5",BI182,0)</f>
        <v>0</v>
      </c>
      <c r="AA182" s="36">
        <f>IF(AP182="1",BG182,0)</f>
        <v>0</v>
      </c>
      <c r="AB182" s="36">
        <f>IF(AP182="1",BH182,0)</f>
        <v>0</v>
      </c>
      <c r="AC182" s="36">
        <f>IF(AP182="7",BG182,0)</f>
        <v>0</v>
      </c>
      <c r="AD182" s="36">
        <f>IF(AP182="7",BH182,0)</f>
        <v>0</v>
      </c>
      <c r="AE182" s="36">
        <f>IF(AP182="2",BG182,0)</f>
        <v>0</v>
      </c>
      <c r="AF182" s="36">
        <f>IF(AP182="2",BH182,0)</f>
        <v>0</v>
      </c>
      <c r="AG182" s="36">
        <f>IF(AP182="0",BI182,0)</f>
        <v>0</v>
      </c>
      <c r="AH182" s="54" t="s">
        <v>71</v>
      </c>
      <c r="AI182" s="50">
        <f>IF(AM182=0,K182,0)</f>
        <v>0</v>
      </c>
      <c r="AJ182" s="50">
        <f>IF(AM182=15,K182,0)</f>
        <v>0</v>
      </c>
      <c r="AK182" s="50">
        <f>IF(AM182=21,K182,0)</f>
        <v>0</v>
      </c>
      <c r="AM182" s="36">
        <v>21</v>
      </c>
      <c r="AN182" s="36">
        <f>H182*0</f>
        <v>0</v>
      </c>
      <c r="AO182" s="36">
        <f>H182*(1-0)</f>
        <v>0</v>
      </c>
      <c r="AP182" s="55" t="s">
        <v>93</v>
      </c>
      <c r="AU182" s="36">
        <f>AV182+AW182</f>
        <v>0</v>
      </c>
      <c r="AV182" s="36">
        <f>G182*AN182</f>
        <v>0</v>
      </c>
      <c r="AW182" s="36">
        <f>G182*AO182</f>
        <v>0</v>
      </c>
      <c r="AX182" s="57" t="s">
        <v>799</v>
      </c>
      <c r="AY182" s="57" t="s">
        <v>822</v>
      </c>
      <c r="AZ182" s="54" t="s">
        <v>835</v>
      </c>
      <c r="BB182" s="36">
        <f>AV182+AW182</f>
        <v>0</v>
      </c>
      <c r="BC182" s="36">
        <f>H182/(100-BD182)*100</f>
        <v>0</v>
      </c>
      <c r="BD182" s="36">
        <v>0</v>
      </c>
      <c r="BE182" s="36">
        <f>182</f>
        <v>182</v>
      </c>
      <c r="BG182" s="50">
        <f>G182*AN182</f>
        <v>0</v>
      </c>
      <c r="BH182" s="50">
        <f>G182*AO182</f>
        <v>0</v>
      </c>
      <c r="BI182" s="50">
        <f>G182*H182</f>
        <v>0</v>
      </c>
    </row>
    <row r="183" spans="1:46" ht="12.75">
      <c r="A183" s="41"/>
      <c r="B183" s="47" t="s">
        <v>452</v>
      </c>
      <c r="C183" s="191" t="s">
        <v>679</v>
      </c>
      <c r="D183" s="177"/>
      <c r="E183" s="177"/>
      <c r="F183" s="41" t="s">
        <v>68</v>
      </c>
      <c r="G183" s="41" t="s">
        <v>68</v>
      </c>
      <c r="H183" s="41" t="s">
        <v>68</v>
      </c>
      <c r="I183" s="58">
        <f>SUM(I184:I184)</f>
        <v>0</v>
      </c>
      <c r="J183" s="58">
        <f>SUM(J184:J184)</f>
        <v>0</v>
      </c>
      <c r="K183" s="58">
        <f>SUM(K184:K184)</f>
        <v>0</v>
      </c>
      <c r="AH183" s="54" t="s">
        <v>71</v>
      </c>
      <c r="AR183" s="58">
        <f>SUM(AI184:AI184)</f>
        <v>0</v>
      </c>
      <c r="AS183" s="58">
        <f>SUM(AJ184:AJ184)</f>
        <v>0</v>
      </c>
      <c r="AT183" s="58">
        <f>SUM(AK184:AK184)</f>
        <v>0</v>
      </c>
    </row>
    <row r="184" spans="1:61" ht="12.75">
      <c r="A184" s="42" t="s">
        <v>247</v>
      </c>
      <c r="B184" s="42" t="s">
        <v>453</v>
      </c>
      <c r="C184" s="184" t="s">
        <v>680</v>
      </c>
      <c r="D184" s="180"/>
      <c r="E184" s="180"/>
      <c r="F184" s="42" t="s">
        <v>754</v>
      </c>
      <c r="G184" s="50">
        <v>1</v>
      </c>
      <c r="H184" s="50">
        <v>0</v>
      </c>
      <c r="I184" s="50">
        <f>G184*AN184</f>
        <v>0</v>
      </c>
      <c r="J184" s="50">
        <f>G184*AO184</f>
        <v>0</v>
      </c>
      <c r="K184" s="50">
        <f>G184*H184</f>
        <v>0</v>
      </c>
      <c r="Y184" s="36">
        <f>IF(AP184="5",BI184,0)</f>
        <v>0</v>
      </c>
      <c r="AA184" s="36">
        <f>IF(AP184="1",BG184,0)</f>
        <v>0</v>
      </c>
      <c r="AB184" s="36">
        <f>IF(AP184="1",BH184,0)</f>
        <v>0</v>
      </c>
      <c r="AC184" s="36">
        <f>IF(AP184="7",BG184,0)</f>
        <v>0</v>
      </c>
      <c r="AD184" s="36">
        <f>IF(AP184="7",BH184,0)</f>
        <v>0</v>
      </c>
      <c r="AE184" s="36">
        <f>IF(AP184="2",BG184,0)</f>
        <v>0</v>
      </c>
      <c r="AF184" s="36">
        <f>IF(AP184="2",BH184,0)</f>
        <v>0</v>
      </c>
      <c r="AG184" s="36">
        <f>IF(AP184="0",BI184,0)</f>
        <v>0</v>
      </c>
      <c r="AH184" s="54" t="s">
        <v>71</v>
      </c>
      <c r="AI184" s="50">
        <f>IF(AM184=0,K184,0)</f>
        <v>0</v>
      </c>
      <c r="AJ184" s="50">
        <f>IF(AM184=15,K184,0)</f>
        <v>0</v>
      </c>
      <c r="AK184" s="50">
        <f>IF(AM184=21,K184,0)</f>
        <v>0</v>
      </c>
      <c r="AM184" s="36">
        <v>21</v>
      </c>
      <c r="AN184" s="36">
        <f>H184*0</f>
        <v>0</v>
      </c>
      <c r="AO184" s="36">
        <f>H184*(1-0)</f>
        <v>0</v>
      </c>
      <c r="AP184" s="55" t="s">
        <v>93</v>
      </c>
      <c r="AU184" s="36">
        <f>AV184+AW184</f>
        <v>0</v>
      </c>
      <c r="AV184" s="36">
        <f>G184*AN184</f>
        <v>0</v>
      </c>
      <c r="AW184" s="36">
        <f>G184*AO184</f>
        <v>0</v>
      </c>
      <c r="AX184" s="57" t="s">
        <v>800</v>
      </c>
      <c r="AY184" s="57" t="s">
        <v>822</v>
      </c>
      <c r="AZ184" s="54" t="s">
        <v>835</v>
      </c>
      <c r="BB184" s="36">
        <f>AV184+AW184</f>
        <v>0</v>
      </c>
      <c r="BC184" s="36">
        <f>H184/(100-BD184)*100</f>
        <v>0</v>
      </c>
      <c r="BD184" s="36">
        <v>0</v>
      </c>
      <c r="BE184" s="36">
        <f>184</f>
        <v>184</v>
      </c>
      <c r="BG184" s="50">
        <f>G184*AN184</f>
        <v>0</v>
      </c>
      <c r="BH184" s="50">
        <f>G184*AO184</f>
        <v>0</v>
      </c>
      <c r="BI184" s="50">
        <f>G184*H184</f>
        <v>0</v>
      </c>
    </row>
    <row r="185" spans="1:11" ht="12.75">
      <c r="A185" s="44"/>
      <c r="B185" s="48"/>
      <c r="C185" s="195" t="s">
        <v>79</v>
      </c>
      <c r="D185" s="193"/>
      <c r="E185" s="193"/>
      <c r="F185" s="44" t="s">
        <v>68</v>
      </c>
      <c r="G185" s="44" t="s">
        <v>68</v>
      </c>
      <c r="H185" s="44" t="s">
        <v>68</v>
      </c>
      <c r="I185" s="59">
        <f>I186+I196+I198+I200</f>
        <v>0</v>
      </c>
      <c r="J185" s="59">
        <f>J186+J196+J198+J200</f>
        <v>0</v>
      </c>
      <c r="K185" s="59">
        <f>K186+K196+K198+K200</f>
        <v>0</v>
      </c>
    </row>
    <row r="186" spans="1:46" ht="12.75">
      <c r="A186" s="41"/>
      <c r="B186" s="47" t="s">
        <v>454</v>
      </c>
      <c r="C186" s="191" t="s">
        <v>681</v>
      </c>
      <c r="D186" s="177"/>
      <c r="E186" s="177"/>
      <c r="F186" s="41" t="s">
        <v>68</v>
      </c>
      <c r="G186" s="41" t="s">
        <v>68</v>
      </c>
      <c r="H186" s="41" t="s">
        <v>68</v>
      </c>
      <c r="I186" s="58">
        <f>SUM(I187:I195)</f>
        <v>0</v>
      </c>
      <c r="J186" s="58">
        <f>SUM(J187:J195)</f>
        <v>0</v>
      </c>
      <c r="K186" s="58">
        <f>SUM(K187:K195)</f>
        <v>0</v>
      </c>
      <c r="AH186" s="54" t="s">
        <v>72</v>
      </c>
      <c r="AR186" s="58">
        <f>SUM(AI187:AI195)</f>
        <v>0</v>
      </c>
      <c r="AS186" s="58">
        <f>SUM(AJ187:AJ195)</f>
        <v>0</v>
      </c>
      <c r="AT186" s="58">
        <f>SUM(AK187:AK195)</f>
        <v>0</v>
      </c>
    </row>
    <row r="187" spans="1:61" ht="12.75">
      <c r="A187" s="42" t="s">
        <v>248</v>
      </c>
      <c r="B187" s="42" t="s">
        <v>455</v>
      </c>
      <c r="C187" s="184" t="s">
        <v>682</v>
      </c>
      <c r="D187" s="180"/>
      <c r="E187" s="180"/>
      <c r="F187" s="42" t="s">
        <v>752</v>
      </c>
      <c r="G187" s="50">
        <v>9</v>
      </c>
      <c r="H187" s="50">
        <v>0</v>
      </c>
      <c r="I187" s="50">
        <f aca="true" t="shared" si="154" ref="I187:I195">G187*AN187</f>
        <v>0</v>
      </c>
      <c r="J187" s="50">
        <f aca="true" t="shared" si="155" ref="J187:J195">G187*AO187</f>
        <v>0</v>
      </c>
      <c r="K187" s="50">
        <f aca="true" t="shared" si="156" ref="K187:K195">G187*H187</f>
        <v>0</v>
      </c>
      <c r="Y187" s="36">
        <f aca="true" t="shared" si="157" ref="Y187:Y195">IF(AP187="5",BI187,0)</f>
        <v>0</v>
      </c>
      <c r="AA187" s="36">
        <f aca="true" t="shared" si="158" ref="AA187:AA195">IF(AP187="1",BG187,0)</f>
        <v>0</v>
      </c>
      <c r="AB187" s="36">
        <f aca="true" t="shared" si="159" ref="AB187:AB195">IF(AP187="1",BH187,0)</f>
        <v>0</v>
      </c>
      <c r="AC187" s="36">
        <f aca="true" t="shared" si="160" ref="AC187:AC195">IF(AP187="7",BG187,0)</f>
        <v>0</v>
      </c>
      <c r="AD187" s="36">
        <f aca="true" t="shared" si="161" ref="AD187:AD195">IF(AP187="7",BH187,0)</f>
        <v>0</v>
      </c>
      <c r="AE187" s="36">
        <f aca="true" t="shared" si="162" ref="AE187:AE195">IF(AP187="2",BG187,0)</f>
        <v>0</v>
      </c>
      <c r="AF187" s="36">
        <f aca="true" t="shared" si="163" ref="AF187:AF195">IF(AP187="2",BH187,0)</f>
        <v>0</v>
      </c>
      <c r="AG187" s="36">
        <f aca="true" t="shared" si="164" ref="AG187:AG195">IF(AP187="0",BI187,0)</f>
        <v>0</v>
      </c>
      <c r="AH187" s="54" t="s">
        <v>72</v>
      </c>
      <c r="AI187" s="50">
        <f aca="true" t="shared" si="165" ref="AI187:AI195">IF(AM187=0,K187,0)</f>
        <v>0</v>
      </c>
      <c r="AJ187" s="50">
        <f aca="true" t="shared" si="166" ref="AJ187:AJ195">IF(AM187=15,K187,0)</f>
        <v>0</v>
      </c>
      <c r="AK187" s="50">
        <f aca="true" t="shared" si="167" ref="AK187:AK195">IF(AM187=21,K187,0)</f>
        <v>0</v>
      </c>
      <c r="AM187" s="36">
        <v>21</v>
      </c>
      <c r="AN187" s="36">
        <f>H187*0.48464333781965</f>
        <v>0</v>
      </c>
      <c r="AO187" s="36">
        <f>H187*(1-0.48464333781965)</f>
        <v>0</v>
      </c>
      <c r="AP187" s="55" t="s">
        <v>121</v>
      </c>
      <c r="AU187" s="36">
        <f aca="true" t="shared" si="168" ref="AU187:AU195">AV187+AW187</f>
        <v>0</v>
      </c>
      <c r="AV187" s="36">
        <f aca="true" t="shared" si="169" ref="AV187:AV195">G187*AN187</f>
        <v>0</v>
      </c>
      <c r="AW187" s="36">
        <f aca="true" t="shared" si="170" ref="AW187:AW195">G187*AO187</f>
        <v>0</v>
      </c>
      <c r="AX187" s="57" t="s">
        <v>801</v>
      </c>
      <c r="AY187" s="57" t="s">
        <v>823</v>
      </c>
      <c r="AZ187" s="54" t="s">
        <v>836</v>
      </c>
      <c r="BB187" s="36">
        <f aca="true" t="shared" si="171" ref="BB187:BB195">AV187+AW187</f>
        <v>0</v>
      </c>
      <c r="BC187" s="36">
        <f aca="true" t="shared" si="172" ref="BC187:BC195">H187/(100-BD187)*100</f>
        <v>0</v>
      </c>
      <c r="BD187" s="36">
        <v>0</v>
      </c>
      <c r="BE187" s="36">
        <f>187</f>
        <v>187</v>
      </c>
      <c r="BG187" s="50">
        <f aca="true" t="shared" si="173" ref="BG187:BG195">G187*AN187</f>
        <v>0</v>
      </c>
      <c r="BH187" s="50">
        <f aca="true" t="shared" si="174" ref="BH187:BH195">G187*AO187</f>
        <v>0</v>
      </c>
      <c r="BI187" s="50">
        <f aca="true" t="shared" si="175" ref="BI187:BI195">G187*H187</f>
        <v>0</v>
      </c>
    </row>
    <row r="188" spans="1:61" ht="12.75">
      <c r="A188" s="42" t="s">
        <v>249</v>
      </c>
      <c r="B188" s="42" t="s">
        <v>456</v>
      </c>
      <c r="C188" s="184" t="s">
        <v>683</v>
      </c>
      <c r="D188" s="180"/>
      <c r="E188" s="180"/>
      <c r="F188" s="42" t="s">
        <v>752</v>
      </c>
      <c r="G188" s="50">
        <v>10</v>
      </c>
      <c r="H188" s="50">
        <v>0</v>
      </c>
      <c r="I188" s="50">
        <f t="shared" si="154"/>
        <v>0</v>
      </c>
      <c r="J188" s="50">
        <f t="shared" si="155"/>
        <v>0</v>
      </c>
      <c r="K188" s="50">
        <f t="shared" si="156"/>
        <v>0</v>
      </c>
      <c r="Y188" s="36">
        <f t="shared" si="157"/>
        <v>0</v>
      </c>
      <c r="AA188" s="36">
        <f t="shared" si="158"/>
        <v>0</v>
      </c>
      <c r="AB188" s="36">
        <f t="shared" si="159"/>
        <v>0</v>
      </c>
      <c r="AC188" s="36">
        <f t="shared" si="160"/>
        <v>0</v>
      </c>
      <c r="AD188" s="36">
        <f t="shared" si="161"/>
        <v>0</v>
      </c>
      <c r="AE188" s="36">
        <f t="shared" si="162"/>
        <v>0</v>
      </c>
      <c r="AF188" s="36">
        <f t="shared" si="163"/>
        <v>0</v>
      </c>
      <c r="AG188" s="36">
        <f t="shared" si="164"/>
        <v>0</v>
      </c>
      <c r="AH188" s="54" t="s">
        <v>72</v>
      </c>
      <c r="AI188" s="50">
        <f t="shared" si="165"/>
        <v>0</v>
      </c>
      <c r="AJ188" s="50">
        <f t="shared" si="166"/>
        <v>0</v>
      </c>
      <c r="AK188" s="50">
        <f t="shared" si="167"/>
        <v>0</v>
      </c>
      <c r="AM188" s="36">
        <v>21</v>
      </c>
      <c r="AN188" s="36">
        <f>H188*0.309864864864865</f>
        <v>0</v>
      </c>
      <c r="AO188" s="36">
        <f>H188*(1-0.309864864864865)</f>
        <v>0</v>
      </c>
      <c r="AP188" s="55" t="s">
        <v>121</v>
      </c>
      <c r="AU188" s="36">
        <f t="shared" si="168"/>
        <v>0</v>
      </c>
      <c r="AV188" s="36">
        <f t="shared" si="169"/>
        <v>0</v>
      </c>
      <c r="AW188" s="36">
        <f t="shared" si="170"/>
        <v>0</v>
      </c>
      <c r="AX188" s="57" t="s">
        <v>801</v>
      </c>
      <c r="AY188" s="57" t="s">
        <v>823</v>
      </c>
      <c r="AZ188" s="54" t="s">
        <v>836</v>
      </c>
      <c r="BB188" s="36">
        <f t="shared" si="171"/>
        <v>0</v>
      </c>
      <c r="BC188" s="36">
        <f t="shared" si="172"/>
        <v>0</v>
      </c>
      <c r="BD188" s="36">
        <v>0</v>
      </c>
      <c r="BE188" s="36">
        <f>188</f>
        <v>188</v>
      </c>
      <c r="BG188" s="50">
        <f t="shared" si="173"/>
        <v>0</v>
      </c>
      <c r="BH188" s="50">
        <f t="shared" si="174"/>
        <v>0</v>
      </c>
      <c r="BI188" s="50">
        <f t="shared" si="175"/>
        <v>0</v>
      </c>
    </row>
    <row r="189" spans="1:61" ht="12.75">
      <c r="A189" s="42" t="s">
        <v>250</v>
      </c>
      <c r="B189" s="42" t="s">
        <v>457</v>
      </c>
      <c r="C189" s="184" t="s">
        <v>684</v>
      </c>
      <c r="D189" s="180"/>
      <c r="E189" s="180"/>
      <c r="F189" s="42" t="s">
        <v>752</v>
      </c>
      <c r="G189" s="50">
        <v>2</v>
      </c>
      <c r="H189" s="50">
        <v>0</v>
      </c>
      <c r="I189" s="50">
        <f t="shared" si="154"/>
        <v>0</v>
      </c>
      <c r="J189" s="50">
        <f t="shared" si="155"/>
        <v>0</v>
      </c>
      <c r="K189" s="50">
        <f t="shared" si="156"/>
        <v>0</v>
      </c>
      <c r="Y189" s="36">
        <f t="shared" si="157"/>
        <v>0</v>
      </c>
      <c r="AA189" s="36">
        <f t="shared" si="158"/>
        <v>0</v>
      </c>
      <c r="AB189" s="36">
        <f t="shared" si="159"/>
        <v>0</v>
      </c>
      <c r="AC189" s="36">
        <f t="shared" si="160"/>
        <v>0</v>
      </c>
      <c r="AD189" s="36">
        <f t="shared" si="161"/>
        <v>0</v>
      </c>
      <c r="AE189" s="36">
        <f t="shared" si="162"/>
        <v>0</v>
      </c>
      <c r="AF189" s="36">
        <f t="shared" si="163"/>
        <v>0</v>
      </c>
      <c r="AG189" s="36">
        <f t="shared" si="164"/>
        <v>0</v>
      </c>
      <c r="AH189" s="54" t="s">
        <v>72</v>
      </c>
      <c r="AI189" s="50">
        <f t="shared" si="165"/>
        <v>0</v>
      </c>
      <c r="AJ189" s="50">
        <f t="shared" si="166"/>
        <v>0</v>
      </c>
      <c r="AK189" s="50">
        <f t="shared" si="167"/>
        <v>0</v>
      </c>
      <c r="AM189" s="36">
        <v>21</v>
      </c>
      <c r="AN189" s="36">
        <f>H189*0.351293814278432</f>
        <v>0</v>
      </c>
      <c r="AO189" s="36">
        <f>H189*(1-0.351293814278432)</f>
        <v>0</v>
      </c>
      <c r="AP189" s="55" t="s">
        <v>121</v>
      </c>
      <c r="AU189" s="36">
        <f t="shared" si="168"/>
        <v>0</v>
      </c>
      <c r="AV189" s="36">
        <f t="shared" si="169"/>
        <v>0</v>
      </c>
      <c r="AW189" s="36">
        <f t="shared" si="170"/>
        <v>0</v>
      </c>
      <c r="AX189" s="57" t="s">
        <v>801</v>
      </c>
      <c r="AY189" s="57" t="s">
        <v>823</v>
      </c>
      <c r="AZ189" s="54" t="s">
        <v>836</v>
      </c>
      <c r="BB189" s="36">
        <f t="shared" si="171"/>
        <v>0</v>
      </c>
      <c r="BC189" s="36">
        <f t="shared" si="172"/>
        <v>0</v>
      </c>
      <c r="BD189" s="36">
        <v>0</v>
      </c>
      <c r="BE189" s="36">
        <f>189</f>
        <v>189</v>
      </c>
      <c r="BG189" s="50">
        <f t="shared" si="173"/>
        <v>0</v>
      </c>
      <c r="BH189" s="50">
        <f t="shared" si="174"/>
        <v>0</v>
      </c>
      <c r="BI189" s="50">
        <f t="shared" si="175"/>
        <v>0</v>
      </c>
    </row>
    <row r="190" spans="1:61" ht="12.75">
      <c r="A190" s="42" t="s">
        <v>251</v>
      </c>
      <c r="B190" s="42" t="s">
        <v>458</v>
      </c>
      <c r="C190" s="184" t="s">
        <v>685</v>
      </c>
      <c r="D190" s="180"/>
      <c r="E190" s="180"/>
      <c r="F190" s="42" t="s">
        <v>752</v>
      </c>
      <c r="G190" s="50">
        <v>4</v>
      </c>
      <c r="H190" s="50">
        <v>0</v>
      </c>
      <c r="I190" s="50">
        <f t="shared" si="154"/>
        <v>0</v>
      </c>
      <c r="J190" s="50">
        <f t="shared" si="155"/>
        <v>0</v>
      </c>
      <c r="K190" s="50">
        <f t="shared" si="156"/>
        <v>0</v>
      </c>
      <c r="Y190" s="36">
        <f t="shared" si="157"/>
        <v>0</v>
      </c>
      <c r="AA190" s="36">
        <f t="shared" si="158"/>
        <v>0</v>
      </c>
      <c r="AB190" s="36">
        <f t="shared" si="159"/>
        <v>0</v>
      </c>
      <c r="AC190" s="36">
        <f t="shared" si="160"/>
        <v>0</v>
      </c>
      <c r="AD190" s="36">
        <f t="shared" si="161"/>
        <v>0</v>
      </c>
      <c r="AE190" s="36">
        <f t="shared" si="162"/>
        <v>0</v>
      </c>
      <c r="AF190" s="36">
        <f t="shared" si="163"/>
        <v>0</v>
      </c>
      <c r="AG190" s="36">
        <f t="shared" si="164"/>
        <v>0</v>
      </c>
      <c r="AH190" s="54" t="s">
        <v>72</v>
      </c>
      <c r="AI190" s="50">
        <f t="shared" si="165"/>
        <v>0</v>
      </c>
      <c r="AJ190" s="50">
        <f t="shared" si="166"/>
        <v>0</v>
      </c>
      <c r="AK190" s="50">
        <f t="shared" si="167"/>
        <v>0</v>
      </c>
      <c r="AM190" s="36">
        <v>21</v>
      </c>
      <c r="AN190" s="36">
        <f>H190*0.32483300589391</f>
        <v>0</v>
      </c>
      <c r="AO190" s="36">
        <f>H190*(1-0.32483300589391)</f>
        <v>0</v>
      </c>
      <c r="AP190" s="55" t="s">
        <v>121</v>
      </c>
      <c r="AU190" s="36">
        <f t="shared" si="168"/>
        <v>0</v>
      </c>
      <c r="AV190" s="36">
        <f t="shared" si="169"/>
        <v>0</v>
      </c>
      <c r="AW190" s="36">
        <f t="shared" si="170"/>
        <v>0</v>
      </c>
      <c r="AX190" s="57" t="s">
        <v>801</v>
      </c>
      <c r="AY190" s="57" t="s">
        <v>823</v>
      </c>
      <c r="AZ190" s="54" t="s">
        <v>836</v>
      </c>
      <c r="BB190" s="36">
        <f t="shared" si="171"/>
        <v>0</v>
      </c>
      <c r="BC190" s="36">
        <f t="shared" si="172"/>
        <v>0</v>
      </c>
      <c r="BD190" s="36">
        <v>0</v>
      </c>
      <c r="BE190" s="36">
        <f>190</f>
        <v>190</v>
      </c>
      <c r="BG190" s="50">
        <f t="shared" si="173"/>
        <v>0</v>
      </c>
      <c r="BH190" s="50">
        <f t="shared" si="174"/>
        <v>0</v>
      </c>
      <c r="BI190" s="50">
        <f t="shared" si="175"/>
        <v>0</v>
      </c>
    </row>
    <row r="191" spans="1:61" ht="12.75">
      <c r="A191" s="42" t="s">
        <v>252</v>
      </c>
      <c r="B191" s="42" t="s">
        <v>459</v>
      </c>
      <c r="C191" s="184" t="s">
        <v>686</v>
      </c>
      <c r="D191" s="180"/>
      <c r="E191" s="180"/>
      <c r="F191" s="42" t="s">
        <v>749</v>
      </c>
      <c r="G191" s="50">
        <v>5</v>
      </c>
      <c r="H191" s="50">
        <v>0</v>
      </c>
      <c r="I191" s="50">
        <f t="shared" si="154"/>
        <v>0</v>
      </c>
      <c r="J191" s="50">
        <f t="shared" si="155"/>
        <v>0</v>
      </c>
      <c r="K191" s="50">
        <f t="shared" si="156"/>
        <v>0</v>
      </c>
      <c r="Y191" s="36">
        <f t="shared" si="157"/>
        <v>0</v>
      </c>
      <c r="AA191" s="36">
        <f t="shared" si="158"/>
        <v>0</v>
      </c>
      <c r="AB191" s="36">
        <f t="shared" si="159"/>
        <v>0</v>
      </c>
      <c r="AC191" s="36">
        <f t="shared" si="160"/>
        <v>0</v>
      </c>
      <c r="AD191" s="36">
        <f t="shared" si="161"/>
        <v>0</v>
      </c>
      <c r="AE191" s="36">
        <f t="shared" si="162"/>
        <v>0</v>
      </c>
      <c r="AF191" s="36">
        <f t="shared" si="163"/>
        <v>0</v>
      </c>
      <c r="AG191" s="36">
        <f t="shared" si="164"/>
        <v>0</v>
      </c>
      <c r="AH191" s="54" t="s">
        <v>72</v>
      </c>
      <c r="AI191" s="50">
        <f t="shared" si="165"/>
        <v>0</v>
      </c>
      <c r="AJ191" s="50">
        <f t="shared" si="166"/>
        <v>0</v>
      </c>
      <c r="AK191" s="50">
        <f t="shared" si="167"/>
        <v>0</v>
      </c>
      <c r="AM191" s="36">
        <v>21</v>
      </c>
      <c r="AN191" s="36">
        <f>H191*0</f>
        <v>0</v>
      </c>
      <c r="AO191" s="36">
        <f>H191*(1-0)</f>
        <v>0</v>
      </c>
      <c r="AP191" s="55" t="s">
        <v>121</v>
      </c>
      <c r="AU191" s="36">
        <f t="shared" si="168"/>
        <v>0</v>
      </c>
      <c r="AV191" s="36">
        <f t="shared" si="169"/>
        <v>0</v>
      </c>
      <c r="AW191" s="36">
        <f t="shared" si="170"/>
        <v>0</v>
      </c>
      <c r="AX191" s="57" t="s">
        <v>801</v>
      </c>
      <c r="AY191" s="57" t="s">
        <v>823</v>
      </c>
      <c r="AZ191" s="54" t="s">
        <v>836</v>
      </c>
      <c r="BB191" s="36">
        <f t="shared" si="171"/>
        <v>0</v>
      </c>
      <c r="BC191" s="36">
        <f t="shared" si="172"/>
        <v>0</v>
      </c>
      <c r="BD191" s="36">
        <v>0</v>
      </c>
      <c r="BE191" s="36">
        <f>191</f>
        <v>191</v>
      </c>
      <c r="BG191" s="50">
        <f t="shared" si="173"/>
        <v>0</v>
      </c>
      <c r="BH191" s="50">
        <f t="shared" si="174"/>
        <v>0</v>
      </c>
      <c r="BI191" s="50">
        <f t="shared" si="175"/>
        <v>0</v>
      </c>
    </row>
    <row r="192" spans="1:61" ht="12.75">
      <c r="A192" s="42" t="s">
        <v>253</v>
      </c>
      <c r="B192" s="42" t="s">
        <v>460</v>
      </c>
      <c r="C192" s="184" t="s">
        <v>687</v>
      </c>
      <c r="D192" s="180"/>
      <c r="E192" s="180"/>
      <c r="F192" s="42" t="s">
        <v>749</v>
      </c>
      <c r="G192" s="50">
        <v>2</v>
      </c>
      <c r="H192" s="50">
        <v>0</v>
      </c>
      <c r="I192" s="50">
        <f t="shared" si="154"/>
        <v>0</v>
      </c>
      <c r="J192" s="50">
        <f t="shared" si="155"/>
        <v>0</v>
      </c>
      <c r="K192" s="50">
        <f t="shared" si="156"/>
        <v>0</v>
      </c>
      <c r="Y192" s="36">
        <f t="shared" si="157"/>
        <v>0</v>
      </c>
      <c r="AA192" s="36">
        <f t="shared" si="158"/>
        <v>0</v>
      </c>
      <c r="AB192" s="36">
        <f t="shared" si="159"/>
        <v>0</v>
      </c>
      <c r="AC192" s="36">
        <f t="shared" si="160"/>
        <v>0</v>
      </c>
      <c r="AD192" s="36">
        <f t="shared" si="161"/>
        <v>0</v>
      </c>
      <c r="AE192" s="36">
        <f t="shared" si="162"/>
        <v>0</v>
      </c>
      <c r="AF192" s="36">
        <f t="shared" si="163"/>
        <v>0</v>
      </c>
      <c r="AG192" s="36">
        <f t="shared" si="164"/>
        <v>0</v>
      </c>
      <c r="AH192" s="54" t="s">
        <v>72</v>
      </c>
      <c r="AI192" s="50">
        <f t="shared" si="165"/>
        <v>0</v>
      </c>
      <c r="AJ192" s="50">
        <f t="shared" si="166"/>
        <v>0</v>
      </c>
      <c r="AK192" s="50">
        <f t="shared" si="167"/>
        <v>0</v>
      </c>
      <c r="AM192" s="36">
        <v>21</v>
      </c>
      <c r="AN192" s="36">
        <f>H192*0</f>
        <v>0</v>
      </c>
      <c r="AO192" s="36">
        <f>H192*(1-0)</f>
        <v>0</v>
      </c>
      <c r="AP192" s="55" t="s">
        <v>121</v>
      </c>
      <c r="AU192" s="36">
        <f t="shared" si="168"/>
        <v>0</v>
      </c>
      <c r="AV192" s="36">
        <f t="shared" si="169"/>
        <v>0</v>
      </c>
      <c r="AW192" s="36">
        <f t="shared" si="170"/>
        <v>0</v>
      </c>
      <c r="AX192" s="57" t="s">
        <v>801</v>
      </c>
      <c r="AY192" s="57" t="s">
        <v>823</v>
      </c>
      <c r="AZ192" s="54" t="s">
        <v>836</v>
      </c>
      <c r="BB192" s="36">
        <f t="shared" si="171"/>
        <v>0</v>
      </c>
      <c r="BC192" s="36">
        <f t="shared" si="172"/>
        <v>0</v>
      </c>
      <c r="BD192" s="36">
        <v>0</v>
      </c>
      <c r="BE192" s="36">
        <f>192</f>
        <v>192</v>
      </c>
      <c r="BG192" s="50">
        <f t="shared" si="173"/>
        <v>0</v>
      </c>
      <c r="BH192" s="50">
        <f t="shared" si="174"/>
        <v>0</v>
      </c>
      <c r="BI192" s="50">
        <f t="shared" si="175"/>
        <v>0</v>
      </c>
    </row>
    <row r="193" spans="1:61" ht="12.75">
      <c r="A193" s="42" t="s">
        <v>254</v>
      </c>
      <c r="B193" s="42" t="s">
        <v>461</v>
      </c>
      <c r="C193" s="184" t="s">
        <v>688</v>
      </c>
      <c r="D193" s="180"/>
      <c r="E193" s="180"/>
      <c r="F193" s="42" t="s">
        <v>749</v>
      </c>
      <c r="G193" s="50">
        <v>4</v>
      </c>
      <c r="H193" s="50">
        <v>0</v>
      </c>
      <c r="I193" s="50">
        <f t="shared" si="154"/>
        <v>0</v>
      </c>
      <c r="J193" s="50">
        <f t="shared" si="155"/>
        <v>0</v>
      </c>
      <c r="K193" s="50">
        <f t="shared" si="156"/>
        <v>0</v>
      </c>
      <c r="Y193" s="36">
        <f t="shared" si="157"/>
        <v>0</v>
      </c>
      <c r="AA193" s="36">
        <f t="shared" si="158"/>
        <v>0</v>
      </c>
      <c r="AB193" s="36">
        <f t="shared" si="159"/>
        <v>0</v>
      </c>
      <c r="AC193" s="36">
        <f t="shared" si="160"/>
        <v>0</v>
      </c>
      <c r="AD193" s="36">
        <f t="shared" si="161"/>
        <v>0</v>
      </c>
      <c r="AE193" s="36">
        <f t="shared" si="162"/>
        <v>0</v>
      </c>
      <c r="AF193" s="36">
        <f t="shared" si="163"/>
        <v>0</v>
      </c>
      <c r="AG193" s="36">
        <f t="shared" si="164"/>
        <v>0</v>
      </c>
      <c r="AH193" s="54" t="s">
        <v>72</v>
      </c>
      <c r="AI193" s="50">
        <f t="shared" si="165"/>
        <v>0</v>
      </c>
      <c r="AJ193" s="50">
        <f t="shared" si="166"/>
        <v>0</v>
      </c>
      <c r="AK193" s="50">
        <f t="shared" si="167"/>
        <v>0</v>
      </c>
      <c r="AM193" s="36">
        <v>21</v>
      </c>
      <c r="AN193" s="36">
        <f>H193*0</f>
        <v>0</v>
      </c>
      <c r="AO193" s="36">
        <f>H193*(1-0)</f>
        <v>0</v>
      </c>
      <c r="AP193" s="55" t="s">
        <v>121</v>
      </c>
      <c r="AU193" s="36">
        <f t="shared" si="168"/>
        <v>0</v>
      </c>
      <c r="AV193" s="36">
        <f t="shared" si="169"/>
        <v>0</v>
      </c>
      <c r="AW193" s="36">
        <f t="shared" si="170"/>
        <v>0</v>
      </c>
      <c r="AX193" s="57" t="s">
        <v>801</v>
      </c>
      <c r="AY193" s="57" t="s">
        <v>823</v>
      </c>
      <c r="AZ193" s="54" t="s">
        <v>836</v>
      </c>
      <c r="BB193" s="36">
        <f t="shared" si="171"/>
        <v>0</v>
      </c>
      <c r="BC193" s="36">
        <f t="shared" si="172"/>
        <v>0</v>
      </c>
      <c r="BD193" s="36">
        <v>0</v>
      </c>
      <c r="BE193" s="36">
        <f>193</f>
        <v>193</v>
      </c>
      <c r="BG193" s="50">
        <f t="shared" si="173"/>
        <v>0</v>
      </c>
      <c r="BH193" s="50">
        <f t="shared" si="174"/>
        <v>0</v>
      </c>
      <c r="BI193" s="50">
        <f t="shared" si="175"/>
        <v>0</v>
      </c>
    </row>
    <row r="194" spans="1:61" ht="12.75">
      <c r="A194" s="42" t="s">
        <v>255</v>
      </c>
      <c r="B194" s="42" t="s">
        <v>462</v>
      </c>
      <c r="C194" s="184" t="s">
        <v>689</v>
      </c>
      <c r="D194" s="180"/>
      <c r="E194" s="180"/>
      <c r="F194" s="42" t="s">
        <v>752</v>
      </c>
      <c r="G194" s="50">
        <v>22</v>
      </c>
      <c r="H194" s="50">
        <v>0</v>
      </c>
      <c r="I194" s="50">
        <f t="shared" si="154"/>
        <v>0</v>
      </c>
      <c r="J194" s="50">
        <f t="shared" si="155"/>
        <v>0</v>
      </c>
      <c r="K194" s="50">
        <f t="shared" si="156"/>
        <v>0</v>
      </c>
      <c r="Y194" s="36">
        <f t="shared" si="157"/>
        <v>0</v>
      </c>
      <c r="AA194" s="36">
        <f t="shared" si="158"/>
        <v>0</v>
      </c>
      <c r="AB194" s="36">
        <f t="shared" si="159"/>
        <v>0</v>
      </c>
      <c r="AC194" s="36">
        <f t="shared" si="160"/>
        <v>0</v>
      </c>
      <c r="AD194" s="36">
        <f t="shared" si="161"/>
        <v>0</v>
      </c>
      <c r="AE194" s="36">
        <f t="shared" si="162"/>
        <v>0</v>
      </c>
      <c r="AF194" s="36">
        <f t="shared" si="163"/>
        <v>0</v>
      </c>
      <c r="AG194" s="36">
        <f t="shared" si="164"/>
        <v>0</v>
      </c>
      <c r="AH194" s="54" t="s">
        <v>72</v>
      </c>
      <c r="AI194" s="50">
        <f t="shared" si="165"/>
        <v>0</v>
      </c>
      <c r="AJ194" s="50">
        <f t="shared" si="166"/>
        <v>0</v>
      </c>
      <c r="AK194" s="50">
        <f t="shared" si="167"/>
        <v>0</v>
      </c>
      <c r="AM194" s="36">
        <v>21</v>
      </c>
      <c r="AN194" s="36">
        <f>H194*0.0254129606099111</f>
        <v>0</v>
      </c>
      <c r="AO194" s="36">
        <f>H194*(1-0.0254129606099111)</f>
        <v>0</v>
      </c>
      <c r="AP194" s="55" t="s">
        <v>121</v>
      </c>
      <c r="AU194" s="36">
        <f t="shared" si="168"/>
        <v>0</v>
      </c>
      <c r="AV194" s="36">
        <f t="shared" si="169"/>
        <v>0</v>
      </c>
      <c r="AW194" s="36">
        <f t="shared" si="170"/>
        <v>0</v>
      </c>
      <c r="AX194" s="57" t="s">
        <v>801</v>
      </c>
      <c r="AY194" s="57" t="s">
        <v>823</v>
      </c>
      <c r="AZ194" s="54" t="s">
        <v>836</v>
      </c>
      <c r="BB194" s="36">
        <f t="shared" si="171"/>
        <v>0</v>
      </c>
      <c r="BC194" s="36">
        <f t="shared" si="172"/>
        <v>0</v>
      </c>
      <c r="BD194" s="36">
        <v>0</v>
      </c>
      <c r="BE194" s="36">
        <f>194</f>
        <v>194</v>
      </c>
      <c r="BG194" s="50">
        <f t="shared" si="173"/>
        <v>0</v>
      </c>
      <c r="BH194" s="50">
        <f t="shared" si="174"/>
        <v>0</v>
      </c>
      <c r="BI194" s="50">
        <f t="shared" si="175"/>
        <v>0</v>
      </c>
    </row>
    <row r="195" spans="1:61" ht="12.75">
      <c r="A195" s="42" t="s">
        <v>256</v>
      </c>
      <c r="B195" s="42" t="s">
        <v>463</v>
      </c>
      <c r="C195" s="184" t="s">
        <v>690</v>
      </c>
      <c r="D195" s="180"/>
      <c r="E195" s="180"/>
      <c r="F195" s="42" t="s">
        <v>751</v>
      </c>
      <c r="G195" s="50">
        <v>0.04</v>
      </c>
      <c r="H195" s="50">
        <v>0</v>
      </c>
      <c r="I195" s="50">
        <f t="shared" si="154"/>
        <v>0</v>
      </c>
      <c r="J195" s="50">
        <f t="shared" si="155"/>
        <v>0</v>
      </c>
      <c r="K195" s="50">
        <f t="shared" si="156"/>
        <v>0</v>
      </c>
      <c r="Y195" s="36">
        <f t="shared" si="157"/>
        <v>0</v>
      </c>
      <c r="AA195" s="36">
        <f t="shared" si="158"/>
        <v>0</v>
      </c>
      <c r="AB195" s="36">
        <f t="shared" si="159"/>
        <v>0</v>
      </c>
      <c r="AC195" s="36">
        <f t="shared" si="160"/>
        <v>0</v>
      </c>
      <c r="AD195" s="36">
        <f t="shared" si="161"/>
        <v>0</v>
      </c>
      <c r="AE195" s="36">
        <f t="shared" si="162"/>
        <v>0</v>
      </c>
      <c r="AF195" s="36">
        <f t="shared" si="163"/>
        <v>0</v>
      </c>
      <c r="AG195" s="36">
        <f t="shared" si="164"/>
        <v>0</v>
      </c>
      <c r="AH195" s="54" t="s">
        <v>72</v>
      </c>
      <c r="AI195" s="50">
        <f t="shared" si="165"/>
        <v>0</v>
      </c>
      <c r="AJ195" s="50">
        <f t="shared" si="166"/>
        <v>0</v>
      </c>
      <c r="AK195" s="50">
        <f t="shared" si="167"/>
        <v>0</v>
      </c>
      <c r="AM195" s="36">
        <v>21</v>
      </c>
      <c r="AN195" s="36">
        <f>H195*0</f>
        <v>0</v>
      </c>
      <c r="AO195" s="36">
        <f>H195*(1-0)</f>
        <v>0</v>
      </c>
      <c r="AP195" s="55" t="s">
        <v>103</v>
      </c>
      <c r="AU195" s="36">
        <f t="shared" si="168"/>
        <v>0</v>
      </c>
      <c r="AV195" s="36">
        <f t="shared" si="169"/>
        <v>0</v>
      </c>
      <c r="AW195" s="36">
        <f t="shared" si="170"/>
        <v>0</v>
      </c>
      <c r="AX195" s="57" t="s">
        <v>801</v>
      </c>
      <c r="AY195" s="57" t="s">
        <v>823</v>
      </c>
      <c r="AZ195" s="54" t="s">
        <v>836</v>
      </c>
      <c r="BB195" s="36">
        <f t="shared" si="171"/>
        <v>0</v>
      </c>
      <c r="BC195" s="36">
        <f t="shared" si="172"/>
        <v>0</v>
      </c>
      <c r="BD195" s="36">
        <v>0</v>
      </c>
      <c r="BE195" s="36">
        <f>195</f>
        <v>195</v>
      </c>
      <c r="BG195" s="50">
        <f t="shared" si="173"/>
        <v>0</v>
      </c>
      <c r="BH195" s="50">
        <f t="shared" si="174"/>
        <v>0</v>
      </c>
      <c r="BI195" s="50">
        <f t="shared" si="175"/>
        <v>0</v>
      </c>
    </row>
    <row r="196" spans="1:46" ht="12.75">
      <c r="A196" s="41"/>
      <c r="B196" s="47" t="s">
        <v>450</v>
      </c>
      <c r="C196" s="191" t="s">
        <v>677</v>
      </c>
      <c r="D196" s="177"/>
      <c r="E196" s="177"/>
      <c r="F196" s="41" t="s">
        <v>68</v>
      </c>
      <c r="G196" s="41" t="s">
        <v>68</v>
      </c>
      <c r="H196" s="41" t="s">
        <v>68</v>
      </c>
      <c r="I196" s="58">
        <f>SUM(I197:I197)</f>
        <v>0</v>
      </c>
      <c r="J196" s="58">
        <f>SUM(J197:J197)</f>
        <v>0</v>
      </c>
      <c r="K196" s="58">
        <f>SUM(K197:K197)</f>
        <v>0</v>
      </c>
      <c r="AH196" s="54" t="s">
        <v>72</v>
      </c>
      <c r="AR196" s="58">
        <f>SUM(AI197:AI197)</f>
        <v>0</v>
      </c>
      <c r="AS196" s="58">
        <f>SUM(AJ197:AJ197)</f>
        <v>0</v>
      </c>
      <c r="AT196" s="58">
        <f>SUM(AK197:AK197)</f>
        <v>0</v>
      </c>
    </row>
    <row r="197" spans="1:61" ht="12.75">
      <c r="A197" s="42" t="s">
        <v>257</v>
      </c>
      <c r="B197" s="42" t="s">
        <v>451</v>
      </c>
      <c r="C197" s="184" t="s">
        <v>678</v>
      </c>
      <c r="D197" s="180"/>
      <c r="E197" s="180"/>
      <c r="F197" s="42" t="s">
        <v>65</v>
      </c>
      <c r="G197" s="50">
        <v>828.31</v>
      </c>
      <c r="H197" s="50">
        <v>0</v>
      </c>
      <c r="I197" s="50">
        <f>G197*AN197</f>
        <v>0</v>
      </c>
      <c r="J197" s="50">
        <f>G197*AO197</f>
        <v>0</v>
      </c>
      <c r="K197" s="50">
        <f>G197*H197</f>
        <v>0</v>
      </c>
      <c r="Y197" s="36">
        <f>IF(AP197="5",BI197,0)</f>
        <v>0</v>
      </c>
      <c r="AA197" s="36">
        <f>IF(AP197="1",BG197,0)</f>
        <v>0</v>
      </c>
      <c r="AB197" s="36">
        <f>IF(AP197="1",BH197,0)</f>
        <v>0</v>
      </c>
      <c r="AC197" s="36">
        <f>IF(AP197="7",BG197,0)</f>
        <v>0</v>
      </c>
      <c r="AD197" s="36">
        <f>IF(AP197="7",BH197,0)</f>
        <v>0</v>
      </c>
      <c r="AE197" s="36">
        <f>IF(AP197="2",BG197,0)</f>
        <v>0</v>
      </c>
      <c r="AF197" s="36">
        <f>IF(AP197="2",BH197,0)</f>
        <v>0</v>
      </c>
      <c r="AG197" s="36">
        <f>IF(AP197="0",BI197,0)</f>
        <v>0</v>
      </c>
      <c r="AH197" s="54" t="s">
        <v>72</v>
      </c>
      <c r="AI197" s="50">
        <f>IF(AM197=0,K197,0)</f>
        <v>0</v>
      </c>
      <c r="AJ197" s="50">
        <f>IF(AM197=15,K197,0)</f>
        <v>0</v>
      </c>
      <c r="AK197" s="50">
        <f>IF(AM197=21,K197,0)</f>
        <v>0</v>
      </c>
      <c r="AM197" s="36">
        <v>21</v>
      </c>
      <c r="AN197" s="36">
        <f>H197*0</f>
        <v>0</v>
      </c>
      <c r="AO197" s="36">
        <f>H197*(1-0)</f>
        <v>0</v>
      </c>
      <c r="AP197" s="55" t="s">
        <v>93</v>
      </c>
      <c r="AU197" s="36">
        <f>AV197+AW197</f>
        <v>0</v>
      </c>
      <c r="AV197" s="36">
        <f>G197*AN197</f>
        <v>0</v>
      </c>
      <c r="AW197" s="36">
        <f>G197*AO197</f>
        <v>0</v>
      </c>
      <c r="AX197" s="57" t="s">
        <v>799</v>
      </c>
      <c r="AY197" s="57" t="s">
        <v>824</v>
      </c>
      <c r="AZ197" s="54" t="s">
        <v>836</v>
      </c>
      <c r="BB197" s="36">
        <f>AV197+AW197</f>
        <v>0</v>
      </c>
      <c r="BC197" s="36">
        <f>H197/(100-BD197)*100</f>
        <v>0</v>
      </c>
      <c r="BD197" s="36">
        <v>0</v>
      </c>
      <c r="BE197" s="36">
        <f>197</f>
        <v>197</v>
      </c>
      <c r="BG197" s="50">
        <f>G197*AN197</f>
        <v>0</v>
      </c>
      <c r="BH197" s="50">
        <f>G197*AO197</f>
        <v>0</v>
      </c>
      <c r="BI197" s="50">
        <f>G197*H197</f>
        <v>0</v>
      </c>
    </row>
    <row r="198" spans="1:46" ht="12.75">
      <c r="A198" s="41"/>
      <c r="B198" s="47" t="s">
        <v>452</v>
      </c>
      <c r="C198" s="191" t="s">
        <v>679</v>
      </c>
      <c r="D198" s="177"/>
      <c r="E198" s="177"/>
      <c r="F198" s="41" t="s">
        <v>68</v>
      </c>
      <c r="G198" s="41" t="s">
        <v>68</v>
      </c>
      <c r="H198" s="41" t="s">
        <v>68</v>
      </c>
      <c r="I198" s="58">
        <f>SUM(I199:I199)</f>
        <v>0</v>
      </c>
      <c r="J198" s="58">
        <f>SUM(J199:J199)</f>
        <v>0</v>
      </c>
      <c r="K198" s="58">
        <f>SUM(K199:K199)</f>
        <v>0</v>
      </c>
      <c r="AH198" s="54" t="s">
        <v>72</v>
      </c>
      <c r="AR198" s="58">
        <f>SUM(AI199:AI199)</f>
        <v>0</v>
      </c>
      <c r="AS198" s="58">
        <f>SUM(AJ199:AJ199)</f>
        <v>0</v>
      </c>
      <c r="AT198" s="58">
        <f>SUM(AK199:AK199)</f>
        <v>0</v>
      </c>
    </row>
    <row r="199" spans="1:61" ht="12.75">
      <c r="A199" s="42" t="s">
        <v>258</v>
      </c>
      <c r="B199" s="42" t="s">
        <v>464</v>
      </c>
      <c r="C199" s="184" t="s">
        <v>691</v>
      </c>
      <c r="D199" s="180"/>
      <c r="E199" s="180"/>
      <c r="F199" s="42" t="s">
        <v>754</v>
      </c>
      <c r="G199" s="50">
        <v>1</v>
      </c>
      <c r="H199" s="50">
        <v>0</v>
      </c>
      <c r="I199" s="50">
        <f>G199*AN199</f>
        <v>0</v>
      </c>
      <c r="J199" s="50">
        <f>G199*AO199</f>
        <v>0</v>
      </c>
      <c r="K199" s="50">
        <f>G199*H199</f>
        <v>0</v>
      </c>
      <c r="Y199" s="36">
        <f>IF(AP199="5",BI199,0)</f>
        <v>0</v>
      </c>
      <c r="AA199" s="36">
        <f>IF(AP199="1",BG199,0)</f>
        <v>0</v>
      </c>
      <c r="AB199" s="36">
        <f>IF(AP199="1",BH199,0)</f>
        <v>0</v>
      </c>
      <c r="AC199" s="36">
        <f>IF(AP199="7",BG199,0)</f>
        <v>0</v>
      </c>
      <c r="AD199" s="36">
        <f>IF(AP199="7",BH199,0)</f>
        <v>0</v>
      </c>
      <c r="AE199" s="36">
        <f>IF(AP199="2",BG199,0)</f>
        <v>0</v>
      </c>
      <c r="AF199" s="36">
        <f>IF(AP199="2",BH199,0)</f>
        <v>0</v>
      </c>
      <c r="AG199" s="36">
        <f>IF(AP199="0",BI199,0)</f>
        <v>0</v>
      </c>
      <c r="AH199" s="54" t="s">
        <v>72</v>
      </c>
      <c r="AI199" s="50">
        <f>IF(AM199=0,K199,0)</f>
        <v>0</v>
      </c>
      <c r="AJ199" s="50">
        <f>IF(AM199=15,K199,0)</f>
        <v>0</v>
      </c>
      <c r="AK199" s="50">
        <f>IF(AM199=21,K199,0)</f>
        <v>0</v>
      </c>
      <c r="AM199" s="36">
        <v>21</v>
      </c>
      <c r="AN199" s="36">
        <f>H199*0</f>
        <v>0</v>
      </c>
      <c r="AO199" s="36">
        <f>H199*(1-0)</f>
        <v>0</v>
      </c>
      <c r="AP199" s="55" t="s">
        <v>93</v>
      </c>
      <c r="AU199" s="36">
        <f>AV199+AW199</f>
        <v>0</v>
      </c>
      <c r="AV199" s="36">
        <f>G199*AN199</f>
        <v>0</v>
      </c>
      <c r="AW199" s="36">
        <f>G199*AO199</f>
        <v>0</v>
      </c>
      <c r="AX199" s="57" t="s">
        <v>800</v>
      </c>
      <c r="AY199" s="57" t="s">
        <v>824</v>
      </c>
      <c r="AZ199" s="54" t="s">
        <v>836</v>
      </c>
      <c r="BB199" s="36">
        <f>AV199+AW199</f>
        <v>0</v>
      </c>
      <c r="BC199" s="36">
        <f>H199/(100-BD199)*100</f>
        <v>0</v>
      </c>
      <c r="BD199" s="36">
        <v>0</v>
      </c>
      <c r="BE199" s="36">
        <f>199</f>
        <v>199</v>
      </c>
      <c r="BG199" s="50">
        <f>G199*AN199</f>
        <v>0</v>
      </c>
      <c r="BH199" s="50">
        <f>G199*AO199</f>
        <v>0</v>
      </c>
      <c r="BI199" s="50">
        <f>G199*H199</f>
        <v>0</v>
      </c>
    </row>
    <row r="200" spans="1:46" ht="12.75">
      <c r="A200" s="41"/>
      <c r="B200" s="47"/>
      <c r="C200" s="191" t="s">
        <v>10</v>
      </c>
      <c r="D200" s="177"/>
      <c r="E200" s="177"/>
      <c r="F200" s="41" t="s">
        <v>68</v>
      </c>
      <c r="G200" s="41" t="s">
        <v>68</v>
      </c>
      <c r="H200" s="41" t="s">
        <v>68</v>
      </c>
      <c r="I200" s="58">
        <f>SUM(I201:I209)</f>
        <v>0</v>
      </c>
      <c r="J200" s="58">
        <f>SUM(J201:J209)</f>
        <v>0</v>
      </c>
      <c r="K200" s="58">
        <f>SUM(K201:K209)</f>
        <v>0</v>
      </c>
      <c r="AH200" s="54" t="s">
        <v>72</v>
      </c>
      <c r="AR200" s="58">
        <f>SUM(AI201:AI209)</f>
        <v>0</v>
      </c>
      <c r="AS200" s="58">
        <f>SUM(AJ201:AJ209)</f>
        <v>0</v>
      </c>
      <c r="AT200" s="58">
        <f>SUM(AK201:AK209)</f>
        <v>0</v>
      </c>
    </row>
    <row r="201" spans="1:61" ht="12.75">
      <c r="A201" s="43" t="s">
        <v>259</v>
      </c>
      <c r="B201" s="43" t="s">
        <v>465</v>
      </c>
      <c r="C201" s="185" t="s">
        <v>692</v>
      </c>
      <c r="D201" s="186"/>
      <c r="E201" s="186"/>
      <c r="F201" s="43" t="s">
        <v>749</v>
      </c>
      <c r="G201" s="51">
        <v>11</v>
      </c>
      <c r="H201" s="51">
        <v>0</v>
      </c>
      <c r="I201" s="51">
        <f aca="true" t="shared" si="176" ref="I201:I209">G201*AN201</f>
        <v>0</v>
      </c>
      <c r="J201" s="51">
        <f aca="true" t="shared" si="177" ref="J201:J209">G201*AO201</f>
        <v>0</v>
      </c>
      <c r="K201" s="51">
        <f aca="true" t="shared" si="178" ref="K201:K209">G201*H201</f>
        <v>0</v>
      </c>
      <c r="Y201" s="36">
        <f aca="true" t="shared" si="179" ref="Y201:Y209">IF(AP201="5",BI201,0)</f>
        <v>0</v>
      </c>
      <c r="AA201" s="36">
        <f aca="true" t="shared" si="180" ref="AA201:AA209">IF(AP201="1",BG201,0)</f>
        <v>0</v>
      </c>
      <c r="AB201" s="36">
        <f aca="true" t="shared" si="181" ref="AB201:AB209">IF(AP201="1",BH201,0)</f>
        <v>0</v>
      </c>
      <c r="AC201" s="36">
        <f aca="true" t="shared" si="182" ref="AC201:AC209">IF(AP201="7",BG201,0)</f>
        <v>0</v>
      </c>
      <c r="AD201" s="36">
        <f aca="true" t="shared" si="183" ref="AD201:AD209">IF(AP201="7",BH201,0)</f>
        <v>0</v>
      </c>
      <c r="AE201" s="36">
        <f aca="true" t="shared" si="184" ref="AE201:AE209">IF(AP201="2",BG201,0)</f>
        <v>0</v>
      </c>
      <c r="AF201" s="36">
        <f aca="true" t="shared" si="185" ref="AF201:AF209">IF(AP201="2",BH201,0)</f>
        <v>0</v>
      </c>
      <c r="AG201" s="36">
        <f aca="true" t="shared" si="186" ref="AG201:AG209">IF(AP201="0",BI201,0)</f>
        <v>0</v>
      </c>
      <c r="AH201" s="54" t="s">
        <v>72</v>
      </c>
      <c r="AI201" s="51">
        <f aca="true" t="shared" si="187" ref="AI201:AI209">IF(AM201=0,K201,0)</f>
        <v>0</v>
      </c>
      <c r="AJ201" s="51">
        <f aca="true" t="shared" si="188" ref="AJ201:AJ209">IF(AM201=15,K201,0)</f>
        <v>0</v>
      </c>
      <c r="AK201" s="51">
        <f aca="true" t="shared" si="189" ref="AK201:AK209">IF(AM201=21,K201,0)</f>
        <v>0</v>
      </c>
      <c r="AM201" s="36">
        <v>21</v>
      </c>
      <c r="AN201" s="36">
        <f aca="true" t="shared" si="190" ref="AN201:AN209">H201*1</f>
        <v>0</v>
      </c>
      <c r="AO201" s="36">
        <f aca="true" t="shared" si="191" ref="AO201:AO209">H201*(1-1)</f>
        <v>0</v>
      </c>
      <c r="AP201" s="56" t="s">
        <v>769</v>
      </c>
      <c r="AU201" s="36">
        <f aca="true" t="shared" si="192" ref="AU201:AU209">AV201+AW201</f>
        <v>0</v>
      </c>
      <c r="AV201" s="36">
        <f aca="true" t="shared" si="193" ref="AV201:AV209">G201*AN201</f>
        <v>0</v>
      </c>
      <c r="AW201" s="36">
        <f aca="true" t="shared" si="194" ref="AW201:AW209">G201*AO201</f>
        <v>0</v>
      </c>
      <c r="AX201" s="57" t="s">
        <v>802</v>
      </c>
      <c r="AY201" s="57" t="s">
        <v>825</v>
      </c>
      <c r="AZ201" s="54" t="s">
        <v>836</v>
      </c>
      <c r="BB201" s="36">
        <f aca="true" t="shared" si="195" ref="BB201:BB209">AV201+AW201</f>
        <v>0</v>
      </c>
      <c r="BC201" s="36">
        <f aca="true" t="shared" si="196" ref="BC201:BC209">H201/(100-BD201)*100</f>
        <v>0</v>
      </c>
      <c r="BD201" s="36">
        <v>0</v>
      </c>
      <c r="BE201" s="36">
        <f>201</f>
        <v>201</v>
      </c>
      <c r="BG201" s="51">
        <f aca="true" t="shared" si="197" ref="BG201:BG209">G201*AN201</f>
        <v>0</v>
      </c>
      <c r="BH201" s="51">
        <f aca="true" t="shared" si="198" ref="BH201:BH209">G201*AO201</f>
        <v>0</v>
      </c>
      <c r="BI201" s="51">
        <f aca="true" t="shared" si="199" ref="BI201:BI209">G201*H201</f>
        <v>0</v>
      </c>
    </row>
    <row r="202" spans="1:61" ht="12.75">
      <c r="A202" s="43" t="s">
        <v>260</v>
      </c>
      <c r="B202" s="43" t="s">
        <v>466</v>
      </c>
      <c r="C202" s="185" t="s">
        <v>693</v>
      </c>
      <c r="D202" s="186"/>
      <c r="E202" s="186"/>
      <c r="F202" s="43" t="s">
        <v>749</v>
      </c>
      <c r="G202" s="51">
        <v>4</v>
      </c>
      <c r="H202" s="51">
        <v>0</v>
      </c>
      <c r="I202" s="51">
        <f t="shared" si="176"/>
        <v>0</v>
      </c>
      <c r="J202" s="51">
        <f t="shared" si="177"/>
        <v>0</v>
      </c>
      <c r="K202" s="51">
        <f t="shared" si="178"/>
        <v>0</v>
      </c>
      <c r="Y202" s="36">
        <f t="shared" si="179"/>
        <v>0</v>
      </c>
      <c r="AA202" s="36">
        <f t="shared" si="180"/>
        <v>0</v>
      </c>
      <c r="AB202" s="36">
        <f t="shared" si="181"/>
        <v>0</v>
      </c>
      <c r="AC202" s="36">
        <f t="shared" si="182"/>
        <v>0</v>
      </c>
      <c r="AD202" s="36">
        <f t="shared" si="183"/>
        <v>0</v>
      </c>
      <c r="AE202" s="36">
        <f t="shared" si="184"/>
        <v>0</v>
      </c>
      <c r="AF202" s="36">
        <f t="shared" si="185"/>
        <v>0</v>
      </c>
      <c r="AG202" s="36">
        <f t="shared" si="186"/>
        <v>0</v>
      </c>
      <c r="AH202" s="54" t="s">
        <v>72</v>
      </c>
      <c r="AI202" s="51">
        <f t="shared" si="187"/>
        <v>0</v>
      </c>
      <c r="AJ202" s="51">
        <f t="shared" si="188"/>
        <v>0</v>
      </c>
      <c r="AK202" s="51">
        <f t="shared" si="189"/>
        <v>0</v>
      </c>
      <c r="AM202" s="36">
        <v>21</v>
      </c>
      <c r="AN202" s="36">
        <f t="shared" si="190"/>
        <v>0</v>
      </c>
      <c r="AO202" s="36">
        <f t="shared" si="191"/>
        <v>0</v>
      </c>
      <c r="AP202" s="56" t="s">
        <v>769</v>
      </c>
      <c r="AU202" s="36">
        <f t="shared" si="192"/>
        <v>0</v>
      </c>
      <c r="AV202" s="36">
        <f t="shared" si="193"/>
        <v>0</v>
      </c>
      <c r="AW202" s="36">
        <f t="shared" si="194"/>
        <v>0</v>
      </c>
      <c r="AX202" s="57" t="s">
        <v>802</v>
      </c>
      <c r="AY202" s="57" t="s">
        <v>825</v>
      </c>
      <c r="AZ202" s="54" t="s">
        <v>836</v>
      </c>
      <c r="BB202" s="36">
        <f t="shared" si="195"/>
        <v>0</v>
      </c>
      <c r="BC202" s="36">
        <f t="shared" si="196"/>
        <v>0</v>
      </c>
      <c r="BD202" s="36">
        <v>0</v>
      </c>
      <c r="BE202" s="36">
        <f>202</f>
        <v>202</v>
      </c>
      <c r="BG202" s="51">
        <f t="shared" si="197"/>
        <v>0</v>
      </c>
      <c r="BH202" s="51">
        <f t="shared" si="198"/>
        <v>0</v>
      </c>
      <c r="BI202" s="51">
        <f t="shared" si="199"/>
        <v>0</v>
      </c>
    </row>
    <row r="203" spans="1:61" ht="12.75">
      <c r="A203" s="43" t="s">
        <v>261</v>
      </c>
      <c r="B203" s="43" t="s">
        <v>467</v>
      </c>
      <c r="C203" s="185" t="s">
        <v>694</v>
      </c>
      <c r="D203" s="186"/>
      <c r="E203" s="186"/>
      <c r="F203" s="43" t="s">
        <v>749</v>
      </c>
      <c r="G203" s="51">
        <v>11</v>
      </c>
      <c r="H203" s="51">
        <v>0</v>
      </c>
      <c r="I203" s="51">
        <f t="shared" si="176"/>
        <v>0</v>
      </c>
      <c r="J203" s="51">
        <f t="shared" si="177"/>
        <v>0</v>
      </c>
      <c r="K203" s="51">
        <f t="shared" si="178"/>
        <v>0</v>
      </c>
      <c r="Y203" s="36">
        <f t="shared" si="179"/>
        <v>0</v>
      </c>
      <c r="AA203" s="36">
        <f t="shared" si="180"/>
        <v>0</v>
      </c>
      <c r="AB203" s="36">
        <f t="shared" si="181"/>
        <v>0</v>
      </c>
      <c r="AC203" s="36">
        <f t="shared" si="182"/>
        <v>0</v>
      </c>
      <c r="AD203" s="36">
        <f t="shared" si="183"/>
        <v>0</v>
      </c>
      <c r="AE203" s="36">
        <f t="shared" si="184"/>
        <v>0</v>
      </c>
      <c r="AF203" s="36">
        <f t="shared" si="185"/>
        <v>0</v>
      </c>
      <c r="AG203" s="36">
        <f t="shared" si="186"/>
        <v>0</v>
      </c>
      <c r="AH203" s="54" t="s">
        <v>72</v>
      </c>
      <c r="AI203" s="51">
        <f t="shared" si="187"/>
        <v>0</v>
      </c>
      <c r="AJ203" s="51">
        <f t="shared" si="188"/>
        <v>0</v>
      </c>
      <c r="AK203" s="51">
        <f t="shared" si="189"/>
        <v>0</v>
      </c>
      <c r="AM203" s="36">
        <v>21</v>
      </c>
      <c r="AN203" s="36">
        <f t="shared" si="190"/>
        <v>0</v>
      </c>
      <c r="AO203" s="36">
        <f t="shared" si="191"/>
        <v>0</v>
      </c>
      <c r="AP203" s="56" t="s">
        <v>769</v>
      </c>
      <c r="AU203" s="36">
        <f t="shared" si="192"/>
        <v>0</v>
      </c>
      <c r="AV203" s="36">
        <f t="shared" si="193"/>
        <v>0</v>
      </c>
      <c r="AW203" s="36">
        <f t="shared" si="194"/>
        <v>0</v>
      </c>
      <c r="AX203" s="57" t="s">
        <v>802</v>
      </c>
      <c r="AY203" s="57" t="s">
        <v>825</v>
      </c>
      <c r="AZ203" s="54" t="s">
        <v>836</v>
      </c>
      <c r="BB203" s="36">
        <f t="shared" si="195"/>
        <v>0</v>
      </c>
      <c r="BC203" s="36">
        <f t="shared" si="196"/>
        <v>0</v>
      </c>
      <c r="BD203" s="36">
        <v>0</v>
      </c>
      <c r="BE203" s="36">
        <f>203</f>
        <v>203</v>
      </c>
      <c r="BG203" s="51">
        <f t="shared" si="197"/>
        <v>0</v>
      </c>
      <c r="BH203" s="51">
        <f t="shared" si="198"/>
        <v>0</v>
      </c>
      <c r="BI203" s="51">
        <f t="shared" si="199"/>
        <v>0</v>
      </c>
    </row>
    <row r="204" spans="1:61" ht="12.75">
      <c r="A204" s="43" t="s">
        <v>262</v>
      </c>
      <c r="B204" s="43" t="s">
        <v>468</v>
      </c>
      <c r="C204" s="185" t="s">
        <v>695</v>
      </c>
      <c r="D204" s="186"/>
      <c r="E204" s="186"/>
      <c r="F204" s="43" t="s">
        <v>749</v>
      </c>
      <c r="G204" s="51">
        <v>11</v>
      </c>
      <c r="H204" s="51">
        <v>0</v>
      </c>
      <c r="I204" s="51">
        <f t="shared" si="176"/>
        <v>0</v>
      </c>
      <c r="J204" s="51">
        <f t="shared" si="177"/>
        <v>0</v>
      </c>
      <c r="K204" s="51">
        <f t="shared" si="178"/>
        <v>0</v>
      </c>
      <c r="Y204" s="36">
        <f t="shared" si="179"/>
        <v>0</v>
      </c>
      <c r="AA204" s="36">
        <f t="shared" si="180"/>
        <v>0</v>
      </c>
      <c r="AB204" s="36">
        <f t="shared" si="181"/>
        <v>0</v>
      </c>
      <c r="AC204" s="36">
        <f t="shared" si="182"/>
        <v>0</v>
      </c>
      <c r="AD204" s="36">
        <f t="shared" si="183"/>
        <v>0</v>
      </c>
      <c r="AE204" s="36">
        <f t="shared" si="184"/>
        <v>0</v>
      </c>
      <c r="AF204" s="36">
        <f t="shared" si="185"/>
        <v>0</v>
      </c>
      <c r="AG204" s="36">
        <f t="shared" si="186"/>
        <v>0</v>
      </c>
      <c r="AH204" s="54" t="s">
        <v>72</v>
      </c>
      <c r="AI204" s="51">
        <f t="shared" si="187"/>
        <v>0</v>
      </c>
      <c r="AJ204" s="51">
        <f t="shared" si="188"/>
        <v>0</v>
      </c>
      <c r="AK204" s="51">
        <f t="shared" si="189"/>
        <v>0</v>
      </c>
      <c r="AM204" s="36">
        <v>21</v>
      </c>
      <c r="AN204" s="36">
        <f t="shared" si="190"/>
        <v>0</v>
      </c>
      <c r="AO204" s="36">
        <f t="shared" si="191"/>
        <v>0</v>
      </c>
      <c r="AP204" s="56" t="s">
        <v>769</v>
      </c>
      <c r="AU204" s="36">
        <f t="shared" si="192"/>
        <v>0</v>
      </c>
      <c r="AV204" s="36">
        <f t="shared" si="193"/>
        <v>0</v>
      </c>
      <c r="AW204" s="36">
        <f t="shared" si="194"/>
        <v>0</v>
      </c>
      <c r="AX204" s="57" t="s">
        <v>802</v>
      </c>
      <c r="AY204" s="57" t="s">
        <v>825</v>
      </c>
      <c r="AZ204" s="54" t="s">
        <v>836</v>
      </c>
      <c r="BB204" s="36">
        <f t="shared" si="195"/>
        <v>0</v>
      </c>
      <c r="BC204" s="36">
        <f t="shared" si="196"/>
        <v>0</v>
      </c>
      <c r="BD204" s="36">
        <v>0</v>
      </c>
      <c r="BE204" s="36">
        <f>204</f>
        <v>204</v>
      </c>
      <c r="BG204" s="51">
        <f t="shared" si="197"/>
        <v>0</v>
      </c>
      <c r="BH204" s="51">
        <f t="shared" si="198"/>
        <v>0</v>
      </c>
      <c r="BI204" s="51">
        <f t="shared" si="199"/>
        <v>0</v>
      </c>
    </row>
    <row r="205" spans="1:61" ht="12.75">
      <c r="A205" s="43" t="s">
        <v>263</v>
      </c>
      <c r="B205" s="43" t="s">
        <v>469</v>
      </c>
      <c r="C205" s="185" t="s">
        <v>696</v>
      </c>
      <c r="D205" s="186"/>
      <c r="E205" s="186"/>
      <c r="F205" s="43" t="s">
        <v>749</v>
      </c>
      <c r="G205" s="51">
        <v>5</v>
      </c>
      <c r="H205" s="51">
        <v>0</v>
      </c>
      <c r="I205" s="51">
        <f t="shared" si="176"/>
        <v>0</v>
      </c>
      <c r="J205" s="51">
        <f t="shared" si="177"/>
        <v>0</v>
      </c>
      <c r="K205" s="51">
        <f t="shared" si="178"/>
        <v>0</v>
      </c>
      <c r="Y205" s="36">
        <f t="shared" si="179"/>
        <v>0</v>
      </c>
      <c r="AA205" s="36">
        <f t="shared" si="180"/>
        <v>0</v>
      </c>
      <c r="AB205" s="36">
        <f t="shared" si="181"/>
        <v>0</v>
      </c>
      <c r="AC205" s="36">
        <f t="shared" si="182"/>
        <v>0</v>
      </c>
      <c r="AD205" s="36">
        <f t="shared" si="183"/>
        <v>0</v>
      </c>
      <c r="AE205" s="36">
        <f t="shared" si="184"/>
        <v>0</v>
      </c>
      <c r="AF205" s="36">
        <f t="shared" si="185"/>
        <v>0</v>
      </c>
      <c r="AG205" s="36">
        <f t="shared" si="186"/>
        <v>0</v>
      </c>
      <c r="AH205" s="54" t="s">
        <v>72</v>
      </c>
      <c r="AI205" s="51">
        <f t="shared" si="187"/>
        <v>0</v>
      </c>
      <c r="AJ205" s="51">
        <f t="shared" si="188"/>
        <v>0</v>
      </c>
      <c r="AK205" s="51">
        <f t="shared" si="189"/>
        <v>0</v>
      </c>
      <c r="AM205" s="36">
        <v>21</v>
      </c>
      <c r="AN205" s="36">
        <f t="shared" si="190"/>
        <v>0</v>
      </c>
      <c r="AO205" s="36">
        <f t="shared" si="191"/>
        <v>0</v>
      </c>
      <c r="AP205" s="56" t="s">
        <v>769</v>
      </c>
      <c r="AU205" s="36">
        <f t="shared" si="192"/>
        <v>0</v>
      </c>
      <c r="AV205" s="36">
        <f t="shared" si="193"/>
        <v>0</v>
      </c>
      <c r="AW205" s="36">
        <f t="shared" si="194"/>
        <v>0</v>
      </c>
      <c r="AX205" s="57" t="s">
        <v>802</v>
      </c>
      <c r="AY205" s="57" t="s">
        <v>825</v>
      </c>
      <c r="AZ205" s="54" t="s">
        <v>836</v>
      </c>
      <c r="BB205" s="36">
        <f t="shared" si="195"/>
        <v>0</v>
      </c>
      <c r="BC205" s="36">
        <f t="shared" si="196"/>
        <v>0</v>
      </c>
      <c r="BD205" s="36">
        <v>0</v>
      </c>
      <c r="BE205" s="36">
        <f>205</f>
        <v>205</v>
      </c>
      <c r="BG205" s="51">
        <f t="shared" si="197"/>
        <v>0</v>
      </c>
      <c r="BH205" s="51">
        <f t="shared" si="198"/>
        <v>0</v>
      </c>
      <c r="BI205" s="51">
        <f t="shared" si="199"/>
        <v>0</v>
      </c>
    </row>
    <row r="206" spans="1:61" ht="12.75">
      <c r="A206" s="43" t="s">
        <v>264</v>
      </c>
      <c r="B206" s="43" t="s">
        <v>470</v>
      </c>
      <c r="C206" s="185" t="s">
        <v>697</v>
      </c>
      <c r="D206" s="186"/>
      <c r="E206" s="186"/>
      <c r="F206" s="43" t="s">
        <v>749</v>
      </c>
      <c r="G206" s="51">
        <v>6</v>
      </c>
      <c r="H206" s="51">
        <v>0</v>
      </c>
      <c r="I206" s="51">
        <f t="shared" si="176"/>
        <v>0</v>
      </c>
      <c r="J206" s="51">
        <f t="shared" si="177"/>
        <v>0</v>
      </c>
      <c r="K206" s="51">
        <f t="shared" si="178"/>
        <v>0</v>
      </c>
      <c r="Y206" s="36">
        <f t="shared" si="179"/>
        <v>0</v>
      </c>
      <c r="AA206" s="36">
        <f t="shared" si="180"/>
        <v>0</v>
      </c>
      <c r="AB206" s="36">
        <f t="shared" si="181"/>
        <v>0</v>
      </c>
      <c r="AC206" s="36">
        <f t="shared" si="182"/>
        <v>0</v>
      </c>
      <c r="AD206" s="36">
        <f t="shared" si="183"/>
        <v>0</v>
      </c>
      <c r="AE206" s="36">
        <f t="shared" si="184"/>
        <v>0</v>
      </c>
      <c r="AF206" s="36">
        <f t="shared" si="185"/>
        <v>0</v>
      </c>
      <c r="AG206" s="36">
        <f t="shared" si="186"/>
        <v>0</v>
      </c>
      <c r="AH206" s="54" t="s">
        <v>72</v>
      </c>
      <c r="AI206" s="51">
        <f t="shared" si="187"/>
        <v>0</v>
      </c>
      <c r="AJ206" s="51">
        <f t="shared" si="188"/>
        <v>0</v>
      </c>
      <c r="AK206" s="51">
        <f t="shared" si="189"/>
        <v>0</v>
      </c>
      <c r="AM206" s="36">
        <v>21</v>
      </c>
      <c r="AN206" s="36">
        <f t="shared" si="190"/>
        <v>0</v>
      </c>
      <c r="AO206" s="36">
        <f t="shared" si="191"/>
        <v>0</v>
      </c>
      <c r="AP206" s="56" t="s">
        <v>769</v>
      </c>
      <c r="AU206" s="36">
        <f t="shared" si="192"/>
        <v>0</v>
      </c>
      <c r="AV206" s="36">
        <f t="shared" si="193"/>
        <v>0</v>
      </c>
      <c r="AW206" s="36">
        <f t="shared" si="194"/>
        <v>0</v>
      </c>
      <c r="AX206" s="57" t="s">
        <v>802</v>
      </c>
      <c r="AY206" s="57" t="s">
        <v>825</v>
      </c>
      <c r="AZ206" s="54" t="s">
        <v>836</v>
      </c>
      <c r="BB206" s="36">
        <f t="shared" si="195"/>
        <v>0</v>
      </c>
      <c r="BC206" s="36">
        <f t="shared" si="196"/>
        <v>0</v>
      </c>
      <c r="BD206" s="36">
        <v>0</v>
      </c>
      <c r="BE206" s="36">
        <f>206</f>
        <v>206</v>
      </c>
      <c r="BG206" s="51">
        <f t="shared" si="197"/>
        <v>0</v>
      </c>
      <c r="BH206" s="51">
        <f t="shared" si="198"/>
        <v>0</v>
      </c>
      <c r="BI206" s="51">
        <f t="shared" si="199"/>
        <v>0</v>
      </c>
    </row>
    <row r="207" spans="1:61" ht="12.75">
      <c r="A207" s="43" t="s">
        <v>265</v>
      </c>
      <c r="B207" s="43" t="s">
        <v>471</v>
      </c>
      <c r="C207" s="185" t="s">
        <v>698</v>
      </c>
      <c r="D207" s="186"/>
      <c r="E207" s="186"/>
      <c r="F207" s="43" t="s">
        <v>749</v>
      </c>
      <c r="G207" s="51">
        <v>6</v>
      </c>
      <c r="H207" s="51">
        <v>0</v>
      </c>
      <c r="I207" s="51">
        <f t="shared" si="176"/>
        <v>0</v>
      </c>
      <c r="J207" s="51">
        <f t="shared" si="177"/>
        <v>0</v>
      </c>
      <c r="K207" s="51">
        <f t="shared" si="178"/>
        <v>0</v>
      </c>
      <c r="Y207" s="36">
        <f t="shared" si="179"/>
        <v>0</v>
      </c>
      <c r="AA207" s="36">
        <f t="shared" si="180"/>
        <v>0</v>
      </c>
      <c r="AB207" s="36">
        <f t="shared" si="181"/>
        <v>0</v>
      </c>
      <c r="AC207" s="36">
        <f t="shared" si="182"/>
        <v>0</v>
      </c>
      <c r="AD207" s="36">
        <f t="shared" si="183"/>
        <v>0</v>
      </c>
      <c r="AE207" s="36">
        <f t="shared" si="184"/>
        <v>0</v>
      </c>
      <c r="AF207" s="36">
        <f t="shared" si="185"/>
        <v>0</v>
      </c>
      <c r="AG207" s="36">
        <f t="shared" si="186"/>
        <v>0</v>
      </c>
      <c r="AH207" s="54" t="s">
        <v>72</v>
      </c>
      <c r="AI207" s="51">
        <f t="shared" si="187"/>
        <v>0</v>
      </c>
      <c r="AJ207" s="51">
        <f t="shared" si="188"/>
        <v>0</v>
      </c>
      <c r="AK207" s="51">
        <f t="shared" si="189"/>
        <v>0</v>
      </c>
      <c r="AM207" s="36">
        <v>21</v>
      </c>
      <c r="AN207" s="36">
        <f t="shared" si="190"/>
        <v>0</v>
      </c>
      <c r="AO207" s="36">
        <f t="shared" si="191"/>
        <v>0</v>
      </c>
      <c r="AP207" s="56" t="s">
        <v>769</v>
      </c>
      <c r="AU207" s="36">
        <f t="shared" si="192"/>
        <v>0</v>
      </c>
      <c r="AV207" s="36">
        <f t="shared" si="193"/>
        <v>0</v>
      </c>
      <c r="AW207" s="36">
        <f t="shared" si="194"/>
        <v>0</v>
      </c>
      <c r="AX207" s="57" t="s">
        <v>802</v>
      </c>
      <c r="AY207" s="57" t="s">
        <v>825</v>
      </c>
      <c r="AZ207" s="54" t="s">
        <v>836</v>
      </c>
      <c r="BB207" s="36">
        <f t="shared" si="195"/>
        <v>0</v>
      </c>
      <c r="BC207" s="36">
        <f t="shared" si="196"/>
        <v>0</v>
      </c>
      <c r="BD207" s="36">
        <v>0</v>
      </c>
      <c r="BE207" s="36">
        <f>207</f>
        <v>207</v>
      </c>
      <c r="BG207" s="51">
        <f t="shared" si="197"/>
        <v>0</v>
      </c>
      <c r="BH207" s="51">
        <f t="shared" si="198"/>
        <v>0</v>
      </c>
      <c r="BI207" s="51">
        <f t="shared" si="199"/>
        <v>0</v>
      </c>
    </row>
    <row r="208" spans="1:61" ht="12.75">
      <c r="A208" s="43" t="s">
        <v>266</v>
      </c>
      <c r="B208" s="43" t="s">
        <v>472</v>
      </c>
      <c r="C208" s="185" t="s">
        <v>699</v>
      </c>
      <c r="D208" s="186"/>
      <c r="E208" s="186"/>
      <c r="F208" s="43" t="s">
        <v>749</v>
      </c>
      <c r="G208" s="51">
        <v>6</v>
      </c>
      <c r="H208" s="51">
        <v>0</v>
      </c>
      <c r="I208" s="51">
        <f t="shared" si="176"/>
        <v>0</v>
      </c>
      <c r="J208" s="51">
        <f t="shared" si="177"/>
        <v>0</v>
      </c>
      <c r="K208" s="51">
        <f t="shared" si="178"/>
        <v>0</v>
      </c>
      <c r="Y208" s="36">
        <f t="shared" si="179"/>
        <v>0</v>
      </c>
      <c r="AA208" s="36">
        <f t="shared" si="180"/>
        <v>0</v>
      </c>
      <c r="AB208" s="36">
        <f t="shared" si="181"/>
        <v>0</v>
      </c>
      <c r="AC208" s="36">
        <f t="shared" si="182"/>
        <v>0</v>
      </c>
      <c r="AD208" s="36">
        <f t="shared" si="183"/>
        <v>0</v>
      </c>
      <c r="AE208" s="36">
        <f t="shared" si="184"/>
        <v>0</v>
      </c>
      <c r="AF208" s="36">
        <f t="shared" si="185"/>
        <v>0</v>
      </c>
      <c r="AG208" s="36">
        <f t="shared" si="186"/>
        <v>0</v>
      </c>
      <c r="AH208" s="54" t="s">
        <v>72</v>
      </c>
      <c r="AI208" s="51">
        <f t="shared" si="187"/>
        <v>0</v>
      </c>
      <c r="AJ208" s="51">
        <f t="shared" si="188"/>
        <v>0</v>
      </c>
      <c r="AK208" s="51">
        <f t="shared" si="189"/>
        <v>0</v>
      </c>
      <c r="AM208" s="36">
        <v>21</v>
      </c>
      <c r="AN208" s="36">
        <f t="shared" si="190"/>
        <v>0</v>
      </c>
      <c r="AO208" s="36">
        <f t="shared" si="191"/>
        <v>0</v>
      </c>
      <c r="AP208" s="56" t="s">
        <v>769</v>
      </c>
      <c r="AU208" s="36">
        <f t="shared" si="192"/>
        <v>0</v>
      </c>
      <c r="AV208" s="36">
        <f t="shared" si="193"/>
        <v>0</v>
      </c>
      <c r="AW208" s="36">
        <f t="shared" si="194"/>
        <v>0</v>
      </c>
      <c r="AX208" s="57" t="s">
        <v>802</v>
      </c>
      <c r="AY208" s="57" t="s">
        <v>825</v>
      </c>
      <c r="AZ208" s="54" t="s">
        <v>836</v>
      </c>
      <c r="BB208" s="36">
        <f t="shared" si="195"/>
        <v>0</v>
      </c>
      <c r="BC208" s="36">
        <f t="shared" si="196"/>
        <v>0</v>
      </c>
      <c r="BD208" s="36">
        <v>0</v>
      </c>
      <c r="BE208" s="36">
        <f>208</f>
        <v>208</v>
      </c>
      <c r="BG208" s="51">
        <f t="shared" si="197"/>
        <v>0</v>
      </c>
      <c r="BH208" s="51">
        <f t="shared" si="198"/>
        <v>0</v>
      </c>
      <c r="BI208" s="51">
        <f t="shared" si="199"/>
        <v>0</v>
      </c>
    </row>
    <row r="209" spans="1:61" ht="12.75">
      <c r="A209" s="43" t="s">
        <v>267</v>
      </c>
      <c r="B209" s="43" t="s">
        <v>473</v>
      </c>
      <c r="C209" s="185" t="s">
        <v>700</v>
      </c>
      <c r="D209" s="186"/>
      <c r="E209" s="186"/>
      <c r="F209" s="43" t="s">
        <v>749</v>
      </c>
      <c r="G209" s="51">
        <v>5</v>
      </c>
      <c r="H209" s="51">
        <v>0</v>
      </c>
      <c r="I209" s="51">
        <f t="shared" si="176"/>
        <v>0</v>
      </c>
      <c r="J209" s="51">
        <f t="shared" si="177"/>
        <v>0</v>
      </c>
      <c r="K209" s="51">
        <f t="shared" si="178"/>
        <v>0</v>
      </c>
      <c r="Y209" s="36">
        <f t="shared" si="179"/>
        <v>0</v>
      </c>
      <c r="AA209" s="36">
        <f t="shared" si="180"/>
        <v>0</v>
      </c>
      <c r="AB209" s="36">
        <f t="shared" si="181"/>
        <v>0</v>
      </c>
      <c r="AC209" s="36">
        <f t="shared" si="182"/>
        <v>0</v>
      </c>
      <c r="AD209" s="36">
        <f t="shared" si="183"/>
        <v>0</v>
      </c>
      <c r="AE209" s="36">
        <f t="shared" si="184"/>
        <v>0</v>
      </c>
      <c r="AF209" s="36">
        <f t="shared" si="185"/>
        <v>0</v>
      </c>
      <c r="AG209" s="36">
        <f t="shared" si="186"/>
        <v>0</v>
      </c>
      <c r="AH209" s="54" t="s">
        <v>72</v>
      </c>
      <c r="AI209" s="51">
        <f t="shared" si="187"/>
        <v>0</v>
      </c>
      <c r="AJ209" s="51">
        <f t="shared" si="188"/>
        <v>0</v>
      </c>
      <c r="AK209" s="51">
        <f t="shared" si="189"/>
        <v>0</v>
      </c>
      <c r="AM209" s="36">
        <v>21</v>
      </c>
      <c r="AN209" s="36">
        <f t="shared" si="190"/>
        <v>0</v>
      </c>
      <c r="AO209" s="36">
        <f t="shared" si="191"/>
        <v>0</v>
      </c>
      <c r="AP209" s="56" t="s">
        <v>769</v>
      </c>
      <c r="AU209" s="36">
        <f t="shared" si="192"/>
        <v>0</v>
      </c>
      <c r="AV209" s="36">
        <f t="shared" si="193"/>
        <v>0</v>
      </c>
      <c r="AW209" s="36">
        <f t="shared" si="194"/>
        <v>0</v>
      </c>
      <c r="AX209" s="57" t="s">
        <v>802</v>
      </c>
      <c r="AY209" s="57" t="s">
        <v>825</v>
      </c>
      <c r="AZ209" s="54" t="s">
        <v>836</v>
      </c>
      <c r="BB209" s="36">
        <f t="shared" si="195"/>
        <v>0</v>
      </c>
      <c r="BC209" s="36">
        <f t="shared" si="196"/>
        <v>0</v>
      </c>
      <c r="BD209" s="36">
        <v>0</v>
      </c>
      <c r="BE209" s="36">
        <f>209</f>
        <v>209</v>
      </c>
      <c r="BG209" s="51">
        <f t="shared" si="197"/>
        <v>0</v>
      </c>
      <c r="BH209" s="51">
        <f t="shared" si="198"/>
        <v>0</v>
      </c>
      <c r="BI209" s="51">
        <f t="shared" si="199"/>
        <v>0</v>
      </c>
    </row>
    <row r="210" spans="1:11" ht="12.75">
      <c r="A210" s="44"/>
      <c r="B210" s="48"/>
      <c r="C210" s="195" t="s">
        <v>80</v>
      </c>
      <c r="D210" s="193"/>
      <c r="E210" s="193"/>
      <c r="F210" s="44" t="s">
        <v>68</v>
      </c>
      <c r="G210" s="44" t="s">
        <v>68</v>
      </c>
      <c r="H210" s="44" t="s">
        <v>68</v>
      </c>
      <c r="I210" s="59">
        <f>I211+I213+I217+I221</f>
        <v>0</v>
      </c>
      <c r="J210" s="59">
        <f>J211+J213+J217+J221</f>
        <v>0</v>
      </c>
      <c r="K210" s="59">
        <f>K211+K213+K217+K221</f>
        <v>0</v>
      </c>
    </row>
    <row r="211" spans="1:46" ht="12.75">
      <c r="A211" s="41"/>
      <c r="B211" s="47" t="s">
        <v>436</v>
      </c>
      <c r="C211" s="191" t="s">
        <v>663</v>
      </c>
      <c r="D211" s="177"/>
      <c r="E211" s="177"/>
      <c r="F211" s="41" t="s">
        <v>68</v>
      </c>
      <c r="G211" s="41" t="s">
        <v>68</v>
      </c>
      <c r="H211" s="41" t="s">
        <v>68</v>
      </c>
      <c r="I211" s="58">
        <f>SUM(I212:I212)</f>
        <v>0</v>
      </c>
      <c r="J211" s="58">
        <f>SUM(J212:J212)</f>
        <v>0</v>
      </c>
      <c r="K211" s="58">
        <f>SUM(K212:K212)</f>
        <v>0</v>
      </c>
      <c r="AH211" s="54" t="s">
        <v>73</v>
      </c>
      <c r="AR211" s="58">
        <f>SUM(AI212:AI212)</f>
        <v>0</v>
      </c>
      <c r="AS211" s="58">
        <f>SUM(AJ212:AJ212)</f>
        <v>0</v>
      </c>
      <c r="AT211" s="58">
        <f>SUM(AK212:AK212)</f>
        <v>0</v>
      </c>
    </row>
    <row r="212" spans="1:61" ht="12.75">
      <c r="A212" s="42" t="s">
        <v>268</v>
      </c>
      <c r="B212" s="42" t="s">
        <v>474</v>
      </c>
      <c r="C212" s="184" t="s">
        <v>701</v>
      </c>
      <c r="D212" s="180"/>
      <c r="E212" s="180"/>
      <c r="F212" s="42" t="s">
        <v>753</v>
      </c>
      <c r="G212" s="50">
        <v>4</v>
      </c>
      <c r="H212" s="50">
        <v>0</v>
      </c>
      <c r="I212" s="50">
        <f>G212*AN212</f>
        <v>0</v>
      </c>
      <c r="J212" s="50">
        <f>G212*AO212</f>
        <v>0</v>
      </c>
      <c r="K212" s="50">
        <f>G212*H212</f>
        <v>0</v>
      </c>
      <c r="Y212" s="36">
        <f>IF(AP212="5",BI212,0)</f>
        <v>0</v>
      </c>
      <c r="AA212" s="36">
        <f>IF(AP212="1",BG212,0)</f>
        <v>0</v>
      </c>
      <c r="AB212" s="36">
        <f>IF(AP212="1",BH212,0)</f>
        <v>0</v>
      </c>
      <c r="AC212" s="36">
        <f>IF(AP212="7",BG212,0)</f>
        <v>0</v>
      </c>
      <c r="AD212" s="36">
        <f>IF(AP212="7",BH212,0)</f>
        <v>0</v>
      </c>
      <c r="AE212" s="36">
        <f>IF(AP212="2",BG212,0)</f>
        <v>0</v>
      </c>
      <c r="AF212" s="36">
        <f>IF(AP212="2",BH212,0)</f>
        <v>0</v>
      </c>
      <c r="AG212" s="36">
        <f>IF(AP212="0",BI212,0)</f>
        <v>0</v>
      </c>
      <c r="AH212" s="54" t="s">
        <v>73</v>
      </c>
      <c r="AI212" s="50">
        <f>IF(AM212=0,K212,0)</f>
        <v>0</v>
      </c>
      <c r="AJ212" s="50">
        <f>IF(AM212=15,K212,0)</f>
        <v>0</v>
      </c>
      <c r="AK212" s="50">
        <f>IF(AM212=21,K212,0)</f>
        <v>0</v>
      </c>
      <c r="AM212" s="36">
        <v>21</v>
      </c>
      <c r="AN212" s="36">
        <f>H212*0.9166</f>
        <v>0</v>
      </c>
      <c r="AO212" s="36">
        <f>H212*(1-0.9166)</f>
        <v>0</v>
      </c>
      <c r="AP212" s="55" t="s">
        <v>121</v>
      </c>
      <c r="AU212" s="36">
        <f>AV212+AW212</f>
        <v>0</v>
      </c>
      <c r="AV212" s="36">
        <f>G212*AN212</f>
        <v>0</v>
      </c>
      <c r="AW212" s="36">
        <f>G212*AO212</f>
        <v>0</v>
      </c>
      <c r="AX212" s="57" t="s">
        <v>798</v>
      </c>
      <c r="AY212" s="57" t="s">
        <v>826</v>
      </c>
      <c r="AZ212" s="54" t="s">
        <v>837</v>
      </c>
      <c r="BB212" s="36">
        <f>AV212+AW212</f>
        <v>0</v>
      </c>
      <c r="BC212" s="36">
        <f>H212/(100-BD212)*100</f>
        <v>0</v>
      </c>
      <c r="BD212" s="36">
        <v>0</v>
      </c>
      <c r="BE212" s="36">
        <f>212</f>
        <v>212</v>
      </c>
      <c r="BG212" s="50">
        <f>G212*AN212</f>
        <v>0</v>
      </c>
      <c r="BH212" s="50">
        <f>G212*AO212</f>
        <v>0</v>
      </c>
      <c r="BI212" s="50">
        <f>G212*H212</f>
        <v>0</v>
      </c>
    </row>
    <row r="213" spans="1:46" ht="12.75">
      <c r="A213" s="41"/>
      <c r="B213" s="47" t="s">
        <v>450</v>
      </c>
      <c r="C213" s="191" t="s">
        <v>677</v>
      </c>
      <c r="D213" s="177"/>
      <c r="E213" s="177"/>
      <c r="F213" s="41" t="s">
        <v>68</v>
      </c>
      <c r="G213" s="41" t="s">
        <v>68</v>
      </c>
      <c r="H213" s="41" t="s">
        <v>68</v>
      </c>
      <c r="I213" s="58">
        <f>SUM(I214:I216)</f>
        <v>0</v>
      </c>
      <c r="J213" s="58">
        <f>SUM(J214:J216)</f>
        <v>0</v>
      </c>
      <c r="K213" s="58">
        <f>SUM(K214:K216)</f>
        <v>0</v>
      </c>
      <c r="AH213" s="54" t="s">
        <v>73</v>
      </c>
      <c r="AR213" s="58">
        <f>SUM(AI214:AI216)</f>
        <v>0</v>
      </c>
      <c r="AS213" s="58">
        <f>SUM(AJ214:AJ216)</f>
        <v>0</v>
      </c>
      <c r="AT213" s="58">
        <f>SUM(AK214:AK216)</f>
        <v>0</v>
      </c>
    </row>
    <row r="214" spans="1:61" ht="12.75">
      <c r="A214" s="42" t="s">
        <v>269</v>
      </c>
      <c r="B214" s="42" t="s">
        <v>475</v>
      </c>
      <c r="C214" s="184" t="s">
        <v>702</v>
      </c>
      <c r="D214" s="180"/>
      <c r="E214" s="180"/>
      <c r="F214" s="42" t="s">
        <v>65</v>
      </c>
      <c r="G214" s="50">
        <v>2469.5</v>
      </c>
      <c r="H214" s="50">
        <v>0</v>
      </c>
      <c r="I214" s="50">
        <f>G214*AN214</f>
        <v>0</v>
      </c>
      <c r="J214" s="50">
        <f>G214*AO214</f>
        <v>0</v>
      </c>
      <c r="K214" s="50">
        <f>G214*H214</f>
        <v>0</v>
      </c>
      <c r="Y214" s="36">
        <f>IF(AP214="5",BI214,0)</f>
        <v>0</v>
      </c>
      <c r="AA214" s="36">
        <f>IF(AP214="1",BG214,0)</f>
        <v>0</v>
      </c>
      <c r="AB214" s="36">
        <f>IF(AP214="1",BH214,0)</f>
        <v>0</v>
      </c>
      <c r="AC214" s="36">
        <f>IF(AP214="7",BG214,0)</f>
        <v>0</v>
      </c>
      <c r="AD214" s="36">
        <f>IF(AP214="7",BH214,0)</f>
        <v>0</v>
      </c>
      <c r="AE214" s="36">
        <f>IF(AP214="2",BG214,0)</f>
        <v>0</v>
      </c>
      <c r="AF214" s="36">
        <f>IF(AP214="2",BH214,0)</f>
        <v>0</v>
      </c>
      <c r="AG214" s="36">
        <f>IF(AP214="0",BI214,0)</f>
        <v>0</v>
      </c>
      <c r="AH214" s="54" t="s">
        <v>73</v>
      </c>
      <c r="AI214" s="50">
        <f>IF(AM214=0,K214,0)</f>
        <v>0</v>
      </c>
      <c r="AJ214" s="50">
        <f>IF(AM214=15,K214,0)</f>
        <v>0</v>
      </c>
      <c r="AK214" s="50">
        <f>IF(AM214=21,K214,0)</f>
        <v>0</v>
      </c>
      <c r="AM214" s="36">
        <v>21</v>
      </c>
      <c r="AN214" s="36">
        <f>H214*0</f>
        <v>0</v>
      </c>
      <c r="AO214" s="36">
        <f>H214*(1-0)</f>
        <v>0</v>
      </c>
      <c r="AP214" s="55" t="s">
        <v>93</v>
      </c>
      <c r="AU214" s="36">
        <f>AV214+AW214</f>
        <v>0</v>
      </c>
      <c r="AV214" s="36">
        <f>G214*AN214</f>
        <v>0</v>
      </c>
      <c r="AW214" s="36">
        <f>G214*AO214</f>
        <v>0</v>
      </c>
      <c r="AX214" s="57" t="s">
        <v>799</v>
      </c>
      <c r="AY214" s="57" t="s">
        <v>827</v>
      </c>
      <c r="AZ214" s="54" t="s">
        <v>837</v>
      </c>
      <c r="BB214" s="36">
        <f>AV214+AW214</f>
        <v>0</v>
      </c>
      <c r="BC214" s="36">
        <f>H214/(100-BD214)*100</f>
        <v>0</v>
      </c>
      <c r="BD214" s="36">
        <v>0</v>
      </c>
      <c r="BE214" s="36">
        <f>214</f>
        <v>214</v>
      </c>
      <c r="BG214" s="50">
        <f>G214*AN214</f>
        <v>0</v>
      </c>
      <c r="BH214" s="50">
        <f>G214*AO214</f>
        <v>0</v>
      </c>
      <c r="BI214" s="50">
        <f>G214*H214</f>
        <v>0</v>
      </c>
    </row>
    <row r="215" spans="1:61" ht="12.75">
      <c r="A215" s="42" t="s">
        <v>270</v>
      </c>
      <c r="B215" s="42" t="s">
        <v>451</v>
      </c>
      <c r="C215" s="184" t="s">
        <v>703</v>
      </c>
      <c r="D215" s="180"/>
      <c r="E215" s="180"/>
      <c r="F215" s="42" t="s">
        <v>65</v>
      </c>
      <c r="G215" s="50">
        <v>1509.2</v>
      </c>
      <c r="H215" s="50">
        <v>0</v>
      </c>
      <c r="I215" s="50">
        <f>G215*AN215</f>
        <v>0</v>
      </c>
      <c r="J215" s="50">
        <f>G215*AO215</f>
        <v>0</v>
      </c>
      <c r="K215" s="50">
        <f>G215*H215</f>
        <v>0</v>
      </c>
      <c r="Y215" s="36">
        <f>IF(AP215="5",BI215,0)</f>
        <v>0</v>
      </c>
      <c r="AA215" s="36">
        <f>IF(AP215="1",BG215,0)</f>
        <v>0</v>
      </c>
      <c r="AB215" s="36">
        <f>IF(AP215="1",BH215,0)</f>
        <v>0</v>
      </c>
      <c r="AC215" s="36">
        <f>IF(AP215="7",BG215,0)</f>
        <v>0</v>
      </c>
      <c r="AD215" s="36">
        <f>IF(AP215="7",BH215,0)</f>
        <v>0</v>
      </c>
      <c r="AE215" s="36">
        <f>IF(AP215="2",BG215,0)</f>
        <v>0</v>
      </c>
      <c r="AF215" s="36">
        <f>IF(AP215="2",BH215,0)</f>
        <v>0</v>
      </c>
      <c r="AG215" s="36">
        <f>IF(AP215="0",BI215,0)</f>
        <v>0</v>
      </c>
      <c r="AH215" s="54" t="s">
        <v>73</v>
      </c>
      <c r="AI215" s="50">
        <f>IF(AM215=0,K215,0)</f>
        <v>0</v>
      </c>
      <c r="AJ215" s="50">
        <f>IF(AM215=15,K215,0)</f>
        <v>0</v>
      </c>
      <c r="AK215" s="50">
        <f>IF(AM215=21,K215,0)</f>
        <v>0</v>
      </c>
      <c r="AM215" s="36">
        <v>21</v>
      </c>
      <c r="AN215" s="36">
        <f>H215*0</f>
        <v>0</v>
      </c>
      <c r="AO215" s="36">
        <f>H215*(1-0)</f>
        <v>0</v>
      </c>
      <c r="AP215" s="55" t="s">
        <v>93</v>
      </c>
      <c r="AU215" s="36">
        <f>AV215+AW215</f>
        <v>0</v>
      </c>
      <c r="AV215" s="36">
        <f>G215*AN215</f>
        <v>0</v>
      </c>
      <c r="AW215" s="36">
        <f>G215*AO215</f>
        <v>0</v>
      </c>
      <c r="AX215" s="57" t="s">
        <v>799</v>
      </c>
      <c r="AY215" s="57" t="s">
        <v>827</v>
      </c>
      <c r="AZ215" s="54" t="s">
        <v>837</v>
      </c>
      <c r="BB215" s="36">
        <f>AV215+AW215</f>
        <v>0</v>
      </c>
      <c r="BC215" s="36">
        <f>H215/(100-BD215)*100</f>
        <v>0</v>
      </c>
      <c r="BD215" s="36">
        <v>0</v>
      </c>
      <c r="BE215" s="36">
        <f>215</f>
        <v>215</v>
      </c>
      <c r="BG215" s="50">
        <f>G215*AN215</f>
        <v>0</v>
      </c>
      <c r="BH215" s="50">
        <f>G215*AO215</f>
        <v>0</v>
      </c>
      <c r="BI215" s="50">
        <f>G215*H215</f>
        <v>0</v>
      </c>
    </row>
    <row r="216" spans="1:61" ht="12.75">
      <c r="A216" s="42" t="s">
        <v>271</v>
      </c>
      <c r="B216" s="42" t="s">
        <v>476</v>
      </c>
      <c r="C216" s="184" t="s">
        <v>704</v>
      </c>
      <c r="D216" s="180"/>
      <c r="E216" s="180"/>
      <c r="F216" s="42" t="s">
        <v>65</v>
      </c>
      <c r="G216" s="50">
        <v>2469.5</v>
      </c>
      <c r="H216" s="50">
        <v>0</v>
      </c>
      <c r="I216" s="50">
        <f>G216*AN216</f>
        <v>0</v>
      </c>
      <c r="J216" s="50">
        <f>G216*AO216</f>
        <v>0</v>
      </c>
      <c r="K216" s="50">
        <f>G216*H216</f>
        <v>0</v>
      </c>
      <c r="Y216" s="36">
        <f>IF(AP216="5",BI216,0)</f>
        <v>0</v>
      </c>
      <c r="AA216" s="36">
        <f>IF(AP216="1",BG216,0)</f>
        <v>0</v>
      </c>
      <c r="AB216" s="36">
        <f>IF(AP216="1",BH216,0)</f>
        <v>0</v>
      </c>
      <c r="AC216" s="36">
        <f>IF(AP216="7",BG216,0)</f>
        <v>0</v>
      </c>
      <c r="AD216" s="36">
        <f>IF(AP216="7",BH216,0)</f>
        <v>0</v>
      </c>
      <c r="AE216" s="36">
        <f>IF(AP216="2",BG216,0)</f>
        <v>0</v>
      </c>
      <c r="AF216" s="36">
        <f>IF(AP216="2",BH216,0)</f>
        <v>0</v>
      </c>
      <c r="AG216" s="36">
        <f>IF(AP216="0",BI216,0)</f>
        <v>0</v>
      </c>
      <c r="AH216" s="54" t="s">
        <v>73</v>
      </c>
      <c r="AI216" s="50">
        <f>IF(AM216=0,K216,0)</f>
        <v>0</v>
      </c>
      <c r="AJ216" s="50">
        <f>IF(AM216=15,K216,0)</f>
        <v>0</v>
      </c>
      <c r="AK216" s="50">
        <f>IF(AM216=21,K216,0)</f>
        <v>0</v>
      </c>
      <c r="AM216" s="36">
        <v>21</v>
      </c>
      <c r="AN216" s="36">
        <f>H216*0</f>
        <v>0</v>
      </c>
      <c r="AO216" s="36">
        <f>H216*(1-0)</f>
        <v>0</v>
      </c>
      <c r="AP216" s="55" t="s">
        <v>93</v>
      </c>
      <c r="AU216" s="36">
        <f>AV216+AW216</f>
        <v>0</v>
      </c>
      <c r="AV216" s="36">
        <f>G216*AN216</f>
        <v>0</v>
      </c>
      <c r="AW216" s="36">
        <f>G216*AO216</f>
        <v>0</v>
      </c>
      <c r="AX216" s="57" t="s">
        <v>799</v>
      </c>
      <c r="AY216" s="57" t="s">
        <v>827</v>
      </c>
      <c r="AZ216" s="54" t="s">
        <v>837</v>
      </c>
      <c r="BB216" s="36">
        <f>AV216+AW216</f>
        <v>0</v>
      </c>
      <c r="BC216" s="36">
        <f>H216/(100-BD216)*100</f>
        <v>0</v>
      </c>
      <c r="BD216" s="36">
        <v>0</v>
      </c>
      <c r="BE216" s="36">
        <f>216</f>
        <v>216</v>
      </c>
      <c r="BG216" s="50">
        <f>G216*AN216</f>
        <v>0</v>
      </c>
      <c r="BH216" s="50">
        <f>G216*AO216</f>
        <v>0</v>
      </c>
      <c r="BI216" s="50">
        <f>G216*H216</f>
        <v>0</v>
      </c>
    </row>
    <row r="217" spans="1:46" ht="12.75">
      <c r="A217" s="41"/>
      <c r="B217" s="47" t="s">
        <v>477</v>
      </c>
      <c r="C217" s="191" t="s">
        <v>80</v>
      </c>
      <c r="D217" s="177"/>
      <c r="E217" s="177"/>
      <c r="F217" s="41" t="s">
        <v>68</v>
      </c>
      <c r="G217" s="41" t="s">
        <v>68</v>
      </c>
      <c r="H217" s="41" t="s">
        <v>68</v>
      </c>
      <c r="I217" s="58">
        <f>SUM(I218:I220)</f>
        <v>0</v>
      </c>
      <c r="J217" s="58">
        <f>SUM(J218:J220)</f>
        <v>0</v>
      </c>
      <c r="K217" s="58">
        <f>SUM(K218:K220)</f>
        <v>0</v>
      </c>
      <c r="AH217" s="54" t="s">
        <v>73</v>
      </c>
      <c r="AR217" s="58">
        <f>SUM(AI218:AI220)</f>
        <v>0</v>
      </c>
      <c r="AS217" s="58">
        <f>SUM(AJ218:AJ220)</f>
        <v>0</v>
      </c>
      <c r="AT217" s="58">
        <f>SUM(AK218:AK220)</f>
        <v>0</v>
      </c>
    </row>
    <row r="218" spans="1:61" ht="12.75">
      <c r="A218" s="42" t="s">
        <v>272</v>
      </c>
      <c r="B218" s="42" t="s">
        <v>478</v>
      </c>
      <c r="C218" s="184" t="s">
        <v>705</v>
      </c>
      <c r="D218" s="180"/>
      <c r="E218" s="180"/>
      <c r="F218" s="42" t="s">
        <v>752</v>
      </c>
      <c r="G218" s="50">
        <v>50</v>
      </c>
      <c r="H218" s="50">
        <v>0</v>
      </c>
      <c r="I218" s="50">
        <f>G218*AN218</f>
        <v>0</v>
      </c>
      <c r="J218" s="50">
        <f>G218*AO218</f>
        <v>0</v>
      </c>
      <c r="K218" s="50">
        <f>G218*H218</f>
        <v>0</v>
      </c>
      <c r="Y218" s="36">
        <f>IF(AP218="5",BI218,0)</f>
        <v>0</v>
      </c>
      <c r="AA218" s="36">
        <f>IF(AP218="1",BG218,0)</f>
        <v>0</v>
      </c>
      <c r="AB218" s="36">
        <f>IF(AP218="1",BH218,0)</f>
        <v>0</v>
      </c>
      <c r="AC218" s="36">
        <f>IF(AP218="7",BG218,0)</f>
        <v>0</v>
      </c>
      <c r="AD218" s="36">
        <f>IF(AP218="7",BH218,0)</f>
        <v>0</v>
      </c>
      <c r="AE218" s="36">
        <f>IF(AP218="2",BG218,0)</f>
        <v>0</v>
      </c>
      <c r="AF218" s="36">
        <f>IF(AP218="2",BH218,0)</f>
        <v>0</v>
      </c>
      <c r="AG218" s="36">
        <f>IF(AP218="0",BI218,0)</f>
        <v>0</v>
      </c>
      <c r="AH218" s="54" t="s">
        <v>73</v>
      </c>
      <c r="AI218" s="50">
        <f>IF(AM218=0,K218,0)</f>
        <v>0</v>
      </c>
      <c r="AJ218" s="50">
        <f>IF(AM218=15,K218,0)</f>
        <v>0</v>
      </c>
      <c r="AK218" s="50">
        <f>IF(AM218=21,K218,0)</f>
        <v>0</v>
      </c>
      <c r="AM218" s="36">
        <v>21</v>
      </c>
      <c r="AN218" s="36">
        <f>H218*0.491573648500766</f>
        <v>0</v>
      </c>
      <c r="AO218" s="36">
        <f>H218*(1-0.491573648500766)</f>
        <v>0</v>
      </c>
      <c r="AP218" s="55" t="s">
        <v>93</v>
      </c>
      <c r="AU218" s="36">
        <f>AV218+AW218</f>
        <v>0</v>
      </c>
      <c r="AV218" s="36">
        <f>G218*AN218</f>
        <v>0</v>
      </c>
      <c r="AW218" s="36">
        <f>G218*AO218</f>
        <v>0</v>
      </c>
      <c r="AX218" s="57" t="s">
        <v>803</v>
      </c>
      <c r="AY218" s="57" t="s">
        <v>827</v>
      </c>
      <c r="AZ218" s="54" t="s">
        <v>837</v>
      </c>
      <c r="BB218" s="36">
        <f>AV218+AW218</f>
        <v>0</v>
      </c>
      <c r="BC218" s="36">
        <f>H218/(100-BD218)*100</f>
        <v>0</v>
      </c>
      <c r="BD218" s="36">
        <v>0</v>
      </c>
      <c r="BE218" s="36">
        <f>218</f>
        <v>218</v>
      </c>
      <c r="BG218" s="50">
        <f>G218*AN218</f>
        <v>0</v>
      </c>
      <c r="BH218" s="50">
        <f>G218*AO218</f>
        <v>0</v>
      </c>
      <c r="BI218" s="50">
        <f>G218*H218</f>
        <v>0</v>
      </c>
    </row>
    <row r="219" spans="1:61" ht="12.75">
      <c r="A219" s="42" t="s">
        <v>273</v>
      </c>
      <c r="B219" s="42" t="s">
        <v>479</v>
      </c>
      <c r="C219" s="184" t="s">
        <v>706</v>
      </c>
      <c r="D219" s="180"/>
      <c r="E219" s="180"/>
      <c r="F219" s="42" t="s">
        <v>752</v>
      </c>
      <c r="G219" s="50">
        <v>50</v>
      </c>
      <c r="H219" s="50">
        <v>0</v>
      </c>
      <c r="I219" s="50">
        <f>G219*AN219</f>
        <v>0</v>
      </c>
      <c r="J219" s="50">
        <f>G219*AO219</f>
        <v>0</v>
      </c>
      <c r="K219" s="50">
        <f>G219*H219</f>
        <v>0</v>
      </c>
      <c r="Y219" s="36">
        <f>IF(AP219="5",BI219,0)</f>
        <v>0</v>
      </c>
      <c r="AA219" s="36">
        <f>IF(AP219="1",BG219,0)</f>
        <v>0</v>
      </c>
      <c r="AB219" s="36">
        <f>IF(AP219="1",BH219,0)</f>
        <v>0</v>
      </c>
      <c r="AC219" s="36">
        <f>IF(AP219="7",BG219,0)</f>
        <v>0</v>
      </c>
      <c r="AD219" s="36">
        <f>IF(AP219="7",BH219,0)</f>
        <v>0</v>
      </c>
      <c r="AE219" s="36">
        <f>IF(AP219="2",BG219,0)</f>
        <v>0</v>
      </c>
      <c r="AF219" s="36">
        <f>IF(AP219="2",BH219,0)</f>
        <v>0</v>
      </c>
      <c r="AG219" s="36">
        <f>IF(AP219="0",BI219,0)</f>
        <v>0</v>
      </c>
      <c r="AH219" s="54" t="s">
        <v>73</v>
      </c>
      <c r="AI219" s="50">
        <f>IF(AM219=0,K219,0)</f>
        <v>0</v>
      </c>
      <c r="AJ219" s="50">
        <f>IF(AM219=15,K219,0)</f>
        <v>0</v>
      </c>
      <c r="AK219" s="50">
        <f>IF(AM219=21,K219,0)</f>
        <v>0</v>
      </c>
      <c r="AM219" s="36">
        <v>21</v>
      </c>
      <c r="AN219" s="36">
        <f>H219*0.373685629549744</f>
        <v>0</v>
      </c>
      <c r="AO219" s="36">
        <f>H219*(1-0.373685629549744)</f>
        <v>0</v>
      </c>
      <c r="AP219" s="55" t="s">
        <v>93</v>
      </c>
      <c r="AU219" s="36">
        <f>AV219+AW219</f>
        <v>0</v>
      </c>
      <c r="AV219" s="36">
        <f>G219*AN219</f>
        <v>0</v>
      </c>
      <c r="AW219" s="36">
        <f>G219*AO219</f>
        <v>0</v>
      </c>
      <c r="AX219" s="57" t="s">
        <v>803</v>
      </c>
      <c r="AY219" s="57" t="s">
        <v>827</v>
      </c>
      <c r="AZ219" s="54" t="s">
        <v>837</v>
      </c>
      <c r="BB219" s="36">
        <f>AV219+AW219</f>
        <v>0</v>
      </c>
      <c r="BC219" s="36">
        <f>H219/(100-BD219)*100</f>
        <v>0</v>
      </c>
      <c r="BD219" s="36">
        <v>0</v>
      </c>
      <c r="BE219" s="36">
        <f>219</f>
        <v>219</v>
      </c>
      <c r="BG219" s="50">
        <f>G219*AN219</f>
        <v>0</v>
      </c>
      <c r="BH219" s="50">
        <f>G219*AO219</f>
        <v>0</v>
      </c>
      <c r="BI219" s="50">
        <f>G219*H219</f>
        <v>0</v>
      </c>
    </row>
    <row r="220" spans="1:61" ht="12.75">
      <c r="A220" s="42" t="s">
        <v>274</v>
      </c>
      <c r="B220" s="42" t="s">
        <v>480</v>
      </c>
      <c r="C220" s="184" t="s">
        <v>707</v>
      </c>
      <c r="D220" s="180"/>
      <c r="E220" s="180"/>
      <c r="F220" s="42" t="s">
        <v>752</v>
      </c>
      <c r="G220" s="50">
        <v>30</v>
      </c>
      <c r="H220" s="50">
        <v>0</v>
      </c>
      <c r="I220" s="50">
        <f>G220*AN220</f>
        <v>0</v>
      </c>
      <c r="J220" s="50">
        <f>G220*AO220</f>
        <v>0</v>
      </c>
      <c r="K220" s="50">
        <f>G220*H220</f>
        <v>0</v>
      </c>
      <c r="Y220" s="36">
        <f>IF(AP220="5",BI220,0)</f>
        <v>0</v>
      </c>
      <c r="AA220" s="36">
        <f>IF(AP220="1",BG220,0)</f>
        <v>0</v>
      </c>
      <c r="AB220" s="36">
        <f>IF(AP220="1",BH220,0)</f>
        <v>0</v>
      </c>
      <c r="AC220" s="36">
        <f>IF(AP220="7",BG220,0)</f>
        <v>0</v>
      </c>
      <c r="AD220" s="36">
        <f>IF(AP220="7",BH220,0)</f>
        <v>0</v>
      </c>
      <c r="AE220" s="36">
        <f>IF(AP220="2",BG220,0)</f>
        <v>0</v>
      </c>
      <c r="AF220" s="36">
        <f>IF(AP220="2",BH220,0)</f>
        <v>0</v>
      </c>
      <c r="AG220" s="36">
        <f>IF(AP220="0",BI220,0)</f>
        <v>0</v>
      </c>
      <c r="AH220" s="54" t="s">
        <v>73</v>
      </c>
      <c r="AI220" s="50">
        <f>IF(AM220=0,K220,0)</f>
        <v>0</v>
      </c>
      <c r="AJ220" s="50">
        <f>IF(AM220=15,K220,0)</f>
        <v>0</v>
      </c>
      <c r="AK220" s="50">
        <f>IF(AM220=21,K220,0)</f>
        <v>0</v>
      </c>
      <c r="AM220" s="36">
        <v>21</v>
      </c>
      <c r="AN220" s="36">
        <f>H220*0.731726486769715</f>
        <v>0</v>
      </c>
      <c r="AO220" s="36">
        <f>H220*(1-0.731726486769715)</f>
        <v>0</v>
      </c>
      <c r="AP220" s="55" t="s">
        <v>93</v>
      </c>
      <c r="AU220" s="36">
        <f>AV220+AW220</f>
        <v>0</v>
      </c>
      <c r="AV220" s="36">
        <f>G220*AN220</f>
        <v>0</v>
      </c>
      <c r="AW220" s="36">
        <f>G220*AO220</f>
        <v>0</v>
      </c>
      <c r="AX220" s="57" t="s">
        <v>803</v>
      </c>
      <c r="AY220" s="57" t="s">
        <v>827</v>
      </c>
      <c r="AZ220" s="54" t="s">
        <v>837</v>
      </c>
      <c r="BB220" s="36">
        <f>AV220+AW220</f>
        <v>0</v>
      </c>
      <c r="BC220" s="36">
        <f>H220/(100-BD220)*100</f>
        <v>0</v>
      </c>
      <c r="BD220" s="36">
        <v>0</v>
      </c>
      <c r="BE220" s="36">
        <f>220</f>
        <v>220</v>
      </c>
      <c r="BG220" s="50">
        <f>G220*AN220</f>
        <v>0</v>
      </c>
      <c r="BH220" s="50">
        <f>G220*AO220</f>
        <v>0</v>
      </c>
      <c r="BI220" s="50">
        <f>G220*H220</f>
        <v>0</v>
      </c>
    </row>
    <row r="221" spans="1:46" ht="12.75">
      <c r="A221" s="41"/>
      <c r="B221" s="47" t="s">
        <v>481</v>
      </c>
      <c r="C221" s="191" t="s">
        <v>80</v>
      </c>
      <c r="D221" s="177"/>
      <c r="E221" s="177"/>
      <c r="F221" s="41" t="s">
        <v>68</v>
      </c>
      <c r="G221" s="41" t="s">
        <v>68</v>
      </c>
      <c r="H221" s="41" t="s">
        <v>68</v>
      </c>
      <c r="I221" s="58">
        <f>SUM(I222:I227)</f>
        <v>0</v>
      </c>
      <c r="J221" s="58">
        <f>SUM(J222:J227)</f>
        <v>0</v>
      </c>
      <c r="K221" s="58">
        <f>SUM(K222:K227)</f>
        <v>0</v>
      </c>
      <c r="AH221" s="54" t="s">
        <v>73</v>
      </c>
      <c r="AR221" s="58">
        <f>SUM(AI222:AI227)</f>
        <v>0</v>
      </c>
      <c r="AS221" s="58">
        <f>SUM(AJ222:AJ227)</f>
        <v>0</v>
      </c>
      <c r="AT221" s="58">
        <f>SUM(AK222:AK227)</f>
        <v>0</v>
      </c>
    </row>
    <row r="222" spans="1:61" ht="12.75">
      <c r="A222" s="42" t="s">
        <v>275</v>
      </c>
      <c r="B222" s="42" t="s">
        <v>482</v>
      </c>
      <c r="C222" s="184" t="s">
        <v>708</v>
      </c>
      <c r="D222" s="180"/>
      <c r="E222" s="180"/>
      <c r="F222" s="42" t="s">
        <v>753</v>
      </c>
      <c r="G222" s="50">
        <v>0</v>
      </c>
      <c r="H222" s="50">
        <v>0</v>
      </c>
      <c r="I222" s="50">
        <f aca="true" t="shared" si="200" ref="I222:I227">G222*AN222</f>
        <v>0</v>
      </c>
      <c r="J222" s="50">
        <f aca="true" t="shared" si="201" ref="J222:J227">G222*AO222</f>
        <v>0</v>
      </c>
      <c r="K222" s="50">
        <f aca="true" t="shared" si="202" ref="K222:K227">G222*H222</f>
        <v>0</v>
      </c>
      <c r="Y222" s="36">
        <f aca="true" t="shared" si="203" ref="Y222:Y227">IF(AP222="5",BI222,0)</f>
        <v>0</v>
      </c>
      <c r="AA222" s="36">
        <f aca="true" t="shared" si="204" ref="AA222:AA227">IF(AP222="1",BG222,0)</f>
        <v>0</v>
      </c>
      <c r="AB222" s="36">
        <f aca="true" t="shared" si="205" ref="AB222:AB227">IF(AP222="1",BH222,0)</f>
        <v>0</v>
      </c>
      <c r="AC222" s="36">
        <f aca="true" t="shared" si="206" ref="AC222:AC227">IF(AP222="7",BG222,0)</f>
        <v>0</v>
      </c>
      <c r="AD222" s="36">
        <f aca="true" t="shared" si="207" ref="AD222:AD227">IF(AP222="7",BH222,0)</f>
        <v>0</v>
      </c>
      <c r="AE222" s="36">
        <f aca="true" t="shared" si="208" ref="AE222:AE227">IF(AP222="2",BG222,0)</f>
        <v>0</v>
      </c>
      <c r="AF222" s="36">
        <f aca="true" t="shared" si="209" ref="AF222:AF227">IF(AP222="2",BH222,0)</f>
        <v>0</v>
      </c>
      <c r="AG222" s="36">
        <f aca="true" t="shared" si="210" ref="AG222:AG227">IF(AP222="0",BI222,0)</f>
        <v>0</v>
      </c>
      <c r="AH222" s="54" t="s">
        <v>73</v>
      </c>
      <c r="AI222" s="50">
        <f aca="true" t="shared" si="211" ref="AI222:AI227">IF(AM222=0,K222,0)</f>
        <v>0</v>
      </c>
      <c r="AJ222" s="50">
        <f aca="true" t="shared" si="212" ref="AJ222:AJ227">IF(AM222=15,K222,0)</f>
        <v>0</v>
      </c>
      <c r="AK222" s="50">
        <f aca="true" t="shared" si="213" ref="AK222:AK227">IF(AM222=21,K222,0)</f>
        <v>0</v>
      </c>
      <c r="AM222" s="36">
        <v>21</v>
      </c>
      <c r="AN222" s="36">
        <f>H222*0</f>
        <v>0</v>
      </c>
      <c r="AO222" s="36">
        <f>H222*(1-0)</f>
        <v>0</v>
      </c>
      <c r="AP222" s="55" t="s">
        <v>93</v>
      </c>
      <c r="AU222" s="36">
        <f aca="true" t="shared" si="214" ref="AU222:AU227">AV222+AW222</f>
        <v>0</v>
      </c>
      <c r="AV222" s="36">
        <f aca="true" t="shared" si="215" ref="AV222:AV227">G222*AN222</f>
        <v>0</v>
      </c>
      <c r="AW222" s="36">
        <f aca="true" t="shared" si="216" ref="AW222:AW227">G222*AO222</f>
        <v>0</v>
      </c>
      <c r="AX222" s="57" t="s">
        <v>804</v>
      </c>
      <c r="AY222" s="57" t="s">
        <v>827</v>
      </c>
      <c r="AZ222" s="54" t="s">
        <v>837</v>
      </c>
      <c r="BB222" s="36">
        <f aca="true" t="shared" si="217" ref="BB222:BB227">AV222+AW222</f>
        <v>0</v>
      </c>
      <c r="BC222" s="36">
        <f aca="true" t="shared" si="218" ref="BC222:BC227">H222/(100-BD222)*100</f>
        <v>0</v>
      </c>
      <c r="BD222" s="36">
        <v>0</v>
      </c>
      <c r="BE222" s="36">
        <f>222</f>
        <v>222</v>
      </c>
      <c r="BG222" s="50">
        <f aca="true" t="shared" si="219" ref="BG222:BG227">G222*AN222</f>
        <v>0</v>
      </c>
      <c r="BH222" s="50">
        <f aca="true" t="shared" si="220" ref="BH222:BH227">G222*AO222</f>
        <v>0</v>
      </c>
      <c r="BI222" s="50">
        <f aca="true" t="shared" si="221" ref="BI222:BI227">G222*H222</f>
        <v>0</v>
      </c>
    </row>
    <row r="223" spans="1:61" ht="12.75">
      <c r="A223" s="42" t="s">
        <v>276</v>
      </c>
      <c r="B223" s="42" t="s">
        <v>483</v>
      </c>
      <c r="C223" s="184" t="s">
        <v>709</v>
      </c>
      <c r="D223" s="180"/>
      <c r="E223" s="180"/>
      <c r="F223" s="42" t="s">
        <v>749</v>
      </c>
      <c r="G223" s="50">
        <v>10</v>
      </c>
      <c r="H223" s="50">
        <v>0</v>
      </c>
      <c r="I223" s="50">
        <f t="shared" si="200"/>
        <v>0</v>
      </c>
      <c r="J223" s="50">
        <f t="shared" si="201"/>
        <v>0</v>
      </c>
      <c r="K223" s="50">
        <f t="shared" si="202"/>
        <v>0</v>
      </c>
      <c r="Y223" s="36">
        <f t="shared" si="203"/>
        <v>0</v>
      </c>
      <c r="AA223" s="36">
        <f t="shared" si="204"/>
        <v>0</v>
      </c>
      <c r="AB223" s="36">
        <f t="shared" si="205"/>
        <v>0</v>
      </c>
      <c r="AC223" s="36">
        <f t="shared" si="206"/>
        <v>0</v>
      </c>
      <c r="AD223" s="36">
        <f t="shared" si="207"/>
        <v>0</v>
      </c>
      <c r="AE223" s="36">
        <f t="shared" si="208"/>
        <v>0</v>
      </c>
      <c r="AF223" s="36">
        <f t="shared" si="209"/>
        <v>0</v>
      </c>
      <c r="AG223" s="36">
        <f t="shared" si="210"/>
        <v>0</v>
      </c>
      <c r="AH223" s="54" t="s">
        <v>73</v>
      </c>
      <c r="AI223" s="50">
        <f t="shared" si="211"/>
        <v>0</v>
      </c>
      <c r="AJ223" s="50">
        <f t="shared" si="212"/>
        <v>0</v>
      </c>
      <c r="AK223" s="50">
        <f t="shared" si="213"/>
        <v>0</v>
      </c>
      <c r="AM223" s="36">
        <v>21</v>
      </c>
      <c r="AN223" s="36">
        <f>H223*0.819672131147541</f>
        <v>0</v>
      </c>
      <c r="AO223" s="36">
        <f>H223*(1-0.819672131147541)</f>
        <v>0</v>
      </c>
      <c r="AP223" s="55" t="s">
        <v>93</v>
      </c>
      <c r="AU223" s="36">
        <f t="shared" si="214"/>
        <v>0</v>
      </c>
      <c r="AV223" s="36">
        <f t="shared" si="215"/>
        <v>0</v>
      </c>
      <c r="AW223" s="36">
        <f t="shared" si="216"/>
        <v>0</v>
      </c>
      <c r="AX223" s="57" t="s">
        <v>804</v>
      </c>
      <c r="AY223" s="57" t="s">
        <v>827</v>
      </c>
      <c r="AZ223" s="54" t="s">
        <v>837</v>
      </c>
      <c r="BB223" s="36">
        <f t="shared" si="217"/>
        <v>0</v>
      </c>
      <c r="BC223" s="36">
        <f t="shared" si="218"/>
        <v>0</v>
      </c>
      <c r="BD223" s="36">
        <v>0</v>
      </c>
      <c r="BE223" s="36">
        <f>223</f>
        <v>223</v>
      </c>
      <c r="BG223" s="50">
        <f t="shared" si="219"/>
        <v>0</v>
      </c>
      <c r="BH223" s="50">
        <f t="shared" si="220"/>
        <v>0</v>
      </c>
      <c r="BI223" s="50">
        <f t="shared" si="221"/>
        <v>0</v>
      </c>
    </row>
    <row r="224" spans="1:61" ht="12.75">
      <c r="A224" s="42" t="s">
        <v>277</v>
      </c>
      <c r="B224" s="42" t="s">
        <v>484</v>
      </c>
      <c r="C224" s="184" t="s">
        <v>710</v>
      </c>
      <c r="D224" s="180"/>
      <c r="E224" s="180"/>
      <c r="F224" s="42" t="s">
        <v>753</v>
      </c>
      <c r="G224" s="50">
        <v>1</v>
      </c>
      <c r="H224" s="50">
        <v>0</v>
      </c>
      <c r="I224" s="50">
        <f t="shared" si="200"/>
        <v>0</v>
      </c>
      <c r="J224" s="50">
        <f t="shared" si="201"/>
        <v>0</v>
      </c>
      <c r="K224" s="50">
        <f t="shared" si="202"/>
        <v>0</v>
      </c>
      <c r="Y224" s="36">
        <f t="shared" si="203"/>
        <v>0</v>
      </c>
      <c r="AA224" s="36">
        <f t="shared" si="204"/>
        <v>0</v>
      </c>
      <c r="AB224" s="36">
        <f t="shared" si="205"/>
        <v>0</v>
      </c>
      <c r="AC224" s="36">
        <f t="shared" si="206"/>
        <v>0</v>
      </c>
      <c r="AD224" s="36">
        <f t="shared" si="207"/>
        <v>0</v>
      </c>
      <c r="AE224" s="36">
        <f t="shared" si="208"/>
        <v>0</v>
      </c>
      <c r="AF224" s="36">
        <f t="shared" si="209"/>
        <v>0</v>
      </c>
      <c r="AG224" s="36">
        <f t="shared" si="210"/>
        <v>0</v>
      </c>
      <c r="AH224" s="54" t="s">
        <v>73</v>
      </c>
      <c r="AI224" s="50">
        <f t="shared" si="211"/>
        <v>0</v>
      </c>
      <c r="AJ224" s="50">
        <f t="shared" si="212"/>
        <v>0</v>
      </c>
      <c r="AK224" s="50">
        <f t="shared" si="213"/>
        <v>0</v>
      </c>
      <c r="AM224" s="36">
        <v>21</v>
      </c>
      <c r="AN224" s="36">
        <f>H224*0.839160839160839</f>
        <v>0</v>
      </c>
      <c r="AO224" s="36">
        <f>H224*(1-0.839160839160839)</f>
        <v>0</v>
      </c>
      <c r="AP224" s="55" t="s">
        <v>93</v>
      </c>
      <c r="AU224" s="36">
        <f t="shared" si="214"/>
        <v>0</v>
      </c>
      <c r="AV224" s="36">
        <f t="shared" si="215"/>
        <v>0</v>
      </c>
      <c r="AW224" s="36">
        <f t="shared" si="216"/>
        <v>0</v>
      </c>
      <c r="AX224" s="57" t="s">
        <v>804</v>
      </c>
      <c r="AY224" s="57" t="s">
        <v>827</v>
      </c>
      <c r="AZ224" s="54" t="s">
        <v>837</v>
      </c>
      <c r="BB224" s="36">
        <f t="shared" si="217"/>
        <v>0</v>
      </c>
      <c r="BC224" s="36">
        <f t="shared" si="218"/>
        <v>0</v>
      </c>
      <c r="BD224" s="36">
        <v>0</v>
      </c>
      <c r="BE224" s="36">
        <f>224</f>
        <v>224</v>
      </c>
      <c r="BG224" s="50">
        <f t="shared" si="219"/>
        <v>0</v>
      </c>
      <c r="BH224" s="50">
        <f t="shared" si="220"/>
        <v>0</v>
      </c>
      <c r="BI224" s="50">
        <f t="shared" si="221"/>
        <v>0</v>
      </c>
    </row>
    <row r="225" spans="1:61" ht="12.75">
      <c r="A225" s="42" t="s">
        <v>278</v>
      </c>
      <c r="B225" s="42" t="s">
        <v>485</v>
      </c>
      <c r="C225" s="184" t="s">
        <v>711</v>
      </c>
      <c r="D225" s="180"/>
      <c r="E225" s="180"/>
      <c r="F225" s="42" t="s">
        <v>749</v>
      </c>
      <c r="G225" s="50">
        <v>2</v>
      </c>
      <c r="H225" s="50">
        <v>0</v>
      </c>
      <c r="I225" s="50">
        <f t="shared" si="200"/>
        <v>0</v>
      </c>
      <c r="J225" s="50">
        <f t="shared" si="201"/>
        <v>0</v>
      </c>
      <c r="K225" s="50">
        <f t="shared" si="202"/>
        <v>0</v>
      </c>
      <c r="Y225" s="36">
        <f t="shared" si="203"/>
        <v>0</v>
      </c>
      <c r="AA225" s="36">
        <f t="shared" si="204"/>
        <v>0</v>
      </c>
      <c r="AB225" s="36">
        <f t="shared" si="205"/>
        <v>0</v>
      </c>
      <c r="AC225" s="36">
        <f t="shared" si="206"/>
        <v>0</v>
      </c>
      <c r="AD225" s="36">
        <f t="shared" si="207"/>
        <v>0</v>
      </c>
      <c r="AE225" s="36">
        <f t="shared" si="208"/>
        <v>0</v>
      </c>
      <c r="AF225" s="36">
        <f t="shared" si="209"/>
        <v>0</v>
      </c>
      <c r="AG225" s="36">
        <f t="shared" si="210"/>
        <v>0</v>
      </c>
      <c r="AH225" s="54" t="s">
        <v>73</v>
      </c>
      <c r="AI225" s="50">
        <f t="shared" si="211"/>
        <v>0</v>
      </c>
      <c r="AJ225" s="50">
        <f t="shared" si="212"/>
        <v>0</v>
      </c>
      <c r="AK225" s="50">
        <f t="shared" si="213"/>
        <v>0</v>
      </c>
      <c r="AM225" s="36">
        <v>21</v>
      </c>
      <c r="AN225" s="36">
        <f>H225*0.666666666666667</f>
        <v>0</v>
      </c>
      <c r="AO225" s="36">
        <f>H225*(1-0.666666666666667)</f>
        <v>0</v>
      </c>
      <c r="AP225" s="55" t="s">
        <v>93</v>
      </c>
      <c r="AU225" s="36">
        <f t="shared" si="214"/>
        <v>0</v>
      </c>
      <c r="AV225" s="36">
        <f t="shared" si="215"/>
        <v>0</v>
      </c>
      <c r="AW225" s="36">
        <f t="shared" si="216"/>
        <v>0</v>
      </c>
      <c r="AX225" s="57" t="s">
        <v>804</v>
      </c>
      <c r="AY225" s="57" t="s">
        <v>827</v>
      </c>
      <c r="AZ225" s="54" t="s">
        <v>837</v>
      </c>
      <c r="BB225" s="36">
        <f t="shared" si="217"/>
        <v>0</v>
      </c>
      <c r="BC225" s="36">
        <f t="shared" si="218"/>
        <v>0</v>
      </c>
      <c r="BD225" s="36">
        <v>0</v>
      </c>
      <c r="BE225" s="36">
        <f>225</f>
        <v>225</v>
      </c>
      <c r="BG225" s="50">
        <f t="shared" si="219"/>
        <v>0</v>
      </c>
      <c r="BH225" s="50">
        <f t="shared" si="220"/>
        <v>0</v>
      </c>
      <c r="BI225" s="50">
        <f t="shared" si="221"/>
        <v>0</v>
      </c>
    </row>
    <row r="226" spans="1:61" ht="12.75">
      <c r="A226" s="42" t="s">
        <v>279</v>
      </c>
      <c r="B226" s="42" t="s">
        <v>486</v>
      </c>
      <c r="C226" s="184" t="s">
        <v>712</v>
      </c>
      <c r="D226" s="180"/>
      <c r="E226" s="180"/>
      <c r="F226" s="42" t="s">
        <v>749</v>
      </c>
      <c r="G226" s="50">
        <v>10</v>
      </c>
      <c r="H226" s="50">
        <v>0</v>
      </c>
      <c r="I226" s="50">
        <f t="shared" si="200"/>
        <v>0</v>
      </c>
      <c r="J226" s="50">
        <f t="shared" si="201"/>
        <v>0</v>
      </c>
      <c r="K226" s="50">
        <f t="shared" si="202"/>
        <v>0</v>
      </c>
      <c r="Y226" s="36">
        <f t="shared" si="203"/>
        <v>0</v>
      </c>
      <c r="AA226" s="36">
        <f t="shared" si="204"/>
        <v>0</v>
      </c>
      <c r="AB226" s="36">
        <f t="shared" si="205"/>
        <v>0</v>
      </c>
      <c r="AC226" s="36">
        <f t="shared" si="206"/>
        <v>0</v>
      </c>
      <c r="AD226" s="36">
        <f t="shared" si="207"/>
        <v>0</v>
      </c>
      <c r="AE226" s="36">
        <f t="shared" si="208"/>
        <v>0</v>
      </c>
      <c r="AF226" s="36">
        <f t="shared" si="209"/>
        <v>0</v>
      </c>
      <c r="AG226" s="36">
        <f t="shared" si="210"/>
        <v>0</v>
      </c>
      <c r="AH226" s="54" t="s">
        <v>73</v>
      </c>
      <c r="AI226" s="50">
        <f t="shared" si="211"/>
        <v>0</v>
      </c>
      <c r="AJ226" s="50">
        <f t="shared" si="212"/>
        <v>0</v>
      </c>
      <c r="AK226" s="50">
        <f t="shared" si="213"/>
        <v>0</v>
      </c>
      <c r="AM226" s="36">
        <v>21</v>
      </c>
      <c r="AN226" s="36">
        <f>H226*0.6</f>
        <v>0</v>
      </c>
      <c r="AO226" s="36">
        <f>H226*(1-0.6)</f>
        <v>0</v>
      </c>
      <c r="AP226" s="55" t="s">
        <v>93</v>
      </c>
      <c r="AU226" s="36">
        <f t="shared" si="214"/>
        <v>0</v>
      </c>
      <c r="AV226" s="36">
        <f t="shared" si="215"/>
        <v>0</v>
      </c>
      <c r="AW226" s="36">
        <f t="shared" si="216"/>
        <v>0</v>
      </c>
      <c r="AX226" s="57" t="s">
        <v>804</v>
      </c>
      <c r="AY226" s="57" t="s">
        <v>827</v>
      </c>
      <c r="AZ226" s="54" t="s">
        <v>837</v>
      </c>
      <c r="BB226" s="36">
        <f t="shared" si="217"/>
        <v>0</v>
      </c>
      <c r="BC226" s="36">
        <f t="shared" si="218"/>
        <v>0</v>
      </c>
      <c r="BD226" s="36">
        <v>0</v>
      </c>
      <c r="BE226" s="36">
        <f>226</f>
        <v>226</v>
      </c>
      <c r="BG226" s="50">
        <f t="shared" si="219"/>
        <v>0</v>
      </c>
      <c r="BH226" s="50">
        <f t="shared" si="220"/>
        <v>0</v>
      </c>
      <c r="BI226" s="50">
        <f t="shared" si="221"/>
        <v>0</v>
      </c>
    </row>
    <row r="227" spans="1:61" ht="12.75">
      <c r="A227" s="42" t="s">
        <v>280</v>
      </c>
      <c r="B227" s="42" t="s">
        <v>487</v>
      </c>
      <c r="C227" s="184" t="s">
        <v>713</v>
      </c>
      <c r="D227" s="180"/>
      <c r="E227" s="180"/>
      <c r="F227" s="42" t="s">
        <v>753</v>
      </c>
      <c r="G227" s="50">
        <v>1</v>
      </c>
      <c r="H227" s="50">
        <v>0</v>
      </c>
      <c r="I227" s="50">
        <f t="shared" si="200"/>
        <v>0</v>
      </c>
      <c r="J227" s="50">
        <f t="shared" si="201"/>
        <v>0</v>
      </c>
      <c r="K227" s="50">
        <f t="shared" si="202"/>
        <v>0</v>
      </c>
      <c r="Y227" s="36">
        <f t="shared" si="203"/>
        <v>0</v>
      </c>
      <c r="AA227" s="36">
        <f t="shared" si="204"/>
        <v>0</v>
      </c>
      <c r="AB227" s="36">
        <f t="shared" si="205"/>
        <v>0</v>
      </c>
      <c r="AC227" s="36">
        <f t="shared" si="206"/>
        <v>0</v>
      </c>
      <c r="AD227" s="36">
        <f t="shared" si="207"/>
        <v>0</v>
      </c>
      <c r="AE227" s="36">
        <f t="shared" si="208"/>
        <v>0</v>
      </c>
      <c r="AF227" s="36">
        <f t="shared" si="209"/>
        <v>0</v>
      </c>
      <c r="AG227" s="36">
        <f t="shared" si="210"/>
        <v>0</v>
      </c>
      <c r="AH227" s="54" t="s">
        <v>73</v>
      </c>
      <c r="AI227" s="50">
        <f t="shared" si="211"/>
        <v>0</v>
      </c>
      <c r="AJ227" s="50">
        <f t="shared" si="212"/>
        <v>0</v>
      </c>
      <c r="AK227" s="50">
        <f t="shared" si="213"/>
        <v>0</v>
      </c>
      <c r="AM227" s="36">
        <v>21</v>
      </c>
      <c r="AN227" s="36">
        <f>H227*0.666666666666667</f>
        <v>0</v>
      </c>
      <c r="AO227" s="36">
        <f>H227*(1-0.666666666666667)</f>
        <v>0</v>
      </c>
      <c r="AP227" s="55" t="s">
        <v>93</v>
      </c>
      <c r="AU227" s="36">
        <f t="shared" si="214"/>
        <v>0</v>
      </c>
      <c r="AV227" s="36">
        <f t="shared" si="215"/>
        <v>0</v>
      </c>
      <c r="AW227" s="36">
        <f t="shared" si="216"/>
        <v>0</v>
      </c>
      <c r="AX227" s="57" t="s">
        <v>804</v>
      </c>
      <c r="AY227" s="57" t="s">
        <v>827</v>
      </c>
      <c r="AZ227" s="54" t="s">
        <v>837</v>
      </c>
      <c r="BB227" s="36">
        <f t="shared" si="217"/>
        <v>0</v>
      </c>
      <c r="BC227" s="36">
        <f t="shared" si="218"/>
        <v>0</v>
      </c>
      <c r="BD227" s="36">
        <v>0</v>
      </c>
      <c r="BE227" s="36">
        <f>227</f>
        <v>227</v>
      </c>
      <c r="BG227" s="50">
        <f t="shared" si="219"/>
        <v>0</v>
      </c>
      <c r="BH227" s="50">
        <f t="shared" si="220"/>
        <v>0</v>
      </c>
      <c r="BI227" s="50">
        <f t="shared" si="221"/>
        <v>0</v>
      </c>
    </row>
    <row r="228" spans="1:11" ht="12.75">
      <c r="A228" s="86"/>
      <c r="B228" s="87"/>
      <c r="C228" s="192" t="s">
        <v>81</v>
      </c>
      <c r="D228" s="193"/>
      <c r="E228" s="194"/>
      <c r="F228" s="86" t="s">
        <v>68</v>
      </c>
      <c r="G228" s="86" t="s">
        <v>68</v>
      </c>
      <c r="H228" s="86" t="s">
        <v>68</v>
      </c>
      <c r="I228" s="88">
        <f>I229+I231+I233+I237+I240+I243+I247</f>
        <v>0</v>
      </c>
      <c r="J228" s="88">
        <f>J229+J231+J233+J237+J240+J243+J247</f>
        <v>0</v>
      </c>
      <c r="K228" s="88">
        <f>K229+K231+K233+K237+K240+K243+K247</f>
        <v>0</v>
      </c>
    </row>
    <row r="229" spans="1:46" ht="12.75">
      <c r="A229" s="41"/>
      <c r="B229" s="47" t="s">
        <v>218</v>
      </c>
      <c r="C229" s="191" t="s">
        <v>516</v>
      </c>
      <c r="D229" s="177"/>
      <c r="E229" s="177"/>
      <c r="F229" s="41" t="s">
        <v>68</v>
      </c>
      <c r="G229" s="41" t="s">
        <v>68</v>
      </c>
      <c r="H229" s="41" t="s">
        <v>68</v>
      </c>
      <c r="I229" s="58">
        <f>SUM(I230:I230)</f>
        <v>0</v>
      </c>
      <c r="J229" s="58">
        <f>SUM(J230:J230)</f>
        <v>0</v>
      </c>
      <c r="K229" s="58">
        <f>SUM(K230:K230)</f>
        <v>0</v>
      </c>
      <c r="AH229" s="54" t="s">
        <v>74</v>
      </c>
      <c r="AR229" s="58">
        <f>SUM(AI230:AI230)</f>
        <v>0</v>
      </c>
      <c r="AS229" s="58">
        <f>SUM(AJ230:AJ230)</f>
        <v>0</v>
      </c>
      <c r="AT229" s="58">
        <f>SUM(AK230:AK230)</f>
        <v>0</v>
      </c>
    </row>
    <row r="230" spans="1:61" ht="12.75">
      <c r="A230" s="42" t="s">
        <v>281</v>
      </c>
      <c r="B230" s="42" t="s">
        <v>488</v>
      </c>
      <c r="C230" s="184" t="s">
        <v>714</v>
      </c>
      <c r="D230" s="180"/>
      <c r="E230" s="180"/>
      <c r="F230" s="42" t="s">
        <v>747</v>
      </c>
      <c r="G230" s="50">
        <v>200</v>
      </c>
      <c r="H230" s="50">
        <v>0</v>
      </c>
      <c r="I230" s="50">
        <f>G230*AN230</f>
        <v>0</v>
      </c>
      <c r="J230" s="50">
        <f>G230*AO230</f>
        <v>0</v>
      </c>
      <c r="K230" s="50">
        <f>G230*H230</f>
        <v>0</v>
      </c>
      <c r="Y230" s="36">
        <f>IF(AP230="5",BI230,0)</f>
        <v>0</v>
      </c>
      <c r="AA230" s="36">
        <f>IF(AP230="1",BG230,0)</f>
        <v>0</v>
      </c>
      <c r="AB230" s="36">
        <f>IF(AP230="1",BH230,0)</f>
        <v>0</v>
      </c>
      <c r="AC230" s="36">
        <f>IF(AP230="7",BG230,0)</f>
        <v>0</v>
      </c>
      <c r="AD230" s="36">
        <f>IF(AP230="7",BH230,0)</f>
        <v>0</v>
      </c>
      <c r="AE230" s="36">
        <f>IF(AP230="2",BG230,0)</f>
        <v>0</v>
      </c>
      <c r="AF230" s="36">
        <f>IF(AP230="2",BH230,0)</f>
        <v>0</v>
      </c>
      <c r="AG230" s="36">
        <f>IF(AP230="0",BI230,0)</f>
        <v>0</v>
      </c>
      <c r="AH230" s="54" t="s">
        <v>74</v>
      </c>
      <c r="AI230" s="50">
        <f>IF(AM230=0,K230,0)</f>
        <v>0</v>
      </c>
      <c r="AJ230" s="50">
        <f>IF(AM230=15,K230,0)</f>
        <v>0</v>
      </c>
      <c r="AK230" s="50">
        <f>IF(AM230=21,K230,0)</f>
        <v>0</v>
      </c>
      <c r="AM230" s="36">
        <v>21</v>
      </c>
      <c r="AN230" s="36">
        <f>H230*0</f>
        <v>0</v>
      </c>
      <c r="AO230" s="36">
        <f>H230*(1-0)</f>
        <v>0</v>
      </c>
      <c r="AP230" s="55" t="s">
        <v>92</v>
      </c>
      <c r="AU230" s="36">
        <f>AV230+AW230</f>
        <v>0</v>
      </c>
      <c r="AV230" s="36">
        <f>G230*AN230</f>
        <v>0</v>
      </c>
      <c r="AW230" s="36">
        <f>G230*AO230</f>
        <v>0</v>
      </c>
      <c r="AX230" s="57" t="s">
        <v>770</v>
      </c>
      <c r="AY230" s="57" t="s">
        <v>828</v>
      </c>
      <c r="AZ230" s="54" t="s">
        <v>838</v>
      </c>
      <c r="BB230" s="36">
        <f>AV230+AW230</f>
        <v>0</v>
      </c>
      <c r="BC230" s="36">
        <f>H230/(100-BD230)*100</f>
        <v>0</v>
      </c>
      <c r="BD230" s="36">
        <v>0</v>
      </c>
      <c r="BE230" s="36">
        <f>230</f>
        <v>230</v>
      </c>
      <c r="BG230" s="50">
        <f>G230*AN230</f>
        <v>0</v>
      </c>
      <c r="BH230" s="50">
        <f>G230*AO230</f>
        <v>0</v>
      </c>
      <c r="BI230" s="50">
        <f>G230*H230</f>
        <v>0</v>
      </c>
    </row>
    <row r="231" spans="1:46" ht="12.75">
      <c r="A231" s="41"/>
      <c r="B231" s="47" t="s">
        <v>124</v>
      </c>
      <c r="C231" s="191" t="s">
        <v>519</v>
      </c>
      <c r="D231" s="177"/>
      <c r="E231" s="177"/>
      <c r="F231" s="41" t="s">
        <v>68</v>
      </c>
      <c r="G231" s="41" t="s">
        <v>68</v>
      </c>
      <c r="H231" s="41" t="s">
        <v>68</v>
      </c>
      <c r="I231" s="58">
        <f>SUM(I232:I232)</f>
        <v>0</v>
      </c>
      <c r="J231" s="58">
        <f>SUM(J232:J232)</f>
        <v>0</v>
      </c>
      <c r="K231" s="58">
        <f>SUM(K232:K232)</f>
        <v>0</v>
      </c>
      <c r="AH231" s="54" t="s">
        <v>74</v>
      </c>
      <c r="AR231" s="58">
        <f>SUM(AI232:AI232)</f>
        <v>0</v>
      </c>
      <c r="AS231" s="58">
        <f>SUM(AJ232:AJ232)</f>
        <v>0</v>
      </c>
      <c r="AT231" s="58">
        <f>SUM(AK232:AK232)</f>
        <v>0</v>
      </c>
    </row>
    <row r="232" spans="1:61" ht="12.75">
      <c r="A232" s="42" t="s">
        <v>282</v>
      </c>
      <c r="B232" s="42" t="s">
        <v>306</v>
      </c>
      <c r="C232" s="184" t="s">
        <v>520</v>
      </c>
      <c r="D232" s="180"/>
      <c r="E232" s="180"/>
      <c r="F232" s="42" t="s">
        <v>748</v>
      </c>
      <c r="G232" s="50">
        <v>19.98</v>
      </c>
      <c r="H232" s="50">
        <v>0</v>
      </c>
      <c r="I232" s="50">
        <f>G232*AN232</f>
        <v>0</v>
      </c>
      <c r="J232" s="50">
        <f>G232*AO232</f>
        <v>0</v>
      </c>
      <c r="K232" s="50">
        <f>G232*H232</f>
        <v>0</v>
      </c>
      <c r="Y232" s="36">
        <f>IF(AP232="5",BI232,0)</f>
        <v>0</v>
      </c>
      <c r="AA232" s="36">
        <f>IF(AP232="1",BG232,0)</f>
        <v>0</v>
      </c>
      <c r="AB232" s="36">
        <f>IF(AP232="1",BH232,0)</f>
        <v>0</v>
      </c>
      <c r="AC232" s="36">
        <f>IF(AP232="7",BG232,0)</f>
        <v>0</v>
      </c>
      <c r="AD232" s="36">
        <f>IF(AP232="7",BH232,0)</f>
        <v>0</v>
      </c>
      <c r="AE232" s="36">
        <f>IF(AP232="2",BG232,0)</f>
        <v>0</v>
      </c>
      <c r="AF232" s="36">
        <f>IF(AP232="2",BH232,0)</f>
        <v>0</v>
      </c>
      <c r="AG232" s="36">
        <f>IF(AP232="0",BI232,0)</f>
        <v>0</v>
      </c>
      <c r="AH232" s="54" t="s">
        <v>74</v>
      </c>
      <c r="AI232" s="50">
        <f>IF(AM232=0,K232,0)</f>
        <v>0</v>
      </c>
      <c r="AJ232" s="50">
        <f>IF(AM232=15,K232,0)</f>
        <v>0</v>
      </c>
      <c r="AK232" s="50">
        <f>IF(AM232=21,K232,0)</f>
        <v>0</v>
      </c>
      <c r="AM232" s="36">
        <v>21</v>
      </c>
      <c r="AN232" s="36">
        <f>H232*0</f>
        <v>0</v>
      </c>
      <c r="AO232" s="36">
        <f>H232*(1-0)</f>
        <v>0</v>
      </c>
      <c r="AP232" s="55" t="s">
        <v>92</v>
      </c>
      <c r="AU232" s="36">
        <f>AV232+AW232</f>
        <v>0</v>
      </c>
      <c r="AV232" s="36">
        <f>G232*AN232</f>
        <v>0</v>
      </c>
      <c r="AW232" s="36">
        <f>G232*AO232</f>
        <v>0</v>
      </c>
      <c r="AX232" s="57" t="s">
        <v>771</v>
      </c>
      <c r="AY232" s="57" t="s">
        <v>828</v>
      </c>
      <c r="AZ232" s="54" t="s">
        <v>838</v>
      </c>
      <c r="BB232" s="36">
        <f>AV232+AW232</f>
        <v>0</v>
      </c>
      <c r="BC232" s="36">
        <f>H232/(100-BD232)*100</f>
        <v>0</v>
      </c>
      <c r="BD232" s="36">
        <v>0</v>
      </c>
      <c r="BE232" s="36">
        <f>232</f>
        <v>232</v>
      </c>
      <c r="BG232" s="50">
        <f>G232*AN232</f>
        <v>0</v>
      </c>
      <c r="BH232" s="50">
        <f>G232*AO232</f>
        <v>0</v>
      </c>
      <c r="BI232" s="50">
        <f>G232*H232</f>
        <v>0</v>
      </c>
    </row>
    <row r="233" spans="1:46" ht="12.75">
      <c r="A233" s="41"/>
      <c r="B233" s="47" t="s">
        <v>128</v>
      </c>
      <c r="C233" s="191" t="s">
        <v>524</v>
      </c>
      <c r="D233" s="177"/>
      <c r="E233" s="177"/>
      <c r="F233" s="41" t="s">
        <v>68</v>
      </c>
      <c r="G233" s="41" t="s">
        <v>68</v>
      </c>
      <c r="H233" s="41" t="s">
        <v>68</v>
      </c>
      <c r="I233" s="58">
        <f>SUM(I234:I236)</f>
        <v>0</v>
      </c>
      <c r="J233" s="58">
        <f>SUM(J234:J236)</f>
        <v>0</v>
      </c>
      <c r="K233" s="58">
        <f>SUM(K234:K236)</f>
        <v>0</v>
      </c>
      <c r="AH233" s="54" t="s">
        <v>74</v>
      </c>
      <c r="AR233" s="58">
        <f>SUM(AI234:AI236)</f>
        <v>0</v>
      </c>
      <c r="AS233" s="58">
        <f>SUM(AJ234:AJ236)</f>
        <v>0</v>
      </c>
      <c r="AT233" s="58">
        <f>SUM(AK234:AK236)</f>
        <v>0</v>
      </c>
    </row>
    <row r="234" spans="1:61" ht="12.75">
      <c r="A234" s="42" t="s">
        <v>283</v>
      </c>
      <c r="B234" s="42" t="s">
        <v>489</v>
      </c>
      <c r="C234" s="184" t="s">
        <v>715</v>
      </c>
      <c r="D234" s="180"/>
      <c r="E234" s="180"/>
      <c r="F234" s="42" t="s">
        <v>748</v>
      </c>
      <c r="G234" s="50">
        <v>19.98</v>
      </c>
      <c r="H234" s="50">
        <v>0</v>
      </c>
      <c r="I234" s="50">
        <f>G234*AN234</f>
        <v>0</v>
      </c>
      <c r="J234" s="50">
        <f>G234*AO234</f>
        <v>0</v>
      </c>
      <c r="K234" s="50">
        <f>G234*H234</f>
        <v>0</v>
      </c>
      <c r="Y234" s="36">
        <f>IF(AP234="5",BI234,0)</f>
        <v>0</v>
      </c>
      <c r="AA234" s="36">
        <f>IF(AP234="1",BG234,0)</f>
        <v>0</v>
      </c>
      <c r="AB234" s="36">
        <f>IF(AP234="1",BH234,0)</f>
        <v>0</v>
      </c>
      <c r="AC234" s="36">
        <f>IF(AP234="7",BG234,0)</f>
        <v>0</v>
      </c>
      <c r="AD234" s="36">
        <f>IF(AP234="7",BH234,0)</f>
        <v>0</v>
      </c>
      <c r="AE234" s="36">
        <f>IF(AP234="2",BG234,0)</f>
        <v>0</v>
      </c>
      <c r="AF234" s="36">
        <f>IF(AP234="2",BH234,0)</f>
        <v>0</v>
      </c>
      <c r="AG234" s="36">
        <f>IF(AP234="0",BI234,0)</f>
        <v>0</v>
      </c>
      <c r="AH234" s="54" t="s">
        <v>74</v>
      </c>
      <c r="AI234" s="50">
        <f>IF(AM234=0,K234,0)</f>
        <v>0</v>
      </c>
      <c r="AJ234" s="50">
        <f>IF(AM234=15,K234,0)</f>
        <v>0</v>
      </c>
      <c r="AK234" s="50">
        <f>IF(AM234=21,K234,0)</f>
        <v>0</v>
      </c>
      <c r="AM234" s="36">
        <v>21</v>
      </c>
      <c r="AN234" s="36">
        <f>H234*0</f>
        <v>0</v>
      </c>
      <c r="AO234" s="36">
        <f>H234*(1-0)</f>
        <v>0</v>
      </c>
      <c r="AP234" s="55" t="s">
        <v>92</v>
      </c>
      <c r="AU234" s="36">
        <f>AV234+AW234</f>
        <v>0</v>
      </c>
      <c r="AV234" s="36">
        <f>G234*AN234</f>
        <v>0</v>
      </c>
      <c r="AW234" s="36">
        <f>G234*AO234</f>
        <v>0</v>
      </c>
      <c r="AX234" s="57" t="s">
        <v>773</v>
      </c>
      <c r="AY234" s="57" t="s">
        <v>828</v>
      </c>
      <c r="AZ234" s="54" t="s">
        <v>838</v>
      </c>
      <c r="BB234" s="36">
        <f>AV234+AW234</f>
        <v>0</v>
      </c>
      <c r="BC234" s="36">
        <f>H234/(100-BD234)*100</f>
        <v>0</v>
      </c>
      <c r="BD234" s="36">
        <v>0</v>
      </c>
      <c r="BE234" s="36">
        <f>234</f>
        <v>234</v>
      </c>
      <c r="BG234" s="50">
        <f>G234*AN234</f>
        <v>0</v>
      </c>
      <c r="BH234" s="50">
        <f>G234*AO234</f>
        <v>0</v>
      </c>
      <c r="BI234" s="50">
        <f>G234*H234</f>
        <v>0</v>
      </c>
    </row>
    <row r="235" spans="1:61" ht="12.75">
      <c r="A235" s="42" t="s">
        <v>284</v>
      </c>
      <c r="B235" s="42" t="s">
        <v>490</v>
      </c>
      <c r="C235" s="184" t="s">
        <v>716</v>
      </c>
      <c r="D235" s="180"/>
      <c r="E235" s="180"/>
      <c r="F235" s="42" t="s">
        <v>748</v>
      </c>
      <c r="G235" s="50">
        <v>10</v>
      </c>
      <c r="H235" s="50">
        <v>0</v>
      </c>
      <c r="I235" s="50">
        <f>G235*AN235</f>
        <v>0</v>
      </c>
      <c r="J235" s="50">
        <f>G235*AO235</f>
        <v>0</v>
      </c>
      <c r="K235" s="50">
        <f>G235*H235</f>
        <v>0</v>
      </c>
      <c r="Y235" s="36">
        <f>IF(AP235="5",BI235,0)</f>
        <v>0</v>
      </c>
      <c r="AA235" s="36">
        <f>IF(AP235="1",BG235,0)</f>
        <v>0</v>
      </c>
      <c r="AB235" s="36">
        <f>IF(AP235="1",BH235,0)</f>
        <v>0</v>
      </c>
      <c r="AC235" s="36">
        <f>IF(AP235="7",BG235,0)</f>
        <v>0</v>
      </c>
      <c r="AD235" s="36">
        <f>IF(AP235="7",BH235,0)</f>
        <v>0</v>
      </c>
      <c r="AE235" s="36">
        <f>IF(AP235="2",BG235,0)</f>
        <v>0</v>
      </c>
      <c r="AF235" s="36">
        <f>IF(AP235="2",BH235,0)</f>
        <v>0</v>
      </c>
      <c r="AG235" s="36">
        <f>IF(AP235="0",BI235,0)</f>
        <v>0</v>
      </c>
      <c r="AH235" s="54" t="s">
        <v>74</v>
      </c>
      <c r="AI235" s="50">
        <f>IF(AM235=0,K235,0)</f>
        <v>0</v>
      </c>
      <c r="AJ235" s="50">
        <f>IF(AM235=15,K235,0)</f>
        <v>0</v>
      </c>
      <c r="AK235" s="50">
        <f>IF(AM235=21,K235,0)</f>
        <v>0</v>
      </c>
      <c r="AM235" s="36">
        <v>21</v>
      </c>
      <c r="AN235" s="36">
        <f>H235*0</f>
        <v>0</v>
      </c>
      <c r="AO235" s="36">
        <f>H235*(1-0)</f>
        <v>0</v>
      </c>
      <c r="AP235" s="55" t="s">
        <v>92</v>
      </c>
      <c r="AU235" s="36">
        <f>AV235+AW235</f>
        <v>0</v>
      </c>
      <c r="AV235" s="36">
        <f>G235*AN235</f>
        <v>0</v>
      </c>
      <c r="AW235" s="36">
        <f>G235*AO235</f>
        <v>0</v>
      </c>
      <c r="AX235" s="57" t="s">
        <v>773</v>
      </c>
      <c r="AY235" s="57" t="s">
        <v>828</v>
      </c>
      <c r="AZ235" s="54" t="s">
        <v>838</v>
      </c>
      <c r="BB235" s="36">
        <f>AV235+AW235</f>
        <v>0</v>
      </c>
      <c r="BC235" s="36">
        <f>H235/(100-BD235)*100</f>
        <v>0</v>
      </c>
      <c r="BD235" s="36">
        <v>0</v>
      </c>
      <c r="BE235" s="36">
        <f>235</f>
        <v>235</v>
      </c>
      <c r="BG235" s="50">
        <f>G235*AN235</f>
        <v>0</v>
      </c>
      <c r="BH235" s="50">
        <f>G235*AO235</f>
        <v>0</v>
      </c>
      <c r="BI235" s="50">
        <f>G235*H235</f>
        <v>0</v>
      </c>
    </row>
    <row r="236" spans="1:61" ht="12.75">
      <c r="A236" s="42" t="s">
        <v>285</v>
      </c>
      <c r="B236" s="42" t="s">
        <v>491</v>
      </c>
      <c r="C236" s="184" t="s">
        <v>717</v>
      </c>
      <c r="D236" s="180"/>
      <c r="E236" s="180"/>
      <c r="F236" s="42" t="s">
        <v>748</v>
      </c>
      <c r="G236" s="50">
        <v>9.8</v>
      </c>
      <c r="H236" s="50">
        <v>0</v>
      </c>
      <c r="I236" s="50">
        <f>G236*AN236</f>
        <v>0</v>
      </c>
      <c r="J236" s="50">
        <f>G236*AO236</f>
        <v>0</v>
      </c>
      <c r="K236" s="50">
        <f>G236*H236</f>
        <v>0</v>
      </c>
      <c r="Y236" s="36">
        <f>IF(AP236="5",BI236,0)</f>
        <v>0</v>
      </c>
      <c r="AA236" s="36">
        <f>IF(AP236="1",BG236,0)</f>
        <v>0</v>
      </c>
      <c r="AB236" s="36">
        <f>IF(AP236="1",BH236,0)</f>
        <v>0</v>
      </c>
      <c r="AC236" s="36">
        <f>IF(AP236="7",BG236,0)</f>
        <v>0</v>
      </c>
      <c r="AD236" s="36">
        <f>IF(AP236="7",BH236,0)</f>
        <v>0</v>
      </c>
      <c r="AE236" s="36">
        <f>IF(AP236="2",BG236,0)</f>
        <v>0</v>
      </c>
      <c r="AF236" s="36">
        <f>IF(AP236="2",BH236,0)</f>
        <v>0</v>
      </c>
      <c r="AG236" s="36">
        <f>IF(AP236="0",BI236,0)</f>
        <v>0</v>
      </c>
      <c r="AH236" s="54" t="s">
        <v>74</v>
      </c>
      <c r="AI236" s="50">
        <f>IF(AM236=0,K236,0)</f>
        <v>0</v>
      </c>
      <c r="AJ236" s="50">
        <f>IF(AM236=15,K236,0)</f>
        <v>0</v>
      </c>
      <c r="AK236" s="50">
        <f>IF(AM236=21,K236,0)</f>
        <v>0</v>
      </c>
      <c r="AM236" s="36">
        <v>21</v>
      </c>
      <c r="AN236" s="36">
        <f>H236*0</f>
        <v>0</v>
      </c>
      <c r="AO236" s="36">
        <f>H236*(1-0)</f>
        <v>0</v>
      </c>
      <c r="AP236" s="55" t="s">
        <v>92</v>
      </c>
      <c r="AU236" s="36">
        <f>AV236+AW236</f>
        <v>0</v>
      </c>
      <c r="AV236" s="36">
        <f>G236*AN236</f>
        <v>0</v>
      </c>
      <c r="AW236" s="36">
        <f>G236*AO236</f>
        <v>0</v>
      </c>
      <c r="AX236" s="57" t="s">
        <v>773</v>
      </c>
      <c r="AY236" s="57" t="s">
        <v>828</v>
      </c>
      <c r="AZ236" s="54" t="s">
        <v>838</v>
      </c>
      <c r="BB236" s="36">
        <f>AV236+AW236</f>
        <v>0</v>
      </c>
      <c r="BC236" s="36">
        <f>H236/(100-BD236)*100</f>
        <v>0</v>
      </c>
      <c r="BD236" s="36">
        <v>0</v>
      </c>
      <c r="BE236" s="36">
        <f>236</f>
        <v>236</v>
      </c>
      <c r="BG236" s="50">
        <f>G236*AN236</f>
        <v>0</v>
      </c>
      <c r="BH236" s="50">
        <f>G236*AO236</f>
        <v>0</v>
      </c>
      <c r="BI236" s="50">
        <f>G236*H236</f>
        <v>0</v>
      </c>
    </row>
    <row r="237" spans="1:46" ht="12.75">
      <c r="A237" s="41"/>
      <c r="B237" s="47" t="s">
        <v>130</v>
      </c>
      <c r="C237" s="191" t="s">
        <v>718</v>
      </c>
      <c r="D237" s="177"/>
      <c r="E237" s="177"/>
      <c r="F237" s="41" t="s">
        <v>68</v>
      </c>
      <c r="G237" s="41" t="s">
        <v>68</v>
      </c>
      <c r="H237" s="41" t="s">
        <v>68</v>
      </c>
      <c r="I237" s="58">
        <f>SUM(I238:I239)</f>
        <v>0</v>
      </c>
      <c r="J237" s="58">
        <f>SUM(J238:J239)</f>
        <v>0</v>
      </c>
      <c r="K237" s="58">
        <f>SUM(K238:K239)</f>
        <v>0</v>
      </c>
      <c r="AH237" s="54" t="s">
        <v>74</v>
      </c>
      <c r="AR237" s="58">
        <f>SUM(AI238:AI239)</f>
        <v>0</v>
      </c>
      <c r="AS237" s="58">
        <f>SUM(AJ238:AJ239)</f>
        <v>0</v>
      </c>
      <c r="AT237" s="58">
        <f>SUM(AK238:AK239)</f>
        <v>0</v>
      </c>
    </row>
    <row r="238" spans="1:61" ht="12.75">
      <c r="A238" s="42" t="s">
        <v>286</v>
      </c>
      <c r="B238" s="42" t="s">
        <v>492</v>
      </c>
      <c r="C238" s="184" t="s">
        <v>719</v>
      </c>
      <c r="D238" s="180"/>
      <c r="E238" s="180"/>
      <c r="F238" s="42" t="s">
        <v>750</v>
      </c>
      <c r="G238" s="50">
        <v>32.9</v>
      </c>
      <c r="H238" s="50">
        <v>0</v>
      </c>
      <c r="I238" s="50">
        <f>G238*AN238</f>
        <v>0</v>
      </c>
      <c r="J238" s="50">
        <f>G238*AO238</f>
        <v>0</v>
      </c>
      <c r="K238" s="50">
        <f>G238*H238</f>
        <v>0</v>
      </c>
      <c r="Y238" s="36">
        <f>IF(AP238="5",BI238,0)</f>
        <v>0</v>
      </c>
      <c r="AA238" s="36">
        <f>IF(AP238="1",BG238,0)</f>
        <v>0</v>
      </c>
      <c r="AB238" s="36">
        <f>IF(AP238="1",BH238,0)</f>
        <v>0</v>
      </c>
      <c r="AC238" s="36">
        <f>IF(AP238="7",BG238,0)</f>
        <v>0</v>
      </c>
      <c r="AD238" s="36">
        <f>IF(AP238="7",BH238,0)</f>
        <v>0</v>
      </c>
      <c r="AE238" s="36">
        <f>IF(AP238="2",BG238,0)</f>
        <v>0</v>
      </c>
      <c r="AF238" s="36">
        <f>IF(AP238="2",BH238,0)</f>
        <v>0</v>
      </c>
      <c r="AG238" s="36">
        <f>IF(AP238="0",BI238,0)</f>
        <v>0</v>
      </c>
      <c r="AH238" s="54" t="s">
        <v>74</v>
      </c>
      <c r="AI238" s="50">
        <f>IF(AM238=0,K238,0)</f>
        <v>0</v>
      </c>
      <c r="AJ238" s="50">
        <f>IF(AM238=15,K238,0)</f>
        <v>0</v>
      </c>
      <c r="AK238" s="50">
        <f>IF(AM238=21,K238,0)</f>
        <v>0</v>
      </c>
      <c r="AM238" s="36">
        <v>21</v>
      </c>
      <c r="AN238" s="36">
        <f>H238*0</f>
        <v>0</v>
      </c>
      <c r="AO238" s="36">
        <f>H238*(1-0)</f>
        <v>0</v>
      </c>
      <c r="AP238" s="55" t="s">
        <v>92</v>
      </c>
      <c r="AU238" s="36">
        <f>AV238+AW238</f>
        <v>0</v>
      </c>
      <c r="AV238" s="36">
        <f>G238*AN238</f>
        <v>0</v>
      </c>
      <c r="AW238" s="36">
        <f>G238*AO238</f>
        <v>0</v>
      </c>
      <c r="AX238" s="57" t="s">
        <v>805</v>
      </c>
      <c r="AY238" s="57" t="s">
        <v>828</v>
      </c>
      <c r="AZ238" s="54" t="s">
        <v>838</v>
      </c>
      <c r="BB238" s="36">
        <f>AV238+AW238</f>
        <v>0</v>
      </c>
      <c r="BC238" s="36">
        <f>H238/(100-BD238)*100</f>
        <v>0</v>
      </c>
      <c r="BD238" s="36">
        <v>0</v>
      </c>
      <c r="BE238" s="36">
        <f>238</f>
        <v>238</v>
      </c>
      <c r="BG238" s="50">
        <f>G238*AN238</f>
        <v>0</v>
      </c>
      <c r="BH238" s="50">
        <f>G238*AO238</f>
        <v>0</v>
      </c>
      <c r="BI238" s="50">
        <f>G238*H238</f>
        <v>0</v>
      </c>
    </row>
    <row r="239" spans="1:61" ht="12.75">
      <c r="A239" s="42" t="s">
        <v>287</v>
      </c>
      <c r="B239" s="42" t="s">
        <v>493</v>
      </c>
      <c r="C239" s="184" t="s">
        <v>720</v>
      </c>
      <c r="D239" s="180"/>
      <c r="E239" s="180"/>
      <c r="F239" s="42" t="s">
        <v>750</v>
      </c>
      <c r="G239" s="50">
        <v>33</v>
      </c>
      <c r="H239" s="50">
        <v>0</v>
      </c>
      <c r="I239" s="50">
        <f>G239*AN239</f>
        <v>0</v>
      </c>
      <c r="J239" s="50">
        <f>G239*AO239</f>
        <v>0</v>
      </c>
      <c r="K239" s="50">
        <f>G239*H239</f>
        <v>0</v>
      </c>
      <c r="Y239" s="36">
        <f>IF(AP239="5",BI239,0)</f>
        <v>0</v>
      </c>
      <c r="AA239" s="36">
        <f>IF(AP239="1",BG239,0)</f>
        <v>0</v>
      </c>
      <c r="AB239" s="36">
        <f>IF(AP239="1",BH239,0)</f>
        <v>0</v>
      </c>
      <c r="AC239" s="36">
        <f>IF(AP239="7",BG239,0)</f>
        <v>0</v>
      </c>
      <c r="AD239" s="36">
        <f>IF(AP239="7",BH239,0)</f>
        <v>0</v>
      </c>
      <c r="AE239" s="36">
        <f>IF(AP239="2",BG239,0)</f>
        <v>0</v>
      </c>
      <c r="AF239" s="36">
        <f>IF(AP239="2",BH239,0)</f>
        <v>0</v>
      </c>
      <c r="AG239" s="36">
        <f>IF(AP239="0",BI239,0)</f>
        <v>0</v>
      </c>
      <c r="AH239" s="54" t="s">
        <v>74</v>
      </c>
      <c r="AI239" s="50">
        <f>IF(AM239=0,K239,0)</f>
        <v>0</v>
      </c>
      <c r="AJ239" s="50">
        <f>IF(AM239=15,K239,0)</f>
        <v>0</v>
      </c>
      <c r="AK239" s="50">
        <f>IF(AM239=21,K239,0)</f>
        <v>0</v>
      </c>
      <c r="AM239" s="36">
        <v>21</v>
      </c>
      <c r="AN239" s="36">
        <f>H239*0.108928571428571</f>
        <v>0</v>
      </c>
      <c r="AO239" s="36">
        <f>H239*(1-0.108928571428571)</f>
        <v>0</v>
      </c>
      <c r="AP239" s="55" t="s">
        <v>93</v>
      </c>
      <c r="AU239" s="36">
        <f>AV239+AW239</f>
        <v>0</v>
      </c>
      <c r="AV239" s="36">
        <f>G239*AN239</f>
        <v>0</v>
      </c>
      <c r="AW239" s="36">
        <f>G239*AO239</f>
        <v>0</v>
      </c>
      <c r="AX239" s="57" t="s">
        <v>805</v>
      </c>
      <c r="AY239" s="57" t="s">
        <v>828</v>
      </c>
      <c r="AZ239" s="54" t="s">
        <v>838</v>
      </c>
      <c r="BB239" s="36">
        <f>AV239+AW239</f>
        <v>0</v>
      </c>
      <c r="BC239" s="36">
        <f>H239/(100-BD239)*100</f>
        <v>0</v>
      </c>
      <c r="BD239" s="36">
        <v>0</v>
      </c>
      <c r="BE239" s="36">
        <f>239</f>
        <v>239</v>
      </c>
      <c r="BG239" s="50">
        <f>G239*AN239</f>
        <v>0</v>
      </c>
      <c r="BH239" s="50">
        <f>G239*AO239</f>
        <v>0</v>
      </c>
      <c r="BI239" s="50">
        <f>G239*H239</f>
        <v>0</v>
      </c>
    </row>
    <row r="240" spans="1:46" ht="12.75">
      <c r="A240" s="77"/>
      <c r="B240" s="78" t="s">
        <v>168</v>
      </c>
      <c r="C240" s="176" t="s">
        <v>721</v>
      </c>
      <c r="D240" s="177"/>
      <c r="E240" s="178"/>
      <c r="F240" s="77" t="s">
        <v>68</v>
      </c>
      <c r="G240" s="77" t="s">
        <v>68</v>
      </c>
      <c r="H240" s="77" t="s">
        <v>68</v>
      </c>
      <c r="I240" s="81">
        <f>SUM(I241:I242)</f>
        <v>0</v>
      </c>
      <c r="J240" s="81">
        <f>SUM(J241:J242)</f>
        <v>0</v>
      </c>
      <c r="K240" s="81">
        <f>SUM(K241:K242)</f>
        <v>0</v>
      </c>
      <c r="AH240" s="54" t="s">
        <v>74</v>
      </c>
      <c r="AR240" s="58">
        <f>SUM(AI241:AI242)</f>
        <v>0</v>
      </c>
      <c r="AS240" s="58">
        <f>SUM(AJ241:AJ242)</f>
        <v>0</v>
      </c>
      <c r="AT240" s="58">
        <f>SUM(AK241:AK242)</f>
        <v>0</v>
      </c>
    </row>
    <row r="241" spans="1:61" ht="12.75">
      <c r="A241" s="82" t="s">
        <v>288</v>
      </c>
      <c r="B241" s="82" t="s">
        <v>494</v>
      </c>
      <c r="C241" s="179" t="s">
        <v>722</v>
      </c>
      <c r="D241" s="180"/>
      <c r="E241" s="181"/>
      <c r="F241" s="82" t="s">
        <v>750</v>
      </c>
      <c r="G241" s="83">
        <v>118</v>
      </c>
      <c r="H241" s="83">
        <v>0</v>
      </c>
      <c r="I241" s="83">
        <f>G241*AN241</f>
        <v>0</v>
      </c>
      <c r="J241" s="83">
        <f>G241*AO241</f>
        <v>0</v>
      </c>
      <c r="K241" s="83">
        <f>G241*H241</f>
        <v>0</v>
      </c>
      <c r="Y241" s="36">
        <f>IF(AP241="5",BI241,0)</f>
        <v>0</v>
      </c>
      <c r="AA241" s="36">
        <f>IF(AP241="1",BG241,0)</f>
        <v>0</v>
      </c>
      <c r="AB241" s="36">
        <f>IF(AP241="1",BH241,0)</f>
        <v>0</v>
      </c>
      <c r="AC241" s="36">
        <f>IF(AP241="7",BG241,0)</f>
        <v>0</v>
      </c>
      <c r="AD241" s="36">
        <f>IF(AP241="7",BH241,0)</f>
        <v>0</v>
      </c>
      <c r="AE241" s="36">
        <f>IF(AP241="2",BG241,0)</f>
        <v>0</v>
      </c>
      <c r="AF241" s="36">
        <f>IF(AP241="2",BH241,0)</f>
        <v>0</v>
      </c>
      <c r="AG241" s="36">
        <f>IF(AP241="0",BI241,0)</f>
        <v>0</v>
      </c>
      <c r="AH241" s="54" t="s">
        <v>74</v>
      </c>
      <c r="AI241" s="50">
        <f>IF(AM241=0,K241,0)</f>
        <v>0</v>
      </c>
      <c r="AJ241" s="50">
        <f>IF(AM241=15,K241,0)</f>
        <v>0</v>
      </c>
      <c r="AK241" s="50">
        <f>IF(AM241=21,K241,0)</f>
        <v>0</v>
      </c>
      <c r="AM241" s="36">
        <v>21</v>
      </c>
      <c r="AN241" s="36">
        <f>H241*0.863288409703504</f>
        <v>0</v>
      </c>
      <c r="AO241" s="36">
        <f>H241*(1-0.863288409703504)</f>
        <v>0</v>
      </c>
      <c r="AP241" s="55" t="s">
        <v>92</v>
      </c>
      <c r="AU241" s="36">
        <f>AV241+AW241</f>
        <v>0</v>
      </c>
      <c r="AV241" s="36">
        <f>G241*AN241</f>
        <v>0</v>
      </c>
      <c r="AW241" s="36">
        <f>G241*AO241</f>
        <v>0</v>
      </c>
      <c r="AX241" s="57" t="s">
        <v>806</v>
      </c>
      <c r="AY241" s="57" t="s">
        <v>829</v>
      </c>
      <c r="AZ241" s="54" t="s">
        <v>838</v>
      </c>
      <c r="BB241" s="36">
        <f>AV241+AW241</f>
        <v>0</v>
      </c>
      <c r="BC241" s="36">
        <f>H241/(100-BD241)*100</f>
        <v>0</v>
      </c>
      <c r="BD241" s="36">
        <v>0</v>
      </c>
      <c r="BE241" s="36">
        <f>241</f>
        <v>241</v>
      </c>
      <c r="BG241" s="50">
        <f>G241*AN241</f>
        <v>0</v>
      </c>
      <c r="BH241" s="50">
        <f>G241*AO241</f>
        <v>0</v>
      </c>
      <c r="BI241" s="50">
        <f>G241*H241</f>
        <v>0</v>
      </c>
    </row>
    <row r="242" spans="1:61" ht="12.75">
      <c r="A242" s="79" t="s">
        <v>289</v>
      </c>
      <c r="B242" s="79" t="s">
        <v>495</v>
      </c>
      <c r="C242" s="182" t="s">
        <v>723</v>
      </c>
      <c r="D242" s="180"/>
      <c r="E242" s="183"/>
      <c r="F242" s="79" t="s">
        <v>751</v>
      </c>
      <c r="G242" s="80">
        <v>44.6</v>
      </c>
      <c r="H242" s="80">
        <v>0</v>
      </c>
      <c r="I242" s="80">
        <f>G242*AN242</f>
        <v>0</v>
      </c>
      <c r="J242" s="80">
        <f>G242*AO242</f>
        <v>0</v>
      </c>
      <c r="K242" s="80">
        <f>G242*H242</f>
        <v>0</v>
      </c>
      <c r="Y242" s="36">
        <f>IF(AP242="5",BI242,0)</f>
        <v>0</v>
      </c>
      <c r="AA242" s="36">
        <f>IF(AP242="1",BG242,0)</f>
        <v>0</v>
      </c>
      <c r="AB242" s="36">
        <f>IF(AP242="1",BH242,0)</f>
        <v>0</v>
      </c>
      <c r="AC242" s="36">
        <f>IF(AP242="7",BG242,0)</f>
        <v>0</v>
      </c>
      <c r="AD242" s="36">
        <f>IF(AP242="7",BH242,0)</f>
        <v>0</v>
      </c>
      <c r="AE242" s="36">
        <f>IF(AP242="2",BG242,0)</f>
        <v>0</v>
      </c>
      <c r="AF242" s="36">
        <f>IF(AP242="2",BH242,0)</f>
        <v>0</v>
      </c>
      <c r="AG242" s="36">
        <f>IF(AP242="0",BI242,0)</f>
        <v>0</v>
      </c>
      <c r="AH242" s="54" t="s">
        <v>74</v>
      </c>
      <c r="AI242" s="50">
        <f>IF(AM242=0,K242,0)</f>
        <v>0</v>
      </c>
      <c r="AJ242" s="50">
        <f>IF(AM242=15,K242,0)</f>
        <v>0</v>
      </c>
      <c r="AK242" s="50">
        <f>IF(AM242=21,K242,0)</f>
        <v>0</v>
      </c>
      <c r="AM242" s="36">
        <v>21</v>
      </c>
      <c r="AN242" s="36">
        <f>H242*0</f>
        <v>0</v>
      </c>
      <c r="AO242" s="36">
        <f>H242*(1-0)</f>
        <v>0</v>
      </c>
      <c r="AP242" s="55" t="s">
        <v>103</v>
      </c>
      <c r="AU242" s="36">
        <f>AV242+AW242</f>
        <v>0</v>
      </c>
      <c r="AV242" s="36">
        <f>G242*AN242</f>
        <v>0</v>
      </c>
      <c r="AW242" s="36">
        <f>G242*AO242</f>
        <v>0</v>
      </c>
      <c r="AX242" s="57" t="s">
        <v>806</v>
      </c>
      <c r="AY242" s="57" t="s">
        <v>829</v>
      </c>
      <c r="AZ242" s="54" t="s">
        <v>838</v>
      </c>
      <c r="BB242" s="36">
        <f>AV242+AW242</f>
        <v>0</v>
      </c>
      <c r="BC242" s="36">
        <f>H242/(100-BD242)*100</f>
        <v>0</v>
      </c>
      <c r="BD242" s="36">
        <v>0</v>
      </c>
      <c r="BE242" s="36">
        <f>242</f>
        <v>242</v>
      </c>
      <c r="BG242" s="50">
        <f>G242*AN242</f>
        <v>0</v>
      </c>
      <c r="BH242" s="50">
        <f>G242*AO242</f>
        <v>0</v>
      </c>
      <c r="BI242" s="50">
        <f>G242*H242</f>
        <v>0</v>
      </c>
    </row>
    <row r="243" spans="1:46" ht="12.75">
      <c r="A243" s="41"/>
      <c r="B243" s="47" t="s">
        <v>171</v>
      </c>
      <c r="C243" s="191" t="s">
        <v>724</v>
      </c>
      <c r="D243" s="177"/>
      <c r="E243" s="177"/>
      <c r="F243" s="41" t="s">
        <v>68</v>
      </c>
      <c r="G243" s="41" t="s">
        <v>68</v>
      </c>
      <c r="H243" s="41" t="s">
        <v>68</v>
      </c>
      <c r="I243" s="58">
        <f>SUM(I244:I246)</f>
        <v>0</v>
      </c>
      <c r="J243" s="58">
        <f>SUM(J244:J246)</f>
        <v>0</v>
      </c>
      <c r="K243" s="58">
        <f>SUM(K244:K246)</f>
        <v>0</v>
      </c>
      <c r="AH243" s="54" t="s">
        <v>74</v>
      </c>
      <c r="AR243" s="58">
        <f>SUM(AI244:AI246)</f>
        <v>0</v>
      </c>
      <c r="AS243" s="58">
        <f>SUM(AJ244:AJ246)</f>
        <v>0</v>
      </c>
      <c r="AT243" s="58">
        <f>SUM(AK244:AK246)</f>
        <v>0</v>
      </c>
    </row>
    <row r="244" spans="1:61" ht="12.75">
      <c r="A244" s="42" t="s">
        <v>290</v>
      </c>
      <c r="B244" s="42" t="s">
        <v>496</v>
      </c>
      <c r="C244" s="184" t="s">
        <v>725</v>
      </c>
      <c r="D244" s="180"/>
      <c r="E244" s="180"/>
      <c r="F244" s="42" t="s">
        <v>750</v>
      </c>
      <c r="G244" s="50">
        <v>10.2</v>
      </c>
      <c r="H244" s="50">
        <v>0</v>
      </c>
      <c r="I244" s="50">
        <f>G244*AN244</f>
        <v>0</v>
      </c>
      <c r="J244" s="50">
        <f>G244*AO244</f>
        <v>0</v>
      </c>
      <c r="K244" s="50">
        <f>G244*H244</f>
        <v>0</v>
      </c>
      <c r="Y244" s="36">
        <f>IF(AP244="5",BI244,0)</f>
        <v>0</v>
      </c>
      <c r="AA244" s="36">
        <f>IF(AP244="1",BG244,0)</f>
        <v>0</v>
      </c>
      <c r="AB244" s="36">
        <f>IF(AP244="1",BH244,0)</f>
        <v>0</v>
      </c>
      <c r="AC244" s="36">
        <f>IF(AP244="7",BG244,0)</f>
        <v>0</v>
      </c>
      <c r="AD244" s="36">
        <f>IF(AP244="7",BH244,0)</f>
        <v>0</v>
      </c>
      <c r="AE244" s="36">
        <f>IF(AP244="2",BG244,0)</f>
        <v>0</v>
      </c>
      <c r="AF244" s="36">
        <f>IF(AP244="2",BH244,0)</f>
        <v>0</v>
      </c>
      <c r="AG244" s="36">
        <f>IF(AP244="0",BI244,0)</f>
        <v>0</v>
      </c>
      <c r="AH244" s="54" t="s">
        <v>74</v>
      </c>
      <c r="AI244" s="50">
        <f>IF(AM244=0,K244,0)</f>
        <v>0</v>
      </c>
      <c r="AJ244" s="50">
        <f>IF(AM244=15,K244,0)</f>
        <v>0</v>
      </c>
      <c r="AK244" s="50">
        <f>IF(AM244=21,K244,0)</f>
        <v>0</v>
      </c>
      <c r="AM244" s="36">
        <v>21</v>
      </c>
      <c r="AN244" s="36">
        <f>H244*0.496755083996463</f>
        <v>0</v>
      </c>
      <c r="AO244" s="36">
        <f>H244*(1-0.496755083996463)</f>
        <v>0</v>
      </c>
      <c r="AP244" s="55" t="s">
        <v>92</v>
      </c>
      <c r="AU244" s="36">
        <f>AV244+AW244</f>
        <v>0</v>
      </c>
      <c r="AV244" s="36">
        <f>G244*AN244</f>
        <v>0</v>
      </c>
      <c r="AW244" s="36">
        <f>G244*AO244</f>
        <v>0</v>
      </c>
      <c r="AX244" s="57" t="s">
        <v>807</v>
      </c>
      <c r="AY244" s="57" t="s">
        <v>829</v>
      </c>
      <c r="AZ244" s="54" t="s">
        <v>838</v>
      </c>
      <c r="BB244" s="36">
        <f>AV244+AW244</f>
        <v>0</v>
      </c>
      <c r="BC244" s="36">
        <f>H244/(100-BD244)*100</f>
        <v>0</v>
      </c>
      <c r="BD244" s="36">
        <v>0</v>
      </c>
      <c r="BE244" s="36">
        <f>244</f>
        <v>244</v>
      </c>
      <c r="BG244" s="50">
        <f>G244*AN244</f>
        <v>0</v>
      </c>
      <c r="BH244" s="50">
        <f>G244*AO244</f>
        <v>0</v>
      </c>
      <c r="BI244" s="50">
        <f>G244*H244</f>
        <v>0</v>
      </c>
    </row>
    <row r="245" spans="1:61" ht="12.75">
      <c r="A245" s="42" t="s">
        <v>291</v>
      </c>
      <c r="B245" s="42" t="s">
        <v>497</v>
      </c>
      <c r="C245" s="184" t="s">
        <v>726</v>
      </c>
      <c r="D245" s="180"/>
      <c r="E245" s="180"/>
      <c r="F245" s="42" t="s">
        <v>752</v>
      </c>
      <c r="G245" s="50">
        <v>1.2</v>
      </c>
      <c r="H245" s="50">
        <v>0</v>
      </c>
      <c r="I245" s="50">
        <f>G245*AN245</f>
        <v>0</v>
      </c>
      <c r="J245" s="50">
        <f>G245*AO245</f>
        <v>0</v>
      </c>
      <c r="K245" s="50">
        <f>G245*H245</f>
        <v>0</v>
      </c>
      <c r="Y245" s="36">
        <f>IF(AP245="5",BI245,0)</f>
        <v>0</v>
      </c>
      <c r="AA245" s="36">
        <f>IF(AP245="1",BG245,0)</f>
        <v>0</v>
      </c>
      <c r="AB245" s="36">
        <f>IF(AP245="1",BH245,0)</f>
        <v>0</v>
      </c>
      <c r="AC245" s="36">
        <f>IF(AP245="7",BG245,0)</f>
        <v>0</v>
      </c>
      <c r="AD245" s="36">
        <f>IF(AP245="7",BH245,0)</f>
        <v>0</v>
      </c>
      <c r="AE245" s="36">
        <f>IF(AP245="2",BG245,0)</f>
        <v>0</v>
      </c>
      <c r="AF245" s="36">
        <f>IF(AP245="2",BH245,0)</f>
        <v>0</v>
      </c>
      <c r="AG245" s="36">
        <f>IF(AP245="0",BI245,0)</f>
        <v>0</v>
      </c>
      <c r="AH245" s="54" t="s">
        <v>74</v>
      </c>
      <c r="AI245" s="50">
        <f>IF(AM245=0,K245,0)</f>
        <v>0</v>
      </c>
      <c r="AJ245" s="50">
        <f>IF(AM245=15,K245,0)</f>
        <v>0</v>
      </c>
      <c r="AK245" s="50">
        <f>IF(AM245=21,K245,0)</f>
        <v>0</v>
      </c>
      <c r="AM245" s="36">
        <v>21</v>
      </c>
      <c r="AN245" s="36">
        <f>H245*0.0575492341356674</f>
        <v>0</v>
      </c>
      <c r="AO245" s="36">
        <f>H245*(1-0.0575492341356674)</f>
        <v>0</v>
      </c>
      <c r="AP245" s="55" t="s">
        <v>92</v>
      </c>
      <c r="AU245" s="36">
        <f>AV245+AW245</f>
        <v>0</v>
      </c>
      <c r="AV245" s="36">
        <f>G245*AN245</f>
        <v>0</v>
      </c>
      <c r="AW245" s="36">
        <f>G245*AO245</f>
        <v>0</v>
      </c>
      <c r="AX245" s="57" t="s">
        <v>807</v>
      </c>
      <c r="AY245" s="57" t="s">
        <v>829</v>
      </c>
      <c r="AZ245" s="54" t="s">
        <v>838</v>
      </c>
      <c r="BB245" s="36">
        <f>AV245+AW245</f>
        <v>0</v>
      </c>
      <c r="BC245" s="36">
        <f>H245/(100-BD245)*100</f>
        <v>0</v>
      </c>
      <c r="BD245" s="36">
        <v>0</v>
      </c>
      <c r="BE245" s="36">
        <f>245</f>
        <v>245</v>
      </c>
      <c r="BG245" s="50">
        <f>G245*AN245</f>
        <v>0</v>
      </c>
      <c r="BH245" s="50">
        <f>G245*AO245</f>
        <v>0</v>
      </c>
      <c r="BI245" s="50">
        <f>G245*H245</f>
        <v>0</v>
      </c>
    </row>
    <row r="246" spans="1:61" ht="12.75">
      <c r="A246" s="42" t="s">
        <v>292</v>
      </c>
      <c r="B246" s="42" t="s">
        <v>498</v>
      </c>
      <c r="C246" s="184" t="s">
        <v>727</v>
      </c>
      <c r="D246" s="180"/>
      <c r="E246" s="180"/>
      <c r="F246" s="42" t="s">
        <v>751</v>
      </c>
      <c r="G246" s="50">
        <v>5.64</v>
      </c>
      <c r="H246" s="50">
        <v>0</v>
      </c>
      <c r="I246" s="50">
        <f>G246*AN246</f>
        <v>0</v>
      </c>
      <c r="J246" s="50">
        <f>G246*AO246</f>
        <v>0</v>
      </c>
      <c r="K246" s="50">
        <f>G246*H246</f>
        <v>0</v>
      </c>
      <c r="Y246" s="36">
        <f>IF(AP246="5",BI246,0)</f>
        <v>0</v>
      </c>
      <c r="AA246" s="36">
        <f>IF(AP246="1",BG246,0)</f>
        <v>0</v>
      </c>
      <c r="AB246" s="36">
        <f>IF(AP246="1",BH246,0)</f>
        <v>0</v>
      </c>
      <c r="AC246" s="36">
        <f>IF(AP246="7",BG246,0)</f>
        <v>0</v>
      </c>
      <c r="AD246" s="36">
        <f>IF(AP246="7",BH246,0)</f>
        <v>0</v>
      </c>
      <c r="AE246" s="36">
        <f>IF(AP246="2",BG246,0)</f>
        <v>0</v>
      </c>
      <c r="AF246" s="36">
        <f>IF(AP246="2",BH246,0)</f>
        <v>0</v>
      </c>
      <c r="AG246" s="36">
        <f>IF(AP246="0",BI246,0)</f>
        <v>0</v>
      </c>
      <c r="AH246" s="54" t="s">
        <v>74</v>
      </c>
      <c r="AI246" s="50">
        <f>IF(AM246=0,K246,0)</f>
        <v>0</v>
      </c>
      <c r="AJ246" s="50">
        <f>IF(AM246=15,K246,0)</f>
        <v>0</v>
      </c>
      <c r="AK246" s="50">
        <f>IF(AM246=21,K246,0)</f>
        <v>0</v>
      </c>
      <c r="AM246" s="36">
        <v>21</v>
      </c>
      <c r="AN246" s="36">
        <f>H246*0</f>
        <v>0</v>
      </c>
      <c r="AO246" s="36">
        <f>H246*(1-0)</f>
        <v>0</v>
      </c>
      <c r="AP246" s="55" t="s">
        <v>103</v>
      </c>
      <c r="AU246" s="36">
        <f>AV246+AW246</f>
        <v>0</v>
      </c>
      <c r="AV246" s="36">
        <f>G246*AN246</f>
        <v>0</v>
      </c>
      <c r="AW246" s="36">
        <f>G246*AO246</f>
        <v>0</v>
      </c>
      <c r="AX246" s="57" t="s">
        <v>807</v>
      </c>
      <c r="AY246" s="57" t="s">
        <v>829</v>
      </c>
      <c r="AZ246" s="54" t="s">
        <v>838</v>
      </c>
      <c r="BB246" s="36">
        <f>AV246+AW246</f>
        <v>0</v>
      </c>
      <c r="BC246" s="36">
        <f>H246/(100-BD246)*100</f>
        <v>0</v>
      </c>
      <c r="BD246" s="36">
        <v>0</v>
      </c>
      <c r="BE246" s="36">
        <f>246</f>
        <v>246</v>
      </c>
      <c r="BG246" s="50">
        <f>G246*AN246</f>
        <v>0</v>
      </c>
      <c r="BH246" s="50">
        <f>G246*AO246</f>
        <v>0</v>
      </c>
      <c r="BI246" s="50">
        <f>G246*H246</f>
        <v>0</v>
      </c>
    </row>
    <row r="247" spans="1:46" ht="12.75">
      <c r="A247" s="41"/>
      <c r="B247" s="47" t="s">
        <v>198</v>
      </c>
      <c r="C247" s="191" t="s">
        <v>728</v>
      </c>
      <c r="D247" s="177"/>
      <c r="E247" s="177"/>
      <c r="F247" s="41" t="s">
        <v>68</v>
      </c>
      <c r="G247" s="41" t="s">
        <v>68</v>
      </c>
      <c r="H247" s="41" t="s">
        <v>68</v>
      </c>
      <c r="I247" s="58">
        <f>SUM(I248:I250)</f>
        <v>0</v>
      </c>
      <c r="J247" s="58">
        <f>SUM(J248:J250)</f>
        <v>0</v>
      </c>
      <c r="K247" s="58">
        <f>SUM(K248:K250)</f>
        <v>0</v>
      </c>
      <c r="AH247" s="54" t="s">
        <v>74</v>
      </c>
      <c r="AR247" s="58">
        <f>SUM(AI248:AI250)</f>
        <v>0</v>
      </c>
      <c r="AS247" s="58">
        <f>SUM(AJ248:AJ250)</f>
        <v>0</v>
      </c>
      <c r="AT247" s="58">
        <f>SUM(AK248:AK250)</f>
        <v>0</v>
      </c>
    </row>
    <row r="248" spans="1:61" ht="12.75">
      <c r="A248" s="42" t="s">
        <v>293</v>
      </c>
      <c r="B248" s="42" t="s">
        <v>499</v>
      </c>
      <c r="C248" s="184" t="s">
        <v>729</v>
      </c>
      <c r="D248" s="180"/>
      <c r="E248" s="180"/>
      <c r="F248" s="42" t="s">
        <v>752</v>
      </c>
      <c r="G248" s="50">
        <v>55.1</v>
      </c>
      <c r="H248" s="50">
        <v>0</v>
      </c>
      <c r="I248" s="50">
        <f>G248*AN248</f>
        <v>0</v>
      </c>
      <c r="J248" s="50">
        <f>G248*AO248</f>
        <v>0</v>
      </c>
      <c r="K248" s="50">
        <f>G248*H248</f>
        <v>0</v>
      </c>
      <c r="Y248" s="36">
        <f>IF(AP248="5",BI248,0)</f>
        <v>0</v>
      </c>
      <c r="AA248" s="36">
        <f>IF(AP248="1",BG248,0)</f>
        <v>0</v>
      </c>
      <c r="AB248" s="36">
        <f>IF(AP248="1",BH248,0)</f>
        <v>0</v>
      </c>
      <c r="AC248" s="36">
        <f>IF(AP248="7",BG248,0)</f>
        <v>0</v>
      </c>
      <c r="AD248" s="36">
        <f>IF(AP248="7",BH248,0)</f>
        <v>0</v>
      </c>
      <c r="AE248" s="36">
        <f>IF(AP248="2",BG248,0)</f>
        <v>0</v>
      </c>
      <c r="AF248" s="36">
        <f>IF(AP248="2",BH248,0)</f>
        <v>0</v>
      </c>
      <c r="AG248" s="36">
        <f>IF(AP248="0",BI248,0)</f>
        <v>0</v>
      </c>
      <c r="AH248" s="54" t="s">
        <v>74</v>
      </c>
      <c r="AI248" s="50">
        <f>IF(AM248=0,K248,0)</f>
        <v>0</v>
      </c>
      <c r="AJ248" s="50">
        <f>IF(AM248=15,K248,0)</f>
        <v>0</v>
      </c>
      <c r="AK248" s="50">
        <f>IF(AM248=21,K248,0)</f>
        <v>0</v>
      </c>
      <c r="AM248" s="36">
        <v>21</v>
      </c>
      <c r="AN248" s="36">
        <f>H248*0.445470085470086</f>
        <v>0</v>
      </c>
      <c r="AO248" s="36">
        <f>H248*(1-0.445470085470086)</f>
        <v>0</v>
      </c>
      <c r="AP248" s="55" t="s">
        <v>92</v>
      </c>
      <c r="AU248" s="36">
        <f>AV248+AW248</f>
        <v>0</v>
      </c>
      <c r="AV248" s="36">
        <f>G248*AN248</f>
        <v>0</v>
      </c>
      <c r="AW248" s="36">
        <f>G248*AO248</f>
        <v>0</v>
      </c>
      <c r="AX248" s="57" t="s">
        <v>808</v>
      </c>
      <c r="AY248" s="57" t="s">
        <v>830</v>
      </c>
      <c r="AZ248" s="54" t="s">
        <v>838</v>
      </c>
      <c r="BB248" s="36">
        <f>AV248+AW248</f>
        <v>0</v>
      </c>
      <c r="BC248" s="36">
        <f>H248/(100-BD248)*100</f>
        <v>0</v>
      </c>
      <c r="BD248" s="36">
        <v>0</v>
      </c>
      <c r="BE248" s="36">
        <f>248</f>
        <v>248</v>
      </c>
      <c r="BG248" s="50">
        <f>G248*AN248</f>
        <v>0</v>
      </c>
      <c r="BH248" s="50">
        <f>G248*AO248</f>
        <v>0</v>
      </c>
      <c r="BI248" s="50">
        <f>G248*H248</f>
        <v>0</v>
      </c>
    </row>
    <row r="249" spans="1:61" ht="12.75">
      <c r="A249" s="43" t="s">
        <v>294</v>
      </c>
      <c r="B249" s="43" t="s">
        <v>500</v>
      </c>
      <c r="C249" s="185" t="s">
        <v>730</v>
      </c>
      <c r="D249" s="186"/>
      <c r="E249" s="186"/>
      <c r="F249" s="43" t="s">
        <v>749</v>
      </c>
      <c r="G249" s="51">
        <v>56.2</v>
      </c>
      <c r="H249" s="51">
        <v>0</v>
      </c>
      <c r="I249" s="51">
        <f>G249*AN249</f>
        <v>0</v>
      </c>
      <c r="J249" s="51">
        <f>G249*AO249</f>
        <v>0</v>
      </c>
      <c r="K249" s="51">
        <f>G249*H249</f>
        <v>0</v>
      </c>
      <c r="Y249" s="36">
        <f>IF(AP249="5",BI249,0)</f>
        <v>0</v>
      </c>
      <c r="AA249" s="36">
        <f>IF(AP249="1",BG249,0)</f>
        <v>0</v>
      </c>
      <c r="AB249" s="36">
        <f>IF(AP249="1",BH249,0)</f>
        <v>0</v>
      </c>
      <c r="AC249" s="36">
        <f>IF(AP249="7",BG249,0)</f>
        <v>0</v>
      </c>
      <c r="AD249" s="36">
        <f>IF(AP249="7",BH249,0)</f>
        <v>0</v>
      </c>
      <c r="AE249" s="36">
        <f>IF(AP249="2",BG249,0)</f>
        <v>0</v>
      </c>
      <c r="AF249" s="36">
        <f>IF(AP249="2",BH249,0)</f>
        <v>0</v>
      </c>
      <c r="AG249" s="36">
        <f>IF(AP249="0",BI249,0)</f>
        <v>0</v>
      </c>
      <c r="AH249" s="54" t="s">
        <v>74</v>
      </c>
      <c r="AI249" s="51">
        <f>IF(AM249=0,K249,0)</f>
        <v>0</v>
      </c>
      <c r="AJ249" s="51">
        <f>IF(AM249=15,K249,0)</f>
        <v>0</v>
      </c>
      <c r="AK249" s="51">
        <f>IF(AM249=21,K249,0)</f>
        <v>0</v>
      </c>
      <c r="AM249" s="36">
        <v>21</v>
      </c>
      <c r="AN249" s="36">
        <f>H249*1</f>
        <v>0</v>
      </c>
      <c r="AO249" s="36">
        <f>H249*(1-1)</f>
        <v>0</v>
      </c>
      <c r="AP249" s="56" t="s">
        <v>92</v>
      </c>
      <c r="AU249" s="36">
        <f>AV249+AW249</f>
        <v>0</v>
      </c>
      <c r="AV249" s="36">
        <f>G249*AN249</f>
        <v>0</v>
      </c>
      <c r="AW249" s="36">
        <f>G249*AO249</f>
        <v>0</v>
      </c>
      <c r="AX249" s="57" t="s">
        <v>808</v>
      </c>
      <c r="AY249" s="57" t="s">
        <v>830</v>
      </c>
      <c r="AZ249" s="54" t="s">
        <v>838</v>
      </c>
      <c r="BB249" s="36">
        <f>AV249+AW249</f>
        <v>0</v>
      </c>
      <c r="BC249" s="36">
        <f>H249/(100-BD249)*100</f>
        <v>0</v>
      </c>
      <c r="BD249" s="36">
        <v>0</v>
      </c>
      <c r="BE249" s="36">
        <f>249</f>
        <v>249</v>
      </c>
      <c r="BG249" s="51">
        <f>G249*AN249</f>
        <v>0</v>
      </c>
      <c r="BH249" s="51">
        <f>G249*AO249</f>
        <v>0</v>
      </c>
      <c r="BI249" s="51">
        <f>G249*H249</f>
        <v>0</v>
      </c>
    </row>
    <row r="250" spans="1:61" ht="12.75">
      <c r="A250" s="42" t="s">
        <v>295</v>
      </c>
      <c r="B250" s="42" t="s">
        <v>501</v>
      </c>
      <c r="C250" s="184" t="s">
        <v>731</v>
      </c>
      <c r="D250" s="180"/>
      <c r="E250" s="180"/>
      <c r="F250" s="42" t="s">
        <v>751</v>
      </c>
      <c r="G250" s="50">
        <v>6.88</v>
      </c>
      <c r="H250" s="50">
        <v>0</v>
      </c>
      <c r="I250" s="50">
        <f>G250*AN250</f>
        <v>0</v>
      </c>
      <c r="J250" s="50">
        <f>G250*AO250</f>
        <v>0</v>
      </c>
      <c r="K250" s="50">
        <f>G250*H250</f>
        <v>0</v>
      </c>
      <c r="Y250" s="36">
        <f>IF(AP250="5",BI250,0)</f>
        <v>0</v>
      </c>
      <c r="AA250" s="36">
        <f>IF(AP250="1",BG250,0)</f>
        <v>0</v>
      </c>
      <c r="AB250" s="36">
        <f>IF(AP250="1",BH250,0)</f>
        <v>0</v>
      </c>
      <c r="AC250" s="36">
        <f>IF(AP250="7",BG250,0)</f>
        <v>0</v>
      </c>
      <c r="AD250" s="36">
        <f>IF(AP250="7",BH250,0)</f>
        <v>0</v>
      </c>
      <c r="AE250" s="36">
        <f>IF(AP250="2",BG250,0)</f>
        <v>0</v>
      </c>
      <c r="AF250" s="36">
        <f>IF(AP250="2",BH250,0)</f>
        <v>0</v>
      </c>
      <c r="AG250" s="36">
        <f>IF(AP250="0",BI250,0)</f>
        <v>0</v>
      </c>
      <c r="AH250" s="54" t="s">
        <v>74</v>
      </c>
      <c r="AI250" s="50">
        <f>IF(AM250=0,K250,0)</f>
        <v>0</v>
      </c>
      <c r="AJ250" s="50">
        <f>IF(AM250=15,K250,0)</f>
        <v>0</v>
      </c>
      <c r="AK250" s="50">
        <f>IF(AM250=21,K250,0)</f>
        <v>0</v>
      </c>
      <c r="AM250" s="36">
        <v>21</v>
      </c>
      <c r="AN250" s="36">
        <f>H250*0</f>
        <v>0</v>
      </c>
      <c r="AO250" s="36">
        <f>H250*(1-0)</f>
        <v>0</v>
      </c>
      <c r="AP250" s="55" t="s">
        <v>103</v>
      </c>
      <c r="AU250" s="36">
        <f>AV250+AW250</f>
        <v>0</v>
      </c>
      <c r="AV250" s="36">
        <f>G250*AN250</f>
        <v>0</v>
      </c>
      <c r="AW250" s="36">
        <f>G250*AO250</f>
        <v>0</v>
      </c>
      <c r="AX250" s="57" t="s">
        <v>808</v>
      </c>
      <c r="AY250" s="57" t="s">
        <v>830</v>
      </c>
      <c r="AZ250" s="54" t="s">
        <v>838</v>
      </c>
      <c r="BB250" s="36">
        <f>AV250+AW250</f>
        <v>0</v>
      </c>
      <c r="BC250" s="36">
        <f>H250/(100-BD250)*100</f>
        <v>0</v>
      </c>
      <c r="BD250" s="36">
        <v>0</v>
      </c>
      <c r="BE250" s="36">
        <f>250</f>
        <v>250</v>
      </c>
      <c r="BG250" s="50">
        <f>G250*AN250</f>
        <v>0</v>
      </c>
      <c r="BH250" s="50">
        <f>G250*AO250</f>
        <v>0</v>
      </c>
      <c r="BI250" s="50">
        <f>G250*H250</f>
        <v>0</v>
      </c>
    </row>
    <row r="251" spans="1:11" ht="12.75">
      <c r="A251" s="44"/>
      <c r="B251" s="48"/>
      <c r="C251" s="195" t="s">
        <v>82</v>
      </c>
      <c r="D251" s="193"/>
      <c r="E251" s="193"/>
      <c r="F251" s="44" t="s">
        <v>68</v>
      </c>
      <c r="G251" s="44" t="s">
        <v>68</v>
      </c>
      <c r="H251" s="44" t="s">
        <v>68</v>
      </c>
      <c r="I251" s="59">
        <f>I252+I255+I259+I261+I264+I266</f>
        <v>0</v>
      </c>
      <c r="J251" s="59">
        <f>J252+J255+J259+J261+J264+J266</f>
        <v>0</v>
      </c>
      <c r="K251" s="59">
        <f>K252+K255+K259+K261+K264+K266</f>
        <v>0</v>
      </c>
    </row>
    <row r="252" spans="1:46" ht="12.75">
      <c r="A252" s="41"/>
      <c r="B252" s="47" t="s">
        <v>125</v>
      </c>
      <c r="C252" s="191" t="s">
        <v>521</v>
      </c>
      <c r="D252" s="177"/>
      <c r="E252" s="177"/>
      <c r="F252" s="41" t="s">
        <v>68</v>
      </c>
      <c r="G252" s="41" t="s">
        <v>68</v>
      </c>
      <c r="H252" s="41" t="s">
        <v>68</v>
      </c>
      <c r="I252" s="58">
        <f>SUM(I253:I254)</f>
        <v>0</v>
      </c>
      <c r="J252" s="58">
        <f>SUM(J253:J254)</f>
        <v>0</v>
      </c>
      <c r="K252" s="58">
        <f>SUM(K253:K254)</f>
        <v>0</v>
      </c>
      <c r="AH252" s="54" t="s">
        <v>75</v>
      </c>
      <c r="AR252" s="58">
        <f>SUM(AI253:AI254)</f>
        <v>0</v>
      </c>
      <c r="AS252" s="58">
        <f>SUM(AJ253:AJ254)</f>
        <v>0</v>
      </c>
      <c r="AT252" s="58">
        <f>SUM(AK253:AK254)</f>
        <v>0</v>
      </c>
    </row>
    <row r="253" spans="1:61" ht="12.75">
      <c r="A253" s="42" t="s">
        <v>296</v>
      </c>
      <c r="B253" s="42" t="s">
        <v>502</v>
      </c>
      <c r="C253" s="184" t="s">
        <v>732</v>
      </c>
      <c r="D253" s="180"/>
      <c r="E253" s="180"/>
      <c r="F253" s="42" t="s">
        <v>748</v>
      </c>
      <c r="G253" s="50">
        <v>15.63</v>
      </c>
      <c r="H253" s="50">
        <v>0</v>
      </c>
      <c r="I253" s="50">
        <f>G253*AN253</f>
        <v>0</v>
      </c>
      <c r="J253" s="50">
        <f>G253*AO253</f>
        <v>0</v>
      </c>
      <c r="K253" s="50">
        <f>G253*H253</f>
        <v>0</v>
      </c>
      <c r="Y253" s="36">
        <f>IF(AP253="5",BI253,0)</f>
        <v>0</v>
      </c>
      <c r="AA253" s="36">
        <f>IF(AP253="1",BG253,0)</f>
        <v>0</v>
      </c>
      <c r="AB253" s="36">
        <f>IF(AP253="1",BH253,0)</f>
        <v>0</v>
      </c>
      <c r="AC253" s="36">
        <f>IF(AP253="7",BG253,0)</f>
        <v>0</v>
      </c>
      <c r="AD253" s="36">
        <f>IF(AP253="7",BH253,0)</f>
        <v>0</v>
      </c>
      <c r="AE253" s="36">
        <f>IF(AP253="2",BG253,0)</f>
        <v>0</v>
      </c>
      <c r="AF253" s="36">
        <f>IF(AP253="2",BH253,0)</f>
        <v>0</v>
      </c>
      <c r="AG253" s="36">
        <f>IF(AP253="0",BI253,0)</f>
        <v>0</v>
      </c>
      <c r="AH253" s="54" t="s">
        <v>75</v>
      </c>
      <c r="AI253" s="50">
        <f>IF(AM253=0,K253,0)</f>
        <v>0</v>
      </c>
      <c r="AJ253" s="50">
        <f>IF(AM253=15,K253,0)</f>
        <v>0</v>
      </c>
      <c r="AK253" s="50">
        <f>IF(AM253=21,K253,0)</f>
        <v>0</v>
      </c>
      <c r="AM253" s="36">
        <v>21</v>
      </c>
      <c r="AN253" s="36">
        <f>H253*0</f>
        <v>0</v>
      </c>
      <c r="AO253" s="36">
        <f>H253*(1-0)</f>
        <v>0</v>
      </c>
      <c r="AP253" s="55" t="s">
        <v>92</v>
      </c>
      <c r="AU253" s="36">
        <f>AV253+AW253</f>
        <v>0</v>
      </c>
      <c r="AV253" s="36">
        <f>G253*AN253</f>
        <v>0</v>
      </c>
      <c r="AW253" s="36">
        <f>G253*AO253</f>
        <v>0</v>
      </c>
      <c r="AX253" s="57" t="s">
        <v>772</v>
      </c>
      <c r="AY253" s="57" t="s">
        <v>831</v>
      </c>
      <c r="AZ253" s="54" t="s">
        <v>839</v>
      </c>
      <c r="BB253" s="36">
        <f>AV253+AW253</f>
        <v>0</v>
      </c>
      <c r="BC253" s="36">
        <f>H253/(100-BD253)*100</f>
        <v>0</v>
      </c>
      <c r="BD253" s="36">
        <v>0</v>
      </c>
      <c r="BE253" s="36">
        <f>253</f>
        <v>253</v>
      </c>
      <c r="BG253" s="50">
        <f>G253*AN253</f>
        <v>0</v>
      </c>
      <c r="BH253" s="50">
        <f>G253*AO253</f>
        <v>0</v>
      </c>
      <c r="BI253" s="50">
        <f>G253*H253</f>
        <v>0</v>
      </c>
    </row>
    <row r="254" spans="1:61" ht="12.75">
      <c r="A254" s="42" t="s">
        <v>297</v>
      </c>
      <c r="B254" s="42" t="s">
        <v>503</v>
      </c>
      <c r="C254" s="184" t="s">
        <v>733</v>
      </c>
      <c r="D254" s="180"/>
      <c r="E254" s="180"/>
      <c r="F254" s="42" t="s">
        <v>748</v>
      </c>
      <c r="G254" s="50">
        <v>5.21</v>
      </c>
      <c r="H254" s="50">
        <v>0</v>
      </c>
      <c r="I254" s="50">
        <f>G254*AN254</f>
        <v>0</v>
      </c>
      <c r="J254" s="50">
        <f>G254*AO254</f>
        <v>0</v>
      </c>
      <c r="K254" s="50">
        <f>G254*H254</f>
        <v>0</v>
      </c>
      <c r="Y254" s="36">
        <f>IF(AP254="5",BI254,0)</f>
        <v>0</v>
      </c>
      <c r="AA254" s="36">
        <f>IF(AP254="1",BG254,0)</f>
        <v>0</v>
      </c>
      <c r="AB254" s="36">
        <f>IF(AP254="1",BH254,0)</f>
        <v>0</v>
      </c>
      <c r="AC254" s="36">
        <f>IF(AP254="7",BG254,0)</f>
        <v>0</v>
      </c>
      <c r="AD254" s="36">
        <f>IF(AP254="7",BH254,0)</f>
        <v>0</v>
      </c>
      <c r="AE254" s="36">
        <f>IF(AP254="2",BG254,0)</f>
        <v>0</v>
      </c>
      <c r="AF254" s="36">
        <f>IF(AP254="2",BH254,0)</f>
        <v>0</v>
      </c>
      <c r="AG254" s="36">
        <f>IF(AP254="0",BI254,0)</f>
        <v>0</v>
      </c>
      <c r="AH254" s="54" t="s">
        <v>75</v>
      </c>
      <c r="AI254" s="50">
        <f>IF(AM254=0,K254,0)</f>
        <v>0</v>
      </c>
      <c r="AJ254" s="50">
        <f>IF(AM254=15,K254,0)</f>
        <v>0</v>
      </c>
      <c r="AK254" s="50">
        <f>IF(AM254=21,K254,0)</f>
        <v>0</v>
      </c>
      <c r="AM254" s="36">
        <v>21</v>
      </c>
      <c r="AN254" s="36">
        <f>H254*0</f>
        <v>0</v>
      </c>
      <c r="AO254" s="36">
        <f>H254*(1-0)</f>
        <v>0</v>
      </c>
      <c r="AP254" s="55" t="s">
        <v>92</v>
      </c>
      <c r="AU254" s="36">
        <f>AV254+AW254</f>
        <v>0</v>
      </c>
      <c r="AV254" s="36">
        <f>G254*AN254</f>
        <v>0</v>
      </c>
      <c r="AW254" s="36">
        <f>G254*AO254</f>
        <v>0</v>
      </c>
      <c r="AX254" s="57" t="s">
        <v>772</v>
      </c>
      <c r="AY254" s="57" t="s">
        <v>831</v>
      </c>
      <c r="AZ254" s="54" t="s">
        <v>839</v>
      </c>
      <c r="BB254" s="36">
        <f>AV254+AW254</f>
        <v>0</v>
      </c>
      <c r="BC254" s="36">
        <f>H254/(100-BD254)*100</f>
        <v>0</v>
      </c>
      <c r="BD254" s="36">
        <v>0</v>
      </c>
      <c r="BE254" s="36">
        <f>254</f>
        <v>254</v>
      </c>
      <c r="BG254" s="50">
        <f>G254*AN254</f>
        <v>0</v>
      </c>
      <c r="BH254" s="50">
        <f>G254*AO254</f>
        <v>0</v>
      </c>
      <c r="BI254" s="50">
        <f>G254*H254</f>
        <v>0</v>
      </c>
    </row>
    <row r="255" spans="1:46" ht="12.75">
      <c r="A255" s="41"/>
      <c r="B255" s="47" t="s">
        <v>128</v>
      </c>
      <c r="C255" s="191" t="s">
        <v>524</v>
      </c>
      <c r="D255" s="177"/>
      <c r="E255" s="177"/>
      <c r="F255" s="41" t="s">
        <v>68</v>
      </c>
      <c r="G255" s="41" t="s">
        <v>68</v>
      </c>
      <c r="H255" s="41" t="s">
        <v>68</v>
      </c>
      <c r="I255" s="58">
        <f>SUM(I256:I258)</f>
        <v>0</v>
      </c>
      <c r="J255" s="58">
        <f>SUM(J256:J258)</f>
        <v>0</v>
      </c>
      <c r="K255" s="58">
        <f>SUM(K256:K258)</f>
        <v>0</v>
      </c>
      <c r="AH255" s="54" t="s">
        <v>75</v>
      </c>
      <c r="AR255" s="58">
        <f>SUM(AI256:AI258)</f>
        <v>0</v>
      </c>
      <c r="AS255" s="58">
        <f>SUM(AJ256:AJ258)</f>
        <v>0</v>
      </c>
      <c r="AT255" s="58">
        <f>SUM(AK256:AK258)</f>
        <v>0</v>
      </c>
    </row>
    <row r="256" spans="1:61" ht="12.75">
      <c r="A256" s="42" t="s">
        <v>298</v>
      </c>
      <c r="B256" s="42" t="s">
        <v>504</v>
      </c>
      <c r="C256" s="184" t="s">
        <v>734</v>
      </c>
      <c r="D256" s="180"/>
      <c r="E256" s="180"/>
      <c r="F256" s="42" t="s">
        <v>748</v>
      </c>
      <c r="G256" s="50">
        <v>15.63</v>
      </c>
      <c r="H256" s="50">
        <v>0</v>
      </c>
      <c r="I256" s="50">
        <f>G256*AN256</f>
        <v>0</v>
      </c>
      <c r="J256" s="50">
        <f>G256*AO256</f>
        <v>0</v>
      </c>
      <c r="K256" s="50">
        <f>G256*H256</f>
        <v>0</v>
      </c>
      <c r="Y256" s="36">
        <f>IF(AP256="5",BI256,0)</f>
        <v>0</v>
      </c>
      <c r="AA256" s="36">
        <f>IF(AP256="1",BG256,0)</f>
        <v>0</v>
      </c>
      <c r="AB256" s="36">
        <f>IF(AP256="1",BH256,0)</f>
        <v>0</v>
      </c>
      <c r="AC256" s="36">
        <f>IF(AP256="7",BG256,0)</f>
        <v>0</v>
      </c>
      <c r="AD256" s="36">
        <f>IF(AP256="7",BH256,0)</f>
        <v>0</v>
      </c>
      <c r="AE256" s="36">
        <f>IF(AP256="2",BG256,0)</f>
        <v>0</v>
      </c>
      <c r="AF256" s="36">
        <f>IF(AP256="2",BH256,0)</f>
        <v>0</v>
      </c>
      <c r="AG256" s="36">
        <f>IF(AP256="0",BI256,0)</f>
        <v>0</v>
      </c>
      <c r="AH256" s="54" t="s">
        <v>75</v>
      </c>
      <c r="AI256" s="50">
        <f>IF(AM256=0,K256,0)</f>
        <v>0</v>
      </c>
      <c r="AJ256" s="50">
        <f>IF(AM256=15,K256,0)</f>
        <v>0</v>
      </c>
      <c r="AK256" s="50">
        <f>IF(AM256=21,K256,0)</f>
        <v>0</v>
      </c>
      <c r="AM256" s="36">
        <v>21</v>
      </c>
      <c r="AN256" s="36">
        <f>H256*0</f>
        <v>0</v>
      </c>
      <c r="AO256" s="36">
        <f>H256*(1-0)</f>
        <v>0</v>
      </c>
      <c r="AP256" s="55" t="s">
        <v>92</v>
      </c>
      <c r="AU256" s="36">
        <f>AV256+AW256</f>
        <v>0</v>
      </c>
      <c r="AV256" s="36">
        <f>G256*AN256</f>
        <v>0</v>
      </c>
      <c r="AW256" s="36">
        <f>G256*AO256</f>
        <v>0</v>
      </c>
      <c r="AX256" s="57" t="s">
        <v>773</v>
      </c>
      <c r="AY256" s="57" t="s">
        <v>831</v>
      </c>
      <c r="AZ256" s="54" t="s">
        <v>839</v>
      </c>
      <c r="BB256" s="36">
        <f>AV256+AW256</f>
        <v>0</v>
      </c>
      <c r="BC256" s="36">
        <f>H256/(100-BD256)*100</f>
        <v>0</v>
      </c>
      <c r="BD256" s="36">
        <v>0</v>
      </c>
      <c r="BE256" s="36">
        <f>256</f>
        <v>256</v>
      </c>
      <c r="BG256" s="50">
        <f>G256*AN256</f>
        <v>0</v>
      </c>
      <c r="BH256" s="50">
        <f>G256*AO256</f>
        <v>0</v>
      </c>
      <c r="BI256" s="50">
        <f>G256*H256</f>
        <v>0</v>
      </c>
    </row>
    <row r="257" spans="1:61" ht="12.75">
      <c r="A257" s="42" t="s">
        <v>299</v>
      </c>
      <c r="B257" s="42" t="s">
        <v>505</v>
      </c>
      <c r="C257" s="184" t="s">
        <v>735</v>
      </c>
      <c r="D257" s="180"/>
      <c r="E257" s="180"/>
      <c r="F257" s="42" t="s">
        <v>748</v>
      </c>
      <c r="G257" s="50">
        <v>15.63</v>
      </c>
      <c r="H257" s="50">
        <v>0</v>
      </c>
      <c r="I257" s="50">
        <f>G257*AN257</f>
        <v>0</v>
      </c>
      <c r="J257" s="50">
        <f>G257*AO257</f>
        <v>0</v>
      </c>
      <c r="K257" s="50">
        <f>G257*H257</f>
        <v>0</v>
      </c>
      <c r="Y257" s="36">
        <f>IF(AP257="5",BI257,0)</f>
        <v>0</v>
      </c>
      <c r="AA257" s="36">
        <f>IF(AP257="1",BG257,0)</f>
        <v>0</v>
      </c>
      <c r="AB257" s="36">
        <f>IF(AP257="1",BH257,0)</f>
        <v>0</v>
      </c>
      <c r="AC257" s="36">
        <f>IF(AP257="7",BG257,0)</f>
        <v>0</v>
      </c>
      <c r="AD257" s="36">
        <f>IF(AP257="7",BH257,0)</f>
        <v>0</v>
      </c>
      <c r="AE257" s="36">
        <f>IF(AP257="2",BG257,0)</f>
        <v>0</v>
      </c>
      <c r="AF257" s="36">
        <f>IF(AP257="2",BH257,0)</f>
        <v>0</v>
      </c>
      <c r="AG257" s="36">
        <f>IF(AP257="0",BI257,0)</f>
        <v>0</v>
      </c>
      <c r="AH257" s="54" t="s">
        <v>75</v>
      </c>
      <c r="AI257" s="50">
        <f>IF(AM257=0,K257,0)</f>
        <v>0</v>
      </c>
      <c r="AJ257" s="50">
        <f>IF(AM257=15,K257,0)</f>
        <v>0</v>
      </c>
      <c r="AK257" s="50">
        <f>IF(AM257=21,K257,0)</f>
        <v>0</v>
      </c>
      <c r="AM257" s="36">
        <v>21</v>
      </c>
      <c r="AN257" s="36">
        <f>H257*0</f>
        <v>0</v>
      </c>
      <c r="AO257" s="36">
        <f>H257*(1-0)</f>
        <v>0</v>
      </c>
      <c r="AP257" s="55" t="s">
        <v>92</v>
      </c>
      <c r="AU257" s="36">
        <f>AV257+AW257</f>
        <v>0</v>
      </c>
      <c r="AV257" s="36">
        <f>G257*AN257</f>
        <v>0</v>
      </c>
      <c r="AW257" s="36">
        <f>G257*AO257</f>
        <v>0</v>
      </c>
      <c r="AX257" s="57" t="s">
        <v>773</v>
      </c>
      <c r="AY257" s="57" t="s">
        <v>831</v>
      </c>
      <c r="AZ257" s="54" t="s">
        <v>839</v>
      </c>
      <c r="BB257" s="36">
        <f>AV257+AW257</f>
        <v>0</v>
      </c>
      <c r="BC257" s="36">
        <f>H257/(100-BD257)*100</f>
        <v>0</v>
      </c>
      <c r="BD257" s="36">
        <v>0</v>
      </c>
      <c r="BE257" s="36">
        <f>257</f>
        <v>257</v>
      </c>
      <c r="BG257" s="50">
        <f>G257*AN257</f>
        <v>0</v>
      </c>
      <c r="BH257" s="50">
        <f>G257*AO257</f>
        <v>0</v>
      </c>
      <c r="BI257" s="50">
        <f>G257*H257</f>
        <v>0</v>
      </c>
    </row>
    <row r="258" spans="1:61" ht="12.75">
      <c r="A258" s="42" t="s">
        <v>300</v>
      </c>
      <c r="B258" s="42" t="s">
        <v>506</v>
      </c>
      <c r="C258" s="184" t="s">
        <v>736</v>
      </c>
      <c r="D258" s="180"/>
      <c r="E258" s="180"/>
      <c r="F258" s="42" t="s">
        <v>748</v>
      </c>
      <c r="G258" s="50">
        <v>8</v>
      </c>
      <c r="H258" s="50">
        <v>0</v>
      </c>
      <c r="I258" s="50">
        <f>G258*AN258</f>
        <v>0</v>
      </c>
      <c r="J258" s="50">
        <f>G258*AO258</f>
        <v>0</v>
      </c>
      <c r="K258" s="50">
        <f>G258*H258</f>
        <v>0</v>
      </c>
      <c r="Y258" s="36">
        <f>IF(AP258="5",BI258,0)</f>
        <v>0</v>
      </c>
      <c r="AA258" s="36">
        <f>IF(AP258="1",BG258,0)</f>
        <v>0</v>
      </c>
      <c r="AB258" s="36">
        <f>IF(AP258="1",BH258,0)</f>
        <v>0</v>
      </c>
      <c r="AC258" s="36">
        <f>IF(AP258="7",BG258,0)</f>
        <v>0</v>
      </c>
      <c r="AD258" s="36">
        <f>IF(AP258="7",BH258,0)</f>
        <v>0</v>
      </c>
      <c r="AE258" s="36">
        <f>IF(AP258="2",BG258,0)</f>
        <v>0</v>
      </c>
      <c r="AF258" s="36">
        <f>IF(AP258="2",BH258,0)</f>
        <v>0</v>
      </c>
      <c r="AG258" s="36">
        <f>IF(AP258="0",BI258,0)</f>
        <v>0</v>
      </c>
      <c r="AH258" s="54" t="s">
        <v>75</v>
      </c>
      <c r="AI258" s="50">
        <f>IF(AM258=0,K258,0)</f>
        <v>0</v>
      </c>
      <c r="AJ258" s="50">
        <f>IF(AM258=15,K258,0)</f>
        <v>0</v>
      </c>
      <c r="AK258" s="50">
        <f>IF(AM258=21,K258,0)</f>
        <v>0</v>
      </c>
      <c r="AM258" s="36">
        <v>21</v>
      </c>
      <c r="AN258" s="36">
        <f>H258*0</f>
        <v>0</v>
      </c>
      <c r="AO258" s="36">
        <f>H258*(1-0)</f>
        <v>0</v>
      </c>
      <c r="AP258" s="55" t="s">
        <v>92</v>
      </c>
      <c r="AU258" s="36">
        <f>AV258+AW258</f>
        <v>0</v>
      </c>
      <c r="AV258" s="36">
        <f>G258*AN258</f>
        <v>0</v>
      </c>
      <c r="AW258" s="36">
        <f>G258*AO258</f>
        <v>0</v>
      </c>
      <c r="AX258" s="57" t="s">
        <v>773</v>
      </c>
      <c r="AY258" s="57" t="s">
        <v>831</v>
      </c>
      <c r="AZ258" s="54" t="s">
        <v>839</v>
      </c>
      <c r="BB258" s="36">
        <f>AV258+AW258</f>
        <v>0</v>
      </c>
      <c r="BC258" s="36">
        <f>H258/(100-BD258)*100</f>
        <v>0</v>
      </c>
      <c r="BD258" s="36">
        <v>0</v>
      </c>
      <c r="BE258" s="36">
        <f>258</f>
        <v>258</v>
      </c>
      <c r="BG258" s="50">
        <f>G258*AN258</f>
        <v>0</v>
      </c>
      <c r="BH258" s="50">
        <f>G258*AO258</f>
        <v>0</v>
      </c>
      <c r="BI258" s="50">
        <f>G258*H258</f>
        <v>0</v>
      </c>
    </row>
    <row r="259" spans="1:46" ht="12.75">
      <c r="A259" s="41"/>
      <c r="B259" s="47" t="s">
        <v>129</v>
      </c>
      <c r="C259" s="191" t="s">
        <v>527</v>
      </c>
      <c r="D259" s="177"/>
      <c r="E259" s="177"/>
      <c r="F259" s="41" t="s">
        <v>68</v>
      </c>
      <c r="G259" s="41" t="s">
        <v>68</v>
      </c>
      <c r="H259" s="41" t="s">
        <v>68</v>
      </c>
      <c r="I259" s="58">
        <f>SUM(I260:I260)</f>
        <v>0</v>
      </c>
      <c r="J259" s="58">
        <f>SUM(J260:J260)</f>
        <v>0</v>
      </c>
      <c r="K259" s="58">
        <f>SUM(K260:K260)</f>
        <v>0</v>
      </c>
      <c r="AH259" s="54" t="s">
        <v>75</v>
      </c>
      <c r="AR259" s="58">
        <f>SUM(AI260:AI260)</f>
        <v>0</v>
      </c>
      <c r="AS259" s="58">
        <f>SUM(AJ260:AJ260)</f>
        <v>0</v>
      </c>
      <c r="AT259" s="58">
        <f>SUM(AK260:AK260)</f>
        <v>0</v>
      </c>
    </row>
    <row r="260" spans="1:61" ht="12.75">
      <c r="A260" s="42" t="s">
        <v>301</v>
      </c>
      <c r="B260" s="42" t="s">
        <v>507</v>
      </c>
      <c r="C260" s="184" t="s">
        <v>737</v>
      </c>
      <c r="D260" s="180"/>
      <c r="E260" s="180"/>
      <c r="F260" s="42" t="s">
        <v>748</v>
      </c>
      <c r="G260" s="50">
        <v>0.13</v>
      </c>
      <c r="H260" s="50">
        <v>0</v>
      </c>
      <c r="I260" s="50">
        <f>G260*AN260</f>
        <v>0</v>
      </c>
      <c r="J260" s="50">
        <f>G260*AO260</f>
        <v>0</v>
      </c>
      <c r="K260" s="50">
        <f>G260*H260</f>
        <v>0</v>
      </c>
      <c r="Y260" s="36">
        <f>IF(AP260="5",BI260,0)</f>
        <v>0</v>
      </c>
      <c r="AA260" s="36">
        <f>IF(AP260="1",BG260,0)</f>
        <v>0</v>
      </c>
      <c r="AB260" s="36">
        <f>IF(AP260="1",BH260,0)</f>
        <v>0</v>
      </c>
      <c r="AC260" s="36">
        <f>IF(AP260="7",BG260,0)</f>
        <v>0</v>
      </c>
      <c r="AD260" s="36">
        <f>IF(AP260="7",BH260,0)</f>
        <v>0</v>
      </c>
      <c r="AE260" s="36">
        <f>IF(AP260="2",BG260,0)</f>
        <v>0</v>
      </c>
      <c r="AF260" s="36">
        <f>IF(AP260="2",BH260,0)</f>
        <v>0</v>
      </c>
      <c r="AG260" s="36">
        <f>IF(AP260="0",BI260,0)</f>
        <v>0</v>
      </c>
      <c r="AH260" s="54" t="s">
        <v>75</v>
      </c>
      <c r="AI260" s="50">
        <f>IF(AM260=0,K260,0)</f>
        <v>0</v>
      </c>
      <c r="AJ260" s="50">
        <f>IF(AM260=15,K260,0)</f>
        <v>0</v>
      </c>
      <c r="AK260" s="50">
        <f>IF(AM260=21,K260,0)</f>
        <v>0</v>
      </c>
      <c r="AM260" s="36">
        <v>21</v>
      </c>
      <c r="AN260" s="36">
        <f>H260*0.360678925035361</f>
        <v>0</v>
      </c>
      <c r="AO260" s="36">
        <f>H260*(1-0.360678925035361)</f>
        <v>0</v>
      </c>
      <c r="AP260" s="55" t="s">
        <v>92</v>
      </c>
      <c r="AU260" s="36">
        <f>AV260+AW260</f>
        <v>0</v>
      </c>
      <c r="AV260" s="36">
        <f>G260*AN260</f>
        <v>0</v>
      </c>
      <c r="AW260" s="36">
        <f>G260*AO260</f>
        <v>0</v>
      </c>
      <c r="AX260" s="57" t="s">
        <v>774</v>
      </c>
      <c r="AY260" s="57" t="s">
        <v>831</v>
      </c>
      <c r="AZ260" s="54" t="s">
        <v>839</v>
      </c>
      <c r="BB260" s="36">
        <f>AV260+AW260</f>
        <v>0</v>
      </c>
      <c r="BC260" s="36">
        <f>H260/(100-BD260)*100</f>
        <v>0</v>
      </c>
      <c r="BD260" s="36">
        <v>0</v>
      </c>
      <c r="BE260" s="36">
        <f>260</f>
        <v>260</v>
      </c>
      <c r="BG260" s="50">
        <f>G260*AN260</f>
        <v>0</v>
      </c>
      <c r="BH260" s="50">
        <f>G260*AO260</f>
        <v>0</v>
      </c>
      <c r="BI260" s="50">
        <f>G260*H260</f>
        <v>0</v>
      </c>
    </row>
    <row r="261" spans="1:46" ht="12.75">
      <c r="A261" s="41"/>
      <c r="B261" s="47" t="s">
        <v>190</v>
      </c>
      <c r="C261" s="191" t="s">
        <v>738</v>
      </c>
      <c r="D261" s="177"/>
      <c r="E261" s="177"/>
      <c r="F261" s="41" t="s">
        <v>68</v>
      </c>
      <c r="G261" s="41" t="s">
        <v>68</v>
      </c>
      <c r="H261" s="41" t="s">
        <v>68</v>
      </c>
      <c r="I261" s="58">
        <f>SUM(I262:I263)</f>
        <v>0</v>
      </c>
      <c r="J261" s="58">
        <f>SUM(J262:J263)</f>
        <v>0</v>
      </c>
      <c r="K261" s="58">
        <f>SUM(K262:K263)</f>
        <v>0</v>
      </c>
      <c r="AH261" s="54" t="s">
        <v>75</v>
      </c>
      <c r="AR261" s="58">
        <f>SUM(AI262:AI263)</f>
        <v>0</v>
      </c>
      <c r="AS261" s="58">
        <f>SUM(AJ262:AJ263)</f>
        <v>0</v>
      </c>
      <c r="AT261" s="58">
        <f>SUM(AK262:AK263)</f>
        <v>0</v>
      </c>
    </row>
    <row r="262" spans="1:61" ht="12.75">
      <c r="A262" s="42" t="s">
        <v>302</v>
      </c>
      <c r="B262" s="42" t="s">
        <v>508</v>
      </c>
      <c r="C262" s="184" t="s">
        <v>739</v>
      </c>
      <c r="D262" s="180"/>
      <c r="E262" s="180"/>
      <c r="F262" s="42" t="s">
        <v>752</v>
      </c>
      <c r="G262" s="50">
        <v>20.5</v>
      </c>
      <c r="H262" s="50">
        <v>0</v>
      </c>
      <c r="I262" s="50">
        <f>G262*AN262</f>
        <v>0</v>
      </c>
      <c r="J262" s="50">
        <f>G262*AO262</f>
        <v>0</v>
      </c>
      <c r="K262" s="50">
        <f>G262*H262</f>
        <v>0</v>
      </c>
      <c r="Y262" s="36">
        <f>IF(AP262="5",BI262,0)</f>
        <v>0</v>
      </c>
      <c r="AA262" s="36">
        <f>IF(AP262="1",BG262,0)</f>
        <v>0</v>
      </c>
      <c r="AB262" s="36">
        <f>IF(AP262="1",BH262,0)</f>
        <v>0</v>
      </c>
      <c r="AC262" s="36">
        <f>IF(AP262="7",BG262,0)</f>
        <v>0</v>
      </c>
      <c r="AD262" s="36">
        <f>IF(AP262="7",BH262,0)</f>
        <v>0</v>
      </c>
      <c r="AE262" s="36">
        <f>IF(AP262="2",BG262,0)</f>
        <v>0</v>
      </c>
      <c r="AF262" s="36">
        <f>IF(AP262="2",BH262,0)</f>
        <v>0</v>
      </c>
      <c r="AG262" s="36">
        <f>IF(AP262="0",BI262,0)</f>
        <v>0</v>
      </c>
      <c r="AH262" s="54" t="s">
        <v>75</v>
      </c>
      <c r="AI262" s="50">
        <f>IF(AM262=0,K262,0)</f>
        <v>0</v>
      </c>
      <c r="AJ262" s="50">
        <f>IF(AM262=15,K262,0)</f>
        <v>0</v>
      </c>
      <c r="AK262" s="50">
        <f>IF(AM262=21,K262,0)</f>
        <v>0</v>
      </c>
      <c r="AM262" s="36">
        <v>21</v>
      </c>
      <c r="AN262" s="36">
        <f>H262*0.240011150343802</f>
        <v>0</v>
      </c>
      <c r="AO262" s="36">
        <f>H262*(1-0.240011150343802)</f>
        <v>0</v>
      </c>
      <c r="AP262" s="55" t="s">
        <v>92</v>
      </c>
      <c r="AU262" s="36">
        <f>AV262+AW262</f>
        <v>0</v>
      </c>
      <c r="AV262" s="36">
        <f>G262*AN262</f>
        <v>0</v>
      </c>
      <c r="AW262" s="36">
        <f>G262*AO262</f>
        <v>0</v>
      </c>
      <c r="AX262" s="57" t="s">
        <v>809</v>
      </c>
      <c r="AY262" s="57" t="s">
        <v>832</v>
      </c>
      <c r="AZ262" s="54" t="s">
        <v>839</v>
      </c>
      <c r="BB262" s="36">
        <f>AV262+AW262</f>
        <v>0</v>
      </c>
      <c r="BC262" s="36">
        <f>H262/(100-BD262)*100</f>
        <v>0</v>
      </c>
      <c r="BD262" s="36">
        <v>0</v>
      </c>
      <c r="BE262" s="36">
        <f>262</f>
        <v>262</v>
      </c>
      <c r="BG262" s="50">
        <f>G262*AN262</f>
        <v>0</v>
      </c>
      <c r="BH262" s="50">
        <f>G262*AO262</f>
        <v>0</v>
      </c>
      <c r="BI262" s="50">
        <f>G262*H262</f>
        <v>0</v>
      </c>
    </row>
    <row r="263" spans="1:61" ht="12.75">
      <c r="A263" s="42" t="s">
        <v>303</v>
      </c>
      <c r="B263" s="42" t="s">
        <v>509</v>
      </c>
      <c r="C263" s="184" t="s">
        <v>740</v>
      </c>
      <c r="D263" s="180"/>
      <c r="E263" s="180"/>
      <c r="F263" s="42" t="s">
        <v>751</v>
      </c>
      <c r="G263" s="50">
        <v>11.1</v>
      </c>
      <c r="H263" s="50">
        <v>0</v>
      </c>
      <c r="I263" s="50">
        <f>G263*AN263</f>
        <v>0</v>
      </c>
      <c r="J263" s="50">
        <f>G263*AO263</f>
        <v>0</v>
      </c>
      <c r="K263" s="50">
        <f>G263*H263</f>
        <v>0</v>
      </c>
      <c r="Y263" s="36">
        <f>IF(AP263="5",BI263,0)</f>
        <v>0</v>
      </c>
      <c r="AA263" s="36">
        <f>IF(AP263="1",BG263,0)</f>
        <v>0</v>
      </c>
      <c r="AB263" s="36">
        <f>IF(AP263="1",BH263,0)</f>
        <v>0</v>
      </c>
      <c r="AC263" s="36">
        <f>IF(AP263="7",BG263,0)</f>
        <v>0</v>
      </c>
      <c r="AD263" s="36">
        <f>IF(AP263="7",BH263,0)</f>
        <v>0</v>
      </c>
      <c r="AE263" s="36">
        <f>IF(AP263="2",BG263,0)</f>
        <v>0</v>
      </c>
      <c r="AF263" s="36">
        <f>IF(AP263="2",BH263,0)</f>
        <v>0</v>
      </c>
      <c r="AG263" s="36">
        <f>IF(AP263="0",BI263,0)</f>
        <v>0</v>
      </c>
      <c r="AH263" s="54" t="s">
        <v>75</v>
      </c>
      <c r="AI263" s="50">
        <f>IF(AM263=0,K263,0)</f>
        <v>0</v>
      </c>
      <c r="AJ263" s="50">
        <f>IF(AM263=15,K263,0)</f>
        <v>0</v>
      </c>
      <c r="AK263" s="50">
        <f>IF(AM263=21,K263,0)</f>
        <v>0</v>
      </c>
      <c r="AM263" s="36">
        <v>21</v>
      </c>
      <c r="AN263" s="36">
        <f>H263*0</f>
        <v>0</v>
      </c>
      <c r="AO263" s="36">
        <f>H263*(1-0)</f>
        <v>0</v>
      </c>
      <c r="AP263" s="55" t="s">
        <v>103</v>
      </c>
      <c r="AU263" s="36">
        <f>AV263+AW263</f>
        <v>0</v>
      </c>
      <c r="AV263" s="36">
        <f>G263*AN263</f>
        <v>0</v>
      </c>
      <c r="AW263" s="36">
        <f>G263*AO263</f>
        <v>0</v>
      </c>
      <c r="AX263" s="57" t="s">
        <v>809</v>
      </c>
      <c r="AY263" s="57" t="s">
        <v>832</v>
      </c>
      <c r="AZ263" s="54" t="s">
        <v>839</v>
      </c>
      <c r="BB263" s="36">
        <f>AV263+AW263</f>
        <v>0</v>
      </c>
      <c r="BC263" s="36">
        <f>H263/(100-BD263)*100</f>
        <v>0</v>
      </c>
      <c r="BD263" s="36">
        <v>0</v>
      </c>
      <c r="BE263" s="36">
        <f>263</f>
        <v>263</v>
      </c>
      <c r="BG263" s="50">
        <f>G263*AN263</f>
        <v>0</v>
      </c>
      <c r="BH263" s="50">
        <f>G263*AO263</f>
        <v>0</v>
      </c>
      <c r="BI263" s="50">
        <f>G263*H263</f>
        <v>0</v>
      </c>
    </row>
    <row r="264" spans="1:46" ht="12.75">
      <c r="A264" s="41"/>
      <c r="B264" s="47" t="s">
        <v>196</v>
      </c>
      <c r="C264" s="191" t="s">
        <v>741</v>
      </c>
      <c r="D264" s="177"/>
      <c r="E264" s="177"/>
      <c r="F264" s="41" t="s">
        <v>68</v>
      </c>
      <c r="G264" s="41" t="s">
        <v>68</v>
      </c>
      <c r="H264" s="41" t="s">
        <v>68</v>
      </c>
      <c r="I264" s="58">
        <f>SUM(I265:I265)</f>
        <v>0</v>
      </c>
      <c r="J264" s="58">
        <f>SUM(J265:J265)</f>
        <v>0</v>
      </c>
      <c r="K264" s="58">
        <f>SUM(K265:K265)</f>
        <v>0</v>
      </c>
      <c r="AH264" s="54" t="s">
        <v>75</v>
      </c>
      <c r="AR264" s="58">
        <f>SUM(AI265:AI265)</f>
        <v>0</v>
      </c>
      <c r="AS264" s="58">
        <f>SUM(AJ265:AJ265)</f>
        <v>0</v>
      </c>
      <c r="AT264" s="58">
        <f>SUM(AK265:AK265)</f>
        <v>0</v>
      </c>
    </row>
    <row r="265" spans="1:61" ht="12.75">
      <c r="A265" s="42" t="s">
        <v>304</v>
      </c>
      <c r="B265" s="42" t="s">
        <v>510</v>
      </c>
      <c r="C265" s="184" t="s">
        <v>742</v>
      </c>
      <c r="D265" s="180"/>
      <c r="E265" s="180"/>
      <c r="F265" s="42" t="s">
        <v>749</v>
      </c>
      <c r="G265" s="50">
        <v>1</v>
      </c>
      <c r="H265" s="50">
        <v>0</v>
      </c>
      <c r="I265" s="50">
        <f>G265*AN265</f>
        <v>0</v>
      </c>
      <c r="J265" s="50">
        <f>G265*AO265</f>
        <v>0</v>
      </c>
      <c r="K265" s="50">
        <f>G265*H265</f>
        <v>0</v>
      </c>
      <c r="Y265" s="36">
        <f>IF(AP265="5",BI265,0)</f>
        <v>0</v>
      </c>
      <c r="AA265" s="36">
        <f>IF(AP265="1",BG265,0)</f>
        <v>0</v>
      </c>
      <c r="AB265" s="36">
        <f>IF(AP265="1",BH265,0)</f>
        <v>0</v>
      </c>
      <c r="AC265" s="36">
        <f>IF(AP265="7",BG265,0)</f>
        <v>0</v>
      </c>
      <c r="AD265" s="36">
        <f>IF(AP265="7",BH265,0)</f>
        <v>0</v>
      </c>
      <c r="AE265" s="36">
        <f>IF(AP265="2",BG265,0)</f>
        <v>0</v>
      </c>
      <c r="AF265" s="36">
        <f>IF(AP265="2",BH265,0)</f>
        <v>0</v>
      </c>
      <c r="AG265" s="36">
        <f>IF(AP265="0",BI265,0)</f>
        <v>0</v>
      </c>
      <c r="AH265" s="54" t="s">
        <v>75</v>
      </c>
      <c r="AI265" s="50">
        <f>IF(AM265=0,K265,0)</f>
        <v>0</v>
      </c>
      <c r="AJ265" s="50">
        <f>IF(AM265=15,K265,0)</f>
        <v>0</v>
      </c>
      <c r="AK265" s="50">
        <f>IF(AM265=21,K265,0)</f>
        <v>0</v>
      </c>
      <c r="AM265" s="36">
        <v>21</v>
      </c>
      <c r="AN265" s="36">
        <f>H265*0</f>
        <v>0</v>
      </c>
      <c r="AO265" s="36">
        <f>H265*(1-0)</f>
        <v>0</v>
      </c>
      <c r="AP265" s="55" t="s">
        <v>92</v>
      </c>
      <c r="AU265" s="36">
        <f>AV265+AW265</f>
        <v>0</v>
      </c>
      <c r="AV265" s="36">
        <f>G265*AN265</f>
        <v>0</v>
      </c>
      <c r="AW265" s="36">
        <f>G265*AO265</f>
        <v>0</v>
      </c>
      <c r="AX265" s="57" t="s">
        <v>810</v>
      </c>
      <c r="AY265" s="57" t="s">
        <v>832</v>
      </c>
      <c r="AZ265" s="54" t="s">
        <v>839</v>
      </c>
      <c r="BB265" s="36">
        <f>AV265+AW265</f>
        <v>0</v>
      </c>
      <c r="BC265" s="36">
        <f>H265/(100-BD265)*100</f>
        <v>0</v>
      </c>
      <c r="BD265" s="36">
        <v>0</v>
      </c>
      <c r="BE265" s="36">
        <f>265</f>
        <v>265</v>
      </c>
      <c r="BG265" s="50">
        <f>G265*AN265</f>
        <v>0</v>
      </c>
      <c r="BH265" s="50">
        <f>G265*AO265</f>
        <v>0</v>
      </c>
      <c r="BI265" s="50">
        <f>G265*H265</f>
        <v>0</v>
      </c>
    </row>
    <row r="266" spans="1:46" ht="12.75">
      <c r="A266" s="41"/>
      <c r="B266" s="47"/>
      <c r="C266" s="191" t="s">
        <v>10</v>
      </c>
      <c r="D266" s="177"/>
      <c r="E266" s="177"/>
      <c r="F266" s="41" t="s">
        <v>68</v>
      </c>
      <c r="G266" s="41" t="s">
        <v>68</v>
      </c>
      <c r="H266" s="41" t="s">
        <v>68</v>
      </c>
      <c r="I266" s="58">
        <f>SUM(I267:I267)</f>
        <v>0</v>
      </c>
      <c r="J266" s="58">
        <f>SUM(J267:J267)</f>
        <v>0</v>
      </c>
      <c r="K266" s="58">
        <f>SUM(K267:K267)</f>
        <v>0</v>
      </c>
      <c r="AH266" s="54" t="s">
        <v>75</v>
      </c>
      <c r="AR266" s="58">
        <f>SUM(AI267:AI267)</f>
        <v>0</v>
      </c>
      <c r="AS266" s="58">
        <f>SUM(AJ267:AJ267)</f>
        <v>0</v>
      </c>
      <c r="AT266" s="58">
        <f>SUM(AK267:AK267)</f>
        <v>0</v>
      </c>
    </row>
    <row r="267" spans="1:61" ht="12.75">
      <c r="A267" s="45" t="s">
        <v>54</v>
      </c>
      <c r="B267" s="45" t="s">
        <v>511</v>
      </c>
      <c r="C267" s="196" t="s">
        <v>743</v>
      </c>
      <c r="D267" s="197"/>
      <c r="E267" s="197"/>
      <c r="F267" s="45" t="s">
        <v>749</v>
      </c>
      <c r="G267" s="52">
        <v>1</v>
      </c>
      <c r="H267" s="52">
        <v>0</v>
      </c>
      <c r="I267" s="52">
        <f>G267*AN267</f>
        <v>0</v>
      </c>
      <c r="J267" s="52">
        <f>G267*AO267</f>
        <v>0</v>
      </c>
      <c r="K267" s="52">
        <f>G267*H267</f>
        <v>0</v>
      </c>
      <c r="Y267" s="36">
        <f>IF(AP267="5",BI267,0)</f>
        <v>0</v>
      </c>
      <c r="AA267" s="36">
        <f>IF(AP267="1",BG267,0)</f>
        <v>0</v>
      </c>
      <c r="AB267" s="36">
        <f>IF(AP267="1",BH267,0)</f>
        <v>0</v>
      </c>
      <c r="AC267" s="36">
        <f>IF(AP267="7",BG267,0)</f>
        <v>0</v>
      </c>
      <c r="AD267" s="36">
        <f>IF(AP267="7",BH267,0)</f>
        <v>0</v>
      </c>
      <c r="AE267" s="36">
        <f>IF(AP267="2",BG267,0)</f>
        <v>0</v>
      </c>
      <c r="AF267" s="36">
        <f>IF(AP267="2",BH267,0)</f>
        <v>0</v>
      </c>
      <c r="AG267" s="36">
        <f>IF(AP267="0",BI267,0)</f>
        <v>0</v>
      </c>
      <c r="AH267" s="54" t="s">
        <v>75</v>
      </c>
      <c r="AI267" s="51">
        <f>IF(AM267=0,K267,0)</f>
        <v>0</v>
      </c>
      <c r="AJ267" s="51">
        <f>IF(AM267=15,K267,0)</f>
        <v>0</v>
      </c>
      <c r="AK267" s="51">
        <f>IF(AM267=21,K267,0)</f>
        <v>0</v>
      </c>
      <c r="AM267" s="36">
        <v>21</v>
      </c>
      <c r="AN267" s="36">
        <f>H267*1</f>
        <v>0</v>
      </c>
      <c r="AO267" s="36">
        <f>H267*(1-1)</f>
        <v>0</v>
      </c>
      <c r="AP267" s="56" t="s">
        <v>769</v>
      </c>
      <c r="AU267" s="36">
        <f>AV267+AW267</f>
        <v>0</v>
      </c>
      <c r="AV267" s="36">
        <f>G267*AN267</f>
        <v>0</v>
      </c>
      <c r="AW267" s="36">
        <f>G267*AO267</f>
        <v>0</v>
      </c>
      <c r="AX267" s="57" t="s">
        <v>802</v>
      </c>
      <c r="AY267" s="57" t="s">
        <v>833</v>
      </c>
      <c r="AZ267" s="54" t="s">
        <v>839</v>
      </c>
      <c r="BB267" s="36">
        <f>AV267+AW267</f>
        <v>0</v>
      </c>
      <c r="BC267" s="36">
        <f>H267/(100-BD267)*100</f>
        <v>0</v>
      </c>
      <c r="BD267" s="36">
        <v>0</v>
      </c>
      <c r="BE267" s="36">
        <f>267</f>
        <v>267</v>
      </c>
      <c r="BG267" s="51">
        <f>G267*AN267</f>
        <v>0</v>
      </c>
      <c r="BH267" s="51">
        <f>G267*AO267</f>
        <v>0</v>
      </c>
      <c r="BI267" s="51">
        <f>G267*H267</f>
        <v>0</v>
      </c>
    </row>
    <row r="268" spans="1:11" ht="12.75">
      <c r="A268" s="5"/>
      <c r="B268" s="5"/>
      <c r="C268" s="5"/>
      <c r="D268" s="5"/>
      <c r="E268" s="5"/>
      <c r="F268" s="5"/>
      <c r="G268" s="5"/>
      <c r="H268" s="5"/>
      <c r="I268" s="155" t="s">
        <v>87</v>
      </c>
      <c r="J268" s="97"/>
      <c r="K268" s="39">
        <f>K13+K16+K18+K21+K24+K28+K36+K39+K45+K54+K58+K62+K67+K72+K77+K81+K85+K96+K106+K109+K130+K136+K138+K144+K146+K149+K152+K155+K167+K181+K183+K186+K196+K198+K200+K211+K213+K217+K221+K229+K231+K233+K237+K240+K243+K247+K252+K255+K259+K261+K264+K266</f>
        <v>0</v>
      </c>
    </row>
    <row r="269" ht="11.25" customHeight="1">
      <c r="A269" s="32" t="s">
        <v>18</v>
      </c>
    </row>
    <row r="270" spans="1:11" ht="12.75">
      <c r="A270" s="103"/>
      <c r="B270" s="95"/>
      <c r="C270" s="95"/>
      <c r="D270" s="95"/>
      <c r="E270" s="95"/>
      <c r="F270" s="95"/>
      <c r="G270" s="95"/>
      <c r="H270" s="95"/>
      <c r="I270" s="95"/>
      <c r="J270" s="95"/>
      <c r="K270" s="95"/>
    </row>
  </sheetData>
  <sheetProtection/>
  <mergeCells count="286">
    <mergeCell ref="C267:E267"/>
    <mergeCell ref="I268:J268"/>
    <mergeCell ref="A270:K270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K9"/>
    <mergeCell ref="A6:B7"/>
    <mergeCell ref="C6:C7"/>
    <mergeCell ref="D6:E7"/>
    <mergeCell ref="F6:G7"/>
    <mergeCell ref="H6:H7"/>
    <mergeCell ref="I6:K7"/>
    <mergeCell ref="A4:B5"/>
    <mergeCell ref="C4:C5"/>
    <mergeCell ref="D4:E5"/>
    <mergeCell ref="F4:G5"/>
    <mergeCell ref="H4:H5"/>
    <mergeCell ref="I4:K5"/>
    <mergeCell ref="A1:K1"/>
    <mergeCell ref="A2:B3"/>
    <mergeCell ref="C2:C3"/>
    <mergeCell ref="D2:E3"/>
    <mergeCell ref="F2:G3"/>
    <mergeCell ref="H2:H3"/>
    <mergeCell ref="I2:K3"/>
  </mergeCells>
  <printOptions horizontalCentered="1"/>
  <pageMargins left="1.1811023622047245" right="0.3937007874015748" top="0.5905511811023623" bottom="0.5905511811023623" header="0.5118110236220472" footer="0.5118110236220472"/>
  <pageSetup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6" sqref="F6:G7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63.57421875" style="0" customWidth="1"/>
    <col min="5" max="5" width="14.57421875" style="0" customWidth="1"/>
    <col min="6" max="6" width="24.140625" style="0" customWidth="1"/>
    <col min="7" max="7" width="20.421875" style="0" customWidth="1"/>
  </cols>
  <sheetData>
    <row r="1" spans="1:7" ht="72.75" customHeight="1">
      <c r="A1" s="149" t="s">
        <v>843</v>
      </c>
      <c r="B1" s="91"/>
      <c r="C1" s="91"/>
      <c r="D1" s="91"/>
      <c r="E1" s="91"/>
      <c r="F1" s="91"/>
      <c r="G1" s="91"/>
    </row>
    <row r="2" spans="1:8" ht="12.75">
      <c r="A2" s="92" t="s">
        <v>0</v>
      </c>
      <c r="B2" s="93"/>
      <c r="C2" s="96" t="str">
        <f>'Stavební rozpočet'!C2</f>
        <v>Novostavba veřejného WC - volnočasový areál Oborná</v>
      </c>
      <c r="D2" s="97"/>
      <c r="E2" s="99" t="s">
        <v>31</v>
      </c>
      <c r="F2" s="99" t="str">
        <f>'Stavební rozpočet'!I2</f>
        <v>Obec Oborná</v>
      </c>
      <c r="G2" s="93"/>
      <c r="H2" s="15"/>
    </row>
    <row r="3" spans="1:8" ht="12.75">
      <c r="A3" s="94"/>
      <c r="B3" s="95"/>
      <c r="C3" s="98"/>
      <c r="D3" s="98"/>
      <c r="E3" s="95"/>
      <c r="F3" s="95"/>
      <c r="G3" s="95"/>
      <c r="H3" s="15"/>
    </row>
    <row r="4" spans="1:8" ht="12.75">
      <c r="A4" s="102" t="s">
        <v>1</v>
      </c>
      <c r="B4" s="95"/>
      <c r="C4" s="103" t="str">
        <f>'Stavební rozpočet'!C4</f>
        <v>Novostavba</v>
      </c>
      <c r="D4" s="95"/>
      <c r="E4" s="103" t="s">
        <v>32</v>
      </c>
      <c r="F4" s="103" t="str">
        <f>'Stavební rozpočet'!I4</f>
        <v>Ing. Karel Oubělický</v>
      </c>
      <c r="G4" s="95"/>
      <c r="H4" s="15"/>
    </row>
    <row r="5" spans="1:8" ht="12.75">
      <c r="A5" s="94"/>
      <c r="B5" s="95"/>
      <c r="C5" s="95"/>
      <c r="D5" s="95"/>
      <c r="E5" s="95"/>
      <c r="F5" s="95"/>
      <c r="G5" s="95"/>
      <c r="H5" s="15"/>
    </row>
    <row r="6" spans="1:8" ht="12.75">
      <c r="A6" s="102" t="s">
        <v>2</v>
      </c>
      <c r="B6" s="95"/>
      <c r="C6" s="103" t="str">
        <f>'Stavební rozpočet'!C6</f>
        <v>Obec Oborná</v>
      </c>
      <c r="D6" s="95"/>
      <c r="E6" s="103" t="s">
        <v>33</v>
      </c>
      <c r="F6" s="103"/>
      <c r="G6" s="95"/>
      <c r="H6" s="15"/>
    </row>
    <row r="7" spans="1:8" ht="12.75">
      <c r="A7" s="94"/>
      <c r="B7" s="95"/>
      <c r="C7" s="95"/>
      <c r="D7" s="95"/>
      <c r="E7" s="95"/>
      <c r="F7" s="95"/>
      <c r="G7" s="95"/>
      <c r="H7" s="15"/>
    </row>
    <row r="8" spans="1:8" ht="12.75">
      <c r="A8" s="102" t="s">
        <v>35</v>
      </c>
      <c r="B8" s="95"/>
      <c r="C8" s="103" t="str">
        <f>'Stavební rozpočet'!I8</f>
        <v>Boris Mičánek</v>
      </c>
      <c r="D8" s="95"/>
      <c r="E8" s="103" t="s">
        <v>84</v>
      </c>
      <c r="F8" s="103" t="str">
        <f>'Stavební rozpočet'!F8</f>
        <v>01.02.2020</v>
      </c>
      <c r="G8" s="95"/>
      <c r="H8" s="15"/>
    </row>
    <row r="9" spans="1:8" ht="12.75">
      <c r="A9" s="153"/>
      <c r="B9" s="151"/>
      <c r="C9" s="151"/>
      <c r="D9" s="151"/>
      <c r="E9" s="151"/>
      <c r="F9" s="151"/>
      <c r="G9" s="151"/>
      <c r="H9" s="15"/>
    </row>
    <row r="10" spans="1:8" ht="12.75">
      <c r="A10" s="60" t="s">
        <v>120</v>
      </c>
      <c r="B10" s="62" t="s">
        <v>69</v>
      </c>
      <c r="C10" s="62" t="s">
        <v>91</v>
      </c>
      <c r="D10" s="62" t="s">
        <v>76</v>
      </c>
      <c r="E10" s="62" t="s">
        <v>746</v>
      </c>
      <c r="F10" s="62" t="s">
        <v>515</v>
      </c>
      <c r="G10" s="63" t="s">
        <v>755</v>
      </c>
      <c r="H10" s="16"/>
    </row>
    <row r="11" spans="1:7" ht="12.75">
      <c r="A11" s="61" t="s">
        <v>92</v>
      </c>
      <c r="B11" s="61" t="s">
        <v>70</v>
      </c>
      <c r="C11" s="61" t="s">
        <v>305</v>
      </c>
      <c r="D11" s="61" t="s">
        <v>517</v>
      </c>
      <c r="E11" s="61" t="s">
        <v>747</v>
      </c>
      <c r="F11" s="61" t="s">
        <v>844</v>
      </c>
      <c r="G11" s="64">
        <v>200</v>
      </c>
    </row>
    <row r="12" spans="1:7" ht="12.75">
      <c r="A12" s="42" t="s">
        <v>93</v>
      </c>
      <c r="B12" s="42" t="s">
        <v>70</v>
      </c>
      <c r="C12" s="42" t="s">
        <v>305</v>
      </c>
      <c r="D12" s="42" t="s">
        <v>518</v>
      </c>
      <c r="E12" s="42" t="s">
        <v>747</v>
      </c>
      <c r="F12" s="42" t="s">
        <v>227</v>
      </c>
      <c r="G12" s="50">
        <v>120</v>
      </c>
    </row>
    <row r="13" spans="1:7" ht="12.75">
      <c r="A13" s="42" t="s">
        <v>94</v>
      </c>
      <c r="B13" s="42" t="s">
        <v>70</v>
      </c>
      <c r="C13" s="42" t="s">
        <v>306</v>
      </c>
      <c r="D13" s="42" t="s">
        <v>520</v>
      </c>
      <c r="E13" s="42" t="s">
        <v>748</v>
      </c>
      <c r="F13" s="42" t="s">
        <v>845</v>
      </c>
      <c r="G13" s="50">
        <v>17.51</v>
      </c>
    </row>
    <row r="14" spans="1:7" ht="12.75">
      <c r="A14" s="42" t="s">
        <v>95</v>
      </c>
      <c r="B14" s="42" t="s">
        <v>70</v>
      </c>
      <c r="C14" s="42" t="s">
        <v>307</v>
      </c>
      <c r="D14" s="42" t="s">
        <v>522</v>
      </c>
      <c r="E14" s="42" t="s">
        <v>748</v>
      </c>
      <c r="F14" s="42" t="s">
        <v>846</v>
      </c>
      <c r="G14" s="50">
        <v>12.38</v>
      </c>
    </row>
    <row r="15" spans="1:7" ht="12.75">
      <c r="A15" s="42" t="s">
        <v>103</v>
      </c>
      <c r="B15" s="42" t="s">
        <v>70</v>
      </c>
      <c r="C15" s="42" t="s">
        <v>308</v>
      </c>
      <c r="D15" s="42" t="s">
        <v>523</v>
      </c>
      <c r="E15" s="42" t="s">
        <v>748</v>
      </c>
      <c r="F15" s="42" t="s">
        <v>847</v>
      </c>
      <c r="G15" s="50">
        <v>4.13</v>
      </c>
    </row>
    <row r="16" spans="1:7" ht="12.75">
      <c r="A16" s="42" t="s">
        <v>96</v>
      </c>
      <c r="B16" s="42" t="s">
        <v>70</v>
      </c>
      <c r="C16" s="42" t="s">
        <v>309</v>
      </c>
      <c r="D16" s="42" t="s">
        <v>525</v>
      </c>
      <c r="E16" s="42" t="s">
        <v>748</v>
      </c>
      <c r="F16" s="42" t="s">
        <v>848</v>
      </c>
      <c r="G16" s="50">
        <v>12.38</v>
      </c>
    </row>
    <row r="17" spans="1:7" ht="12.75">
      <c r="A17" s="42" t="s">
        <v>121</v>
      </c>
      <c r="B17" s="42" t="s">
        <v>70</v>
      </c>
      <c r="C17" s="42" t="s">
        <v>310</v>
      </c>
      <c r="D17" s="42" t="s">
        <v>526</v>
      </c>
      <c r="E17" s="42" t="s">
        <v>748</v>
      </c>
      <c r="F17" s="42" t="s">
        <v>848</v>
      </c>
      <c r="G17" s="50">
        <v>12.38</v>
      </c>
    </row>
    <row r="18" spans="1:7" ht="12.75">
      <c r="A18" s="42" t="s">
        <v>104</v>
      </c>
      <c r="B18" s="42" t="s">
        <v>70</v>
      </c>
      <c r="C18" s="42" t="s">
        <v>311</v>
      </c>
      <c r="D18" s="42" t="s">
        <v>528</v>
      </c>
      <c r="E18" s="42" t="s">
        <v>748</v>
      </c>
      <c r="F18" s="42" t="s">
        <v>849</v>
      </c>
      <c r="G18" s="50">
        <v>12.38</v>
      </c>
    </row>
    <row r="19" spans="1:7" ht="12.75">
      <c r="A19" s="42" t="s">
        <v>101</v>
      </c>
      <c r="B19" s="42" t="s">
        <v>70</v>
      </c>
      <c r="C19" s="42" t="s">
        <v>312</v>
      </c>
      <c r="D19" s="42" t="s">
        <v>529</v>
      </c>
      <c r="E19" s="42" t="s">
        <v>748</v>
      </c>
      <c r="F19" s="42" t="s">
        <v>850</v>
      </c>
      <c r="G19" s="50">
        <v>3.91</v>
      </c>
    </row>
    <row r="20" spans="1:7" ht="12.75">
      <c r="A20" s="42" t="s">
        <v>122</v>
      </c>
      <c r="B20" s="42" t="s">
        <v>70</v>
      </c>
      <c r="C20" s="42" t="s">
        <v>313</v>
      </c>
      <c r="D20" s="42" t="s">
        <v>530</v>
      </c>
      <c r="E20" s="42" t="s">
        <v>748</v>
      </c>
      <c r="G20" s="50">
        <v>3.91</v>
      </c>
    </row>
    <row r="21" spans="6:7" ht="12.75">
      <c r="F21" s="42" t="s">
        <v>851</v>
      </c>
      <c r="G21" s="50">
        <v>3.91</v>
      </c>
    </row>
    <row r="22" spans="1:7" ht="12.75">
      <c r="A22" s="42"/>
      <c r="B22" s="42"/>
      <c r="C22" s="42"/>
      <c r="D22" s="42"/>
      <c r="E22" s="42"/>
      <c r="F22" s="42" t="s">
        <v>852</v>
      </c>
      <c r="G22" s="50">
        <v>0</v>
      </c>
    </row>
    <row r="23" spans="1:7" ht="12.75">
      <c r="A23" s="42" t="s">
        <v>123</v>
      </c>
      <c r="B23" s="42" t="s">
        <v>70</v>
      </c>
      <c r="C23" s="42" t="s">
        <v>314</v>
      </c>
      <c r="D23" s="42" t="s">
        <v>532</v>
      </c>
      <c r="E23" s="42" t="s">
        <v>749</v>
      </c>
      <c r="F23" s="42" t="s">
        <v>123</v>
      </c>
      <c r="G23" s="50">
        <v>11</v>
      </c>
    </row>
    <row r="24" spans="1:7" ht="12.75">
      <c r="A24" s="42" t="s">
        <v>124</v>
      </c>
      <c r="B24" s="42" t="s">
        <v>70</v>
      </c>
      <c r="C24" s="42" t="s">
        <v>315</v>
      </c>
      <c r="D24" s="42" t="s">
        <v>533</v>
      </c>
      <c r="E24" s="42" t="s">
        <v>748</v>
      </c>
      <c r="F24" s="42" t="s">
        <v>846</v>
      </c>
      <c r="G24" s="50">
        <v>12.38</v>
      </c>
    </row>
    <row r="25" spans="1:7" ht="12.75">
      <c r="A25" s="42" t="s">
        <v>125</v>
      </c>
      <c r="B25" s="42" t="s">
        <v>70</v>
      </c>
      <c r="C25" s="42" t="s">
        <v>316</v>
      </c>
      <c r="D25" s="42" t="s">
        <v>534</v>
      </c>
      <c r="E25" s="42" t="s">
        <v>748</v>
      </c>
      <c r="F25" s="42" t="s">
        <v>853</v>
      </c>
      <c r="G25" s="50">
        <v>5.29</v>
      </c>
    </row>
    <row r="26" spans="1:7" ht="12.75">
      <c r="A26" s="42" t="s">
        <v>126</v>
      </c>
      <c r="B26" s="42" t="s">
        <v>70</v>
      </c>
      <c r="C26" s="42" t="s">
        <v>317</v>
      </c>
      <c r="D26" s="42" t="s">
        <v>535</v>
      </c>
      <c r="E26" s="42" t="s">
        <v>750</v>
      </c>
      <c r="F26" s="42" t="s">
        <v>854</v>
      </c>
      <c r="G26" s="50">
        <v>3.81</v>
      </c>
    </row>
    <row r="27" spans="1:7" ht="12.75">
      <c r="A27" s="42" t="s">
        <v>127</v>
      </c>
      <c r="B27" s="42" t="s">
        <v>70</v>
      </c>
      <c r="C27" s="42" t="s">
        <v>318</v>
      </c>
      <c r="D27" s="42" t="s">
        <v>536</v>
      </c>
      <c r="E27" s="42" t="s">
        <v>750</v>
      </c>
      <c r="F27" s="42" t="s">
        <v>854</v>
      </c>
      <c r="G27" s="50">
        <v>3.81</v>
      </c>
    </row>
    <row r="28" spans="1:7" ht="12.75">
      <c r="A28" s="42" t="s">
        <v>128</v>
      </c>
      <c r="B28" s="42" t="s">
        <v>70</v>
      </c>
      <c r="C28" s="42" t="s">
        <v>319</v>
      </c>
      <c r="D28" s="42" t="s">
        <v>537</v>
      </c>
      <c r="E28" s="42" t="s">
        <v>751</v>
      </c>
      <c r="F28" s="42" t="s">
        <v>855</v>
      </c>
      <c r="G28" s="50">
        <v>0.28</v>
      </c>
    </row>
    <row r="29" spans="1:7" ht="12.75">
      <c r="A29" s="42" t="s">
        <v>129</v>
      </c>
      <c r="B29" s="42" t="s">
        <v>70</v>
      </c>
      <c r="C29" s="42" t="s">
        <v>320</v>
      </c>
      <c r="D29" s="42" t="s">
        <v>538</v>
      </c>
      <c r="E29" s="42" t="s">
        <v>751</v>
      </c>
      <c r="F29" s="42" t="s">
        <v>856</v>
      </c>
      <c r="G29" s="50">
        <v>20.55</v>
      </c>
    </row>
    <row r="30" spans="1:7" ht="12.75">
      <c r="A30" s="42" t="s">
        <v>130</v>
      </c>
      <c r="B30" s="42" t="s">
        <v>70</v>
      </c>
      <c r="C30" s="42" t="s">
        <v>321</v>
      </c>
      <c r="D30" s="42" t="s">
        <v>540</v>
      </c>
      <c r="E30" s="42" t="s">
        <v>750</v>
      </c>
      <c r="G30" s="50">
        <v>86.65</v>
      </c>
    </row>
    <row r="31" spans="6:7" ht="12.75">
      <c r="F31" s="42" t="s">
        <v>857</v>
      </c>
      <c r="G31" s="50">
        <v>31.45</v>
      </c>
    </row>
    <row r="32" spans="1:7" ht="12.75">
      <c r="A32" s="42"/>
      <c r="B32" s="42"/>
      <c r="C32" s="42"/>
      <c r="D32" s="42"/>
      <c r="E32" s="42"/>
      <c r="F32" s="42" t="s">
        <v>858</v>
      </c>
      <c r="G32" s="50">
        <v>27.2</v>
      </c>
    </row>
    <row r="33" spans="1:7" ht="12.75">
      <c r="A33" s="42"/>
      <c r="B33" s="42"/>
      <c r="C33" s="42"/>
      <c r="D33" s="42"/>
      <c r="E33" s="42"/>
      <c r="F33" s="42" t="s">
        <v>859</v>
      </c>
      <c r="G33" s="50">
        <v>28</v>
      </c>
    </row>
    <row r="34" spans="1:7" ht="12.75">
      <c r="A34" s="42"/>
      <c r="B34" s="42"/>
      <c r="C34" s="42"/>
      <c r="D34" s="42"/>
      <c r="E34" s="42"/>
      <c r="F34" s="42" t="s">
        <v>860</v>
      </c>
      <c r="G34" s="50">
        <v>0</v>
      </c>
    </row>
    <row r="35" spans="1:7" ht="12.75">
      <c r="A35" s="42" t="s">
        <v>131</v>
      </c>
      <c r="B35" s="42" t="s">
        <v>70</v>
      </c>
      <c r="C35" s="42" t="s">
        <v>322</v>
      </c>
      <c r="D35" s="42" t="s">
        <v>541</v>
      </c>
      <c r="E35" s="42" t="s">
        <v>751</v>
      </c>
      <c r="F35" s="42" t="s">
        <v>861</v>
      </c>
      <c r="G35" s="50">
        <v>20.04</v>
      </c>
    </row>
    <row r="36" spans="1:7" ht="12.75">
      <c r="A36" s="42" t="s">
        <v>132</v>
      </c>
      <c r="B36" s="42" t="s">
        <v>70</v>
      </c>
      <c r="C36" s="42" t="s">
        <v>323</v>
      </c>
      <c r="D36" s="42" t="s">
        <v>543</v>
      </c>
      <c r="E36" s="42" t="s">
        <v>750</v>
      </c>
      <c r="F36" s="42" t="s">
        <v>862</v>
      </c>
      <c r="G36" s="50">
        <v>36.79</v>
      </c>
    </row>
    <row r="37" spans="1:7" ht="12.75">
      <c r="A37" s="42" t="s">
        <v>133</v>
      </c>
      <c r="B37" s="42" t="s">
        <v>70</v>
      </c>
      <c r="C37" s="42" t="s">
        <v>324</v>
      </c>
      <c r="D37" s="42" t="s">
        <v>544</v>
      </c>
      <c r="E37" s="42" t="s">
        <v>752</v>
      </c>
      <c r="F37" s="42" t="s">
        <v>863</v>
      </c>
      <c r="G37" s="50">
        <v>18.2</v>
      </c>
    </row>
    <row r="38" spans="1:7" ht="12.75">
      <c r="A38" s="42" t="s">
        <v>134</v>
      </c>
      <c r="B38" s="42" t="s">
        <v>70</v>
      </c>
      <c r="C38" s="42" t="s">
        <v>325</v>
      </c>
      <c r="D38" s="42" t="s">
        <v>545</v>
      </c>
      <c r="E38" s="42" t="s">
        <v>752</v>
      </c>
      <c r="F38" s="42" t="s">
        <v>124</v>
      </c>
      <c r="G38" s="50">
        <v>12</v>
      </c>
    </row>
    <row r="39" spans="1:7" ht="12.75">
      <c r="A39" s="42" t="s">
        <v>135</v>
      </c>
      <c r="B39" s="42" t="s">
        <v>70</v>
      </c>
      <c r="C39" s="42" t="s">
        <v>326</v>
      </c>
      <c r="D39" s="42" t="s">
        <v>546</v>
      </c>
      <c r="E39" s="42" t="s">
        <v>749</v>
      </c>
      <c r="F39" s="42" t="s">
        <v>95</v>
      </c>
      <c r="G39" s="50">
        <v>4</v>
      </c>
    </row>
    <row r="40" spans="1:7" ht="12.75">
      <c r="A40" s="42" t="s">
        <v>136</v>
      </c>
      <c r="B40" s="42" t="s">
        <v>70</v>
      </c>
      <c r="C40" s="42" t="s">
        <v>322</v>
      </c>
      <c r="D40" s="42" t="s">
        <v>541</v>
      </c>
      <c r="E40" s="42" t="s">
        <v>751</v>
      </c>
      <c r="F40" s="42" t="s">
        <v>864</v>
      </c>
      <c r="G40" s="50">
        <v>0.95</v>
      </c>
    </row>
    <row r="41" spans="1:7" ht="12.75">
      <c r="A41" s="42" t="s">
        <v>137</v>
      </c>
      <c r="B41" s="42" t="s">
        <v>70</v>
      </c>
      <c r="C41" s="42" t="s">
        <v>327</v>
      </c>
      <c r="D41" s="42" t="s">
        <v>548</v>
      </c>
      <c r="E41" s="42" t="s">
        <v>748</v>
      </c>
      <c r="F41" s="42" t="s">
        <v>865</v>
      </c>
      <c r="G41" s="50">
        <v>1.5</v>
      </c>
    </row>
    <row r="42" spans="1:7" ht="12.75">
      <c r="A42" s="42" t="s">
        <v>138</v>
      </c>
      <c r="B42" s="42" t="s">
        <v>70</v>
      </c>
      <c r="C42" s="42" t="s">
        <v>328</v>
      </c>
      <c r="D42" s="42" t="s">
        <v>549</v>
      </c>
      <c r="E42" s="42" t="s">
        <v>751</v>
      </c>
      <c r="F42" s="42" t="s">
        <v>866</v>
      </c>
      <c r="G42" s="50">
        <v>0.13</v>
      </c>
    </row>
    <row r="43" spans="1:7" ht="12.75">
      <c r="A43" s="42" t="s">
        <v>139</v>
      </c>
      <c r="B43" s="42" t="s">
        <v>70</v>
      </c>
      <c r="C43" s="42" t="s">
        <v>329</v>
      </c>
      <c r="D43" s="42" t="s">
        <v>550</v>
      </c>
      <c r="E43" s="42" t="s">
        <v>749</v>
      </c>
      <c r="F43" s="42" t="s">
        <v>93</v>
      </c>
      <c r="G43" s="50">
        <v>2</v>
      </c>
    </row>
    <row r="44" spans="1:7" ht="12.75">
      <c r="A44" s="43" t="s">
        <v>140</v>
      </c>
      <c r="B44" s="43" t="s">
        <v>70</v>
      </c>
      <c r="C44" s="43" t="s">
        <v>330</v>
      </c>
      <c r="D44" s="43" t="s">
        <v>551</v>
      </c>
      <c r="E44" s="43" t="s">
        <v>749</v>
      </c>
      <c r="F44" s="43" t="s">
        <v>93</v>
      </c>
      <c r="G44" s="51">
        <v>2</v>
      </c>
    </row>
    <row r="45" spans="1:7" ht="12.75">
      <c r="A45" s="42" t="s">
        <v>141</v>
      </c>
      <c r="B45" s="42" t="s">
        <v>70</v>
      </c>
      <c r="C45" s="42" t="s">
        <v>331</v>
      </c>
      <c r="D45" s="42" t="s">
        <v>552</v>
      </c>
      <c r="E45" s="42" t="s">
        <v>752</v>
      </c>
      <c r="F45" s="42" t="s">
        <v>867</v>
      </c>
      <c r="G45" s="50">
        <v>24</v>
      </c>
    </row>
    <row r="46" spans="1:7" ht="12.75">
      <c r="A46" s="42" t="s">
        <v>142</v>
      </c>
      <c r="B46" s="42" t="s">
        <v>70</v>
      </c>
      <c r="C46" s="42" t="s">
        <v>332</v>
      </c>
      <c r="D46" s="42" t="s">
        <v>553</v>
      </c>
      <c r="E46" s="42" t="s">
        <v>752</v>
      </c>
      <c r="F46" s="42" t="s">
        <v>136</v>
      </c>
      <c r="G46" s="50">
        <v>24</v>
      </c>
    </row>
    <row r="47" spans="1:7" ht="12.75">
      <c r="A47" s="42" t="s">
        <v>143</v>
      </c>
      <c r="B47" s="42" t="s">
        <v>70</v>
      </c>
      <c r="C47" s="42" t="s">
        <v>333</v>
      </c>
      <c r="D47" s="42" t="s">
        <v>554</v>
      </c>
      <c r="E47" s="42" t="s">
        <v>750</v>
      </c>
      <c r="F47" s="42" t="s">
        <v>868</v>
      </c>
      <c r="G47" s="50">
        <v>28</v>
      </c>
    </row>
    <row r="48" spans="1:7" ht="12.75">
      <c r="A48" s="42" t="s">
        <v>144</v>
      </c>
      <c r="B48" s="42" t="s">
        <v>70</v>
      </c>
      <c r="C48" s="42" t="s">
        <v>322</v>
      </c>
      <c r="D48" s="42" t="s">
        <v>541</v>
      </c>
      <c r="E48" s="42" t="s">
        <v>751</v>
      </c>
      <c r="F48" s="42" t="s">
        <v>869</v>
      </c>
      <c r="G48" s="50">
        <v>5.73</v>
      </c>
    </row>
    <row r="49" spans="1:7" ht="12.75">
      <c r="A49" s="42" t="s">
        <v>145</v>
      </c>
      <c r="B49" s="42" t="s">
        <v>70</v>
      </c>
      <c r="C49" s="42" t="s">
        <v>334</v>
      </c>
      <c r="D49" s="42" t="s">
        <v>556</v>
      </c>
      <c r="E49" s="42" t="s">
        <v>750</v>
      </c>
      <c r="G49" s="50">
        <v>8.28</v>
      </c>
    </row>
    <row r="50" spans="6:7" ht="12.75">
      <c r="F50" s="42" t="s">
        <v>870</v>
      </c>
      <c r="G50" s="50">
        <v>4.5</v>
      </c>
    </row>
    <row r="51" spans="1:7" ht="12.75">
      <c r="A51" s="42"/>
      <c r="B51" s="42"/>
      <c r="C51" s="42"/>
      <c r="D51" s="42"/>
      <c r="E51" s="42"/>
      <c r="F51" s="42" t="s">
        <v>871</v>
      </c>
      <c r="G51" s="50">
        <v>3.78</v>
      </c>
    </row>
    <row r="52" spans="1:7" ht="12.75">
      <c r="A52" s="42" t="s">
        <v>146</v>
      </c>
      <c r="B52" s="42" t="s">
        <v>70</v>
      </c>
      <c r="C52" s="42" t="s">
        <v>335</v>
      </c>
      <c r="D52" s="42" t="s">
        <v>557</v>
      </c>
      <c r="E52" s="42" t="s">
        <v>750</v>
      </c>
      <c r="G52" s="50">
        <v>37.19</v>
      </c>
    </row>
    <row r="53" spans="6:7" ht="12.75">
      <c r="F53" s="42" t="s">
        <v>872</v>
      </c>
      <c r="G53" s="50">
        <v>22.23</v>
      </c>
    </row>
    <row r="54" spans="1:7" ht="12.75">
      <c r="A54" s="42"/>
      <c r="B54" s="42"/>
      <c r="C54" s="42"/>
      <c r="D54" s="42"/>
      <c r="E54" s="42"/>
      <c r="F54" s="42" t="s">
        <v>873</v>
      </c>
      <c r="G54" s="50">
        <v>14.96</v>
      </c>
    </row>
    <row r="55" spans="1:7" ht="12.75">
      <c r="A55" s="42" t="s">
        <v>147</v>
      </c>
      <c r="B55" s="42" t="s">
        <v>70</v>
      </c>
      <c r="C55" s="42" t="s">
        <v>322</v>
      </c>
      <c r="D55" s="42" t="s">
        <v>541</v>
      </c>
      <c r="E55" s="42" t="s">
        <v>751</v>
      </c>
      <c r="F55" s="42" t="s">
        <v>874</v>
      </c>
      <c r="G55" s="50">
        <v>1.77</v>
      </c>
    </row>
    <row r="56" spans="1:7" ht="12.75">
      <c r="A56" s="42" t="s">
        <v>148</v>
      </c>
      <c r="B56" s="42" t="s">
        <v>70</v>
      </c>
      <c r="C56" s="42" t="s">
        <v>336</v>
      </c>
      <c r="D56" s="42" t="s">
        <v>559</v>
      </c>
      <c r="E56" s="42" t="s">
        <v>750</v>
      </c>
      <c r="G56" s="50">
        <v>9.18</v>
      </c>
    </row>
    <row r="57" spans="6:7" ht="12.75">
      <c r="F57" s="42" t="s">
        <v>870</v>
      </c>
      <c r="G57" s="50">
        <v>4.5</v>
      </c>
    </row>
    <row r="58" spans="1:7" ht="12.75">
      <c r="A58" s="42"/>
      <c r="B58" s="42"/>
      <c r="C58" s="42"/>
      <c r="D58" s="42"/>
      <c r="E58" s="42"/>
      <c r="F58" s="42" t="s">
        <v>871</v>
      </c>
      <c r="G58" s="50">
        <v>3.78</v>
      </c>
    </row>
    <row r="59" spans="1:7" ht="12.75">
      <c r="A59" s="42"/>
      <c r="B59" s="42"/>
      <c r="C59" s="42"/>
      <c r="D59" s="42"/>
      <c r="E59" s="42"/>
      <c r="F59" s="42" t="s">
        <v>875</v>
      </c>
      <c r="G59" s="50">
        <v>0.9</v>
      </c>
    </row>
    <row r="60" spans="1:7" ht="12.75">
      <c r="A60" s="42" t="s">
        <v>149</v>
      </c>
      <c r="B60" s="42" t="s">
        <v>70</v>
      </c>
      <c r="C60" s="42" t="s">
        <v>337</v>
      </c>
      <c r="D60" s="42" t="s">
        <v>560</v>
      </c>
      <c r="E60" s="42" t="s">
        <v>750</v>
      </c>
      <c r="G60" s="50">
        <v>80.65</v>
      </c>
    </row>
    <row r="61" spans="6:7" ht="12.75">
      <c r="F61" s="42" t="s">
        <v>857</v>
      </c>
      <c r="G61" s="50">
        <v>31.45</v>
      </c>
    </row>
    <row r="62" spans="1:7" ht="12.75">
      <c r="A62" s="42"/>
      <c r="B62" s="42"/>
      <c r="C62" s="42"/>
      <c r="D62" s="42"/>
      <c r="E62" s="42"/>
      <c r="F62" s="42" t="s">
        <v>858</v>
      </c>
      <c r="G62" s="50">
        <v>27.2</v>
      </c>
    </row>
    <row r="63" spans="1:7" ht="12.75">
      <c r="A63" s="42"/>
      <c r="B63" s="42"/>
      <c r="C63" s="42"/>
      <c r="D63" s="42"/>
      <c r="E63" s="42"/>
      <c r="F63" s="42" t="s">
        <v>859</v>
      </c>
      <c r="G63" s="50">
        <v>28</v>
      </c>
    </row>
    <row r="64" spans="1:7" ht="12.75">
      <c r="A64" s="42"/>
      <c r="B64" s="42"/>
      <c r="C64" s="42"/>
      <c r="D64" s="42"/>
      <c r="E64" s="42"/>
      <c r="F64" s="42" t="s">
        <v>876</v>
      </c>
      <c r="G64" s="50">
        <v>-6</v>
      </c>
    </row>
    <row r="65" spans="1:7" ht="12.75">
      <c r="A65" s="42" t="s">
        <v>150</v>
      </c>
      <c r="B65" s="42" t="s">
        <v>70</v>
      </c>
      <c r="C65" s="42" t="s">
        <v>322</v>
      </c>
      <c r="D65" s="42" t="s">
        <v>541</v>
      </c>
      <c r="E65" s="42" t="s">
        <v>751</v>
      </c>
      <c r="F65" s="42" t="s">
        <v>877</v>
      </c>
      <c r="G65" s="50">
        <v>6.77</v>
      </c>
    </row>
    <row r="66" spans="1:7" ht="12.75">
      <c r="A66" s="42" t="s">
        <v>151</v>
      </c>
      <c r="B66" s="42" t="s">
        <v>70</v>
      </c>
      <c r="C66" s="42" t="s">
        <v>338</v>
      </c>
      <c r="D66" s="42" t="s">
        <v>562</v>
      </c>
      <c r="E66" s="42" t="s">
        <v>750</v>
      </c>
      <c r="F66" s="42" t="s">
        <v>868</v>
      </c>
      <c r="G66" s="50">
        <v>28</v>
      </c>
    </row>
    <row r="67" spans="1:7" ht="12.75">
      <c r="A67" s="42" t="s">
        <v>152</v>
      </c>
      <c r="B67" s="42" t="s">
        <v>70</v>
      </c>
      <c r="C67" s="42" t="s">
        <v>339</v>
      </c>
      <c r="D67" s="42" t="s">
        <v>563</v>
      </c>
      <c r="E67" s="42" t="s">
        <v>750</v>
      </c>
      <c r="F67" s="42" t="s">
        <v>878</v>
      </c>
      <c r="G67" s="50">
        <v>12</v>
      </c>
    </row>
    <row r="68" spans="1:7" ht="12.75">
      <c r="A68" s="42" t="s">
        <v>153</v>
      </c>
      <c r="B68" s="42" t="s">
        <v>70</v>
      </c>
      <c r="C68" s="42" t="s">
        <v>340</v>
      </c>
      <c r="D68" s="42" t="s">
        <v>564</v>
      </c>
      <c r="E68" s="42" t="s">
        <v>750</v>
      </c>
      <c r="F68" s="42" t="s">
        <v>868</v>
      </c>
      <c r="G68" s="50">
        <v>28</v>
      </c>
    </row>
    <row r="69" spans="1:7" ht="12.75">
      <c r="A69" s="42" t="s">
        <v>154</v>
      </c>
      <c r="B69" s="42" t="s">
        <v>70</v>
      </c>
      <c r="C69" s="42" t="s">
        <v>322</v>
      </c>
      <c r="D69" s="42" t="s">
        <v>541</v>
      </c>
      <c r="E69" s="42" t="s">
        <v>751</v>
      </c>
      <c r="F69" s="42" t="s">
        <v>879</v>
      </c>
      <c r="G69" s="50">
        <v>3.26</v>
      </c>
    </row>
    <row r="70" spans="1:7" ht="12.75">
      <c r="A70" s="42" t="s">
        <v>155</v>
      </c>
      <c r="B70" s="42" t="s">
        <v>70</v>
      </c>
      <c r="C70" s="42" t="s">
        <v>341</v>
      </c>
      <c r="D70" s="42" t="s">
        <v>566</v>
      </c>
      <c r="E70" s="42" t="s">
        <v>749</v>
      </c>
      <c r="F70" s="42" t="s">
        <v>95</v>
      </c>
      <c r="G70" s="50">
        <v>4</v>
      </c>
    </row>
    <row r="71" spans="1:7" ht="12.75">
      <c r="A71" s="43" t="s">
        <v>156</v>
      </c>
      <c r="B71" s="43" t="s">
        <v>70</v>
      </c>
      <c r="C71" s="43" t="s">
        <v>342</v>
      </c>
      <c r="D71" s="43" t="s">
        <v>567</v>
      </c>
      <c r="E71" s="43" t="s">
        <v>749</v>
      </c>
      <c r="F71" s="43" t="s">
        <v>94</v>
      </c>
      <c r="G71" s="51">
        <v>3</v>
      </c>
    </row>
    <row r="72" spans="1:7" ht="12.75">
      <c r="A72" s="43" t="s">
        <v>157</v>
      </c>
      <c r="B72" s="43" t="s">
        <v>70</v>
      </c>
      <c r="C72" s="43" t="s">
        <v>343</v>
      </c>
      <c r="D72" s="43" t="s">
        <v>568</v>
      </c>
      <c r="E72" s="43" t="s">
        <v>749</v>
      </c>
      <c r="F72" s="43" t="s">
        <v>92</v>
      </c>
      <c r="G72" s="51">
        <v>1</v>
      </c>
    </row>
    <row r="73" spans="1:7" ht="12.75">
      <c r="A73" s="42" t="s">
        <v>158</v>
      </c>
      <c r="B73" s="42" t="s">
        <v>70</v>
      </c>
      <c r="C73" s="42" t="s">
        <v>322</v>
      </c>
      <c r="D73" s="42" t="s">
        <v>541</v>
      </c>
      <c r="E73" s="42" t="s">
        <v>751</v>
      </c>
      <c r="F73" s="42" t="s">
        <v>880</v>
      </c>
      <c r="G73" s="50">
        <v>0.56</v>
      </c>
    </row>
    <row r="74" spans="1:7" ht="12.75">
      <c r="A74" s="42" t="s">
        <v>159</v>
      </c>
      <c r="B74" s="42" t="s">
        <v>70</v>
      </c>
      <c r="C74" s="42" t="s">
        <v>345</v>
      </c>
      <c r="D74" s="42" t="s">
        <v>570</v>
      </c>
      <c r="E74" s="42" t="s">
        <v>750</v>
      </c>
      <c r="F74" s="42" t="s">
        <v>881</v>
      </c>
      <c r="G74" s="50">
        <v>35.26</v>
      </c>
    </row>
    <row r="75" spans="1:7" ht="12.75">
      <c r="A75" s="42" t="s">
        <v>160</v>
      </c>
      <c r="B75" s="42" t="s">
        <v>70</v>
      </c>
      <c r="C75" s="42" t="s">
        <v>346</v>
      </c>
      <c r="D75" s="42" t="s">
        <v>571</v>
      </c>
      <c r="E75" s="42" t="s">
        <v>750</v>
      </c>
      <c r="F75" s="42" t="s">
        <v>881</v>
      </c>
      <c r="G75" s="50">
        <v>35.26</v>
      </c>
    </row>
    <row r="76" spans="1:7" ht="12.75">
      <c r="A76" s="43" t="s">
        <v>161</v>
      </c>
      <c r="B76" s="43" t="s">
        <v>70</v>
      </c>
      <c r="C76" s="43" t="s">
        <v>347</v>
      </c>
      <c r="D76" s="43" t="s">
        <v>572</v>
      </c>
      <c r="E76" s="43" t="s">
        <v>750</v>
      </c>
      <c r="G76" s="51">
        <v>39.49</v>
      </c>
    </row>
    <row r="77" spans="6:7" ht="12.75">
      <c r="F77" s="43" t="s">
        <v>881</v>
      </c>
      <c r="G77" s="51">
        <v>35.26</v>
      </c>
    </row>
    <row r="78" spans="1:7" ht="12.75">
      <c r="A78" s="43"/>
      <c r="B78" s="43"/>
      <c r="C78" s="43"/>
      <c r="D78" s="43"/>
      <c r="E78" s="43"/>
      <c r="F78" s="43" t="s">
        <v>882</v>
      </c>
      <c r="G78" s="51">
        <v>4.23</v>
      </c>
    </row>
    <row r="79" spans="1:7" ht="12.75">
      <c r="A79" s="42" t="s">
        <v>162</v>
      </c>
      <c r="B79" s="42" t="s">
        <v>70</v>
      </c>
      <c r="C79" s="42" t="s">
        <v>348</v>
      </c>
      <c r="D79" s="42" t="s">
        <v>573</v>
      </c>
      <c r="E79" s="42" t="s">
        <v>751</v>
      </c>
      <c r="F79" s="42" t="s">
        <v>883</v>
      </c>
      <c r="G79" s="50">
        <v>0.2</v>
      </c>
    </row>
    <row r="80" spans="1:7" ht="12.75">
      <c r="A80" s="42" t="s">
        <v>163</v>
      </c>
      <c r="B80" s="42" t="s">
        <v>70</v>
      </c>
      <c r="C80" s="42" t="s">
        <v>350</v>
      </c>
      <c r="D80" s="42" t="s">
        <v>575</v>
      </c>
      <c r="E80" s="42" t="s">
        <v>750</v>
      </c>
      <c r="F80" s="42" t="s">
        <v>884</v>
      </c>
      <c r="G80" s="50">
        <v>39.42</v>
      </c>
    </row>
    <row r="81" spans="1:7" ht="12.75">
      <c r="A81" s="43" t="s">
        <v>164</v>
      </c>
      <c r="B81" s="43" t="s">
        <v>70</v>
      </c>
      <c r="C81" s="43" t="s">
        <v>351</v>
      </c>
      <c r="D81" s="43" t="s">
        <v>576</v>
      </c>
      <c r="E81" s="43" t="s">
        <v>750</v>
      </c>
      <c r="G81" s="51">
        <v>45.33</v>
      </c>
    </row>
    <row r="82" spans="6:7" ht="12.75">
      <c r="F82" s="43" t="s">
        <v>885</v>
      </c>
      <c r="G82" s="51">
        <v>39.42</v>
      </c>
    </row>
    <row r="83" spans="1:7" ht="12.75">
      <c r="A83" s="43"/>
      <c r="B83" s="43"/>
      <c r="C83" s="43"/>
      <c r="D83" s="43"/>
      <c r="E83" s="43"/>
      <c r="F83" s="43" t="s">
        <v>886</v>
      </c>
      <c r="G83" s="51">
        <v>5.91</v>
      </c>
    </row>
    <row r="84" spans="1:7" ht="12.75">
      <c r="A84" s="42" t="s">
        <v>165</v>
      </c>
      <c r="B84" s="42" t="s">
        <v>70</v>
      </c>
      <c r="C84" s="42" t="s">
        <v>352</v>
      </c>
      <c r="D84" s="42" t="s">
        <v>577</v>
      </c>
      <c r="E84" s="42" t="s">
        <v>751</v>
      </c>
      <c r="G84" s="50">
        <v>0.01</v>
      </c>
    </row>
    <row r="85" spans="1:7" ht="12.75">
      <c r="A85" s="42" t="s">
        <v>166</v>
      </c>
      <c r="B85" s="42" t="s">
        <v>70</v>
      </c>
      <c r="C85" s="42" t="s">
        <v>354</v>
      </c>
      <c r="D85" s="42" t="s">
        <v>579</v>
      </c>
      <c r="E85" s="42" t="s">
        <v>750</v>
      </c>
      <c r="F85" s="42" t="s">
        <v>887</v>
      </c>
      <c r="G85" s="50">
        <v>28</v>
      </c>
    </row>
    <row r="86" spans="1:7" ht="12.75">
      <c r="A86" s="42" t="s">
        <v>167</v>
      </c>
      <c r="B86" s="42" t="s">
        <v>70</v>
      </c>
      <c r="C86" s="42" t="s">
        <v>355</v>
      </c>
      <c r="D86" s="42" t="s">
        <v>580</v>
      </c>
      <c r="E86" s="42" t="s">
        <v>750</v>
      </c>
      <c r="F86" s="42" t="s">
        <v>868</v>
      </c>
      <c r="G86" s="50">
        <v>28</v>
      </c>
    </row>
    <row r="87" spans="1:7" ht="12.75">
      <c r="A87" s="42" t="s">
        <v>168</v>
      </c>
      <c r="B87" s="42" t="s">
        <v>70</v>
      </c>
      <c r="C87" s="42" t="s">
        <v>356</v>
      </c>
      <c r="D87" s="42" t="s">
        <v>581</v>
      </c>
      <c r="E87" s="42" t="s">
        <v>751</v>
      </c>
      <c r="G87" s="50">
        <v>0.18</v>
      </c>
    </row>
    <row r="88" spans="1:7" ht="12.75">
      <c r="A88" s="42" t="s">
        <v>169</v>
      </c>
      <c r="B88" s="42" t="s">
        <v>70</v>
      </c>
      <c r="C88" s="42" t="s">
        <v>358</v>
      </c>
      <c r="D88" s="42" t="s">
        <v>583</v>
      </c>
      <c r="E88" s="42" t="s">
        <v>750</v>
      </c>
      <c r="F88" s="42" t="s">
        <v>888</v>
      </c>
      <c r="G88" s="50">
        <v>39.42</v>
      </c>
    </row>
    <row r="89" spans="1:7" ht="12.75">
      <c r="A89" s="42" t="s">
        <v>170</v>
      </c>
      <c r="B89" s="42" t="s">
        <v>70</v>
      </c>
      <c r="C89" s="42" t="s">
        <v>359</v>
      </c>
      <c r="D89" s="42" t="s">
        <v>584</v>
      </c>
      <c r="E89" s="42" t="s">
        <v>750</v>
      </c>
      <c r="F89" s="42" t="s">
        <v>885</v>
      </c>
      <c r="G89" s="50">
        <v>39.42</v>
      </c>
    </row>
    <row r="90" spans="1:7" ht="12.75">
      <c r="A90" s="42" t="s">
        <v>171</v>
      </c>
      <c r="B90" s="42" t="s">
        <v>70</v>
      </c>
      <c r="C90" s="42" t="s">
        <v>360</v>
      </c>
      <c r="D90" s="42" t="s">
        <v>585</v>
      </c>
      <c r="E90" s="42" t="s">
        <v>752</v>
      </c>
      <c r="F90" s="42" t="s">
        <v>889</v>
      </c>
      <c r="G90" s="50">
        <v>16.8</v>
      </c>
    </row>
    <row r="91" spans="1:7" ht="12.75">
      <c r="A91" s="42" t="s">
        <v>172</v>
      </c>
      <c r="B91" s="42" t="s">
        <v>70</v>
      </c>
      <c r="C91" s="42" t="s">
        <v>361</v>
      </c>
      <c r="D91" s="42" t="s">
        <v>586</v>
      </c>
      <c r="E91" s="42" t="s">
        <v>752</v>
      </c>
      <c r="F91" s="42" t="s">
        <v>890</v>
      </c>
      <c r="G91" s="50">
        <v>45</v>
      </c>
    </row>
    <row r="92" spans="1:7" ht="12.75">
      <c r="A92" s="43" t="s">
        <v>173</v>
      </c>
      <c r="B92" s="43" t="s">
        <v>70</v>
      </c>
      <c r="C92" s="43" t="s">
        <v>362</v>
      </c>
      <c r="D92" s="43" t="s">
        <v>587</v>
      </c>
      <c r="E92" s="43" t="s">
        <v>748</v>
      </c>
      <c r="G92" s="51">
        <v>1.3</v>
      </c>
    </row>
    <row r="93" spans="6:7" ht="12.75">
      <c r="F93" s="43" t="s">
        <v>891</v>
      </c>
      <c r="G93" s="51">
        <v>0.12</v>
      </c>
    </row>
    <row r="94" spans="1:7" ht="12.75">
      <c r="A94" s="43"/>
      <c r="B94" s="43"/>
      <c r="C94" s="43"/>
      <c r="D94" s="43"/>
      <c r="E94" s="43"/>
      <c r="F94" s="43" t="s">
        <v>892</v>
      </c>
      <c r="G94" s="51">
        <v>1.08</v>
      </c>
    </row>
    <row r="95" spans="1:7" ht="12.75">
      <c r="A95" s="43"/>
      <c r="B95" s="43"/>
      <c r="C95" s="43"/>
      <c r="D95" s="43"/>
      <c r="E95" s="43"/>
      <c r="F95" s="43" t="s">
        <v>893</v>
      </c>
      <c r="G95" s="51">
        <v>0.1</v>
      </c>
    </row>
    <row r="96" spans="1:7" ht="12.75">
      <c r="A96" s="42" t="s">
        <v>174</v>
      </c>
      <c r="B96" s="42" t="s">
        <v>70</v>
      </c>
      <c r="C96" s="42" t="s">
        <v>363</v>
      </c>
      <c r="D96" s="42" t="s">
        <v>588</v>
      </c>
      <c r="E96" s="42" t="s">
        <v>748</v>
      </c>
      <c r="G96" s="50">
        <v>2.18</v>
      </c>
    </row>
    <row r="97" spans="6:7" ht="12.75">
      <c r="F97" s="42" t="s">
        <v>894</v>
      </c>
      <c r="G97" s="50">
        <v>0.88</v>
      </c>
    </row>
    <row r="98" spans="1:7" ht="12.75">
      <c r="A98" s="42"/>
      <c r="B98" s="42"/>
      <c r="C98" s="42"/>
      <c r="D98" s="42"/>
      <c r="E98" s="42"/>
      <c r="F98" s="42" t="s">
        <v>895</v>
      </c>
      <c r="G98" s="50">
        <v>1.3</v>
      </c>
    </row>
    <row r="99" spans="1:7" ht="12.75">
      <c r="A99" s="42" t="s">
        <v>175</v>
      </c>
      <c r="B99" s="42" t="s">
        <v>70</v>
      </c>
      <c r="C99" s="42" t="s">
        <v>364</v>
      </c>
      <c r="D99" s="42" t="s">
        <v>589</v>
      </c>
      <c r="E99" s="42" t="s">
        <v>748</v>
      </c>
      <c r="F99" s="42" t="s">
        <v>896</v>
      </c>
      <c r="G99" s="50">
        <v>2.18</v>
      </c>
    </row>
    <row r="100" spans="1:7" ht="12.75">
      <c r="A100" s="43" t="s">
        <v>176</v>
      </c>
      <c r="B100" s="43" t="s">
        <v>70</v>
      </c>
      <c r="C100" s="43" t="s">
        <v>365</v>
      </c>
      <c r="D100" s="43" t="s">
        <v>590</v>
      </c>
      <c r="E100" s="43" t="s">
        <v>749</v>
      </c>
      <c r="F100" s="43" t="s">
        <v>122</v>
      </c>
      <c r="G100" s="51">
        <v>10</v>
      </c>
    </row>
    <row r="101" spans="1:7" ht="12.75">
      <c r="A101" s="43" t="s">
        <v>177</v>
      </c>
      <c r="B101" s="43" t="s">
        <v>70</v>
      </c>
      <c r="C101" s="43" t="s">
        <v>366</v>
      </c>
      <c r="D101" s="43" t="s">
        <v>591</v>
      </c>
      <c r="E101" s="43" t="s">
        <v>752</v>
      </c>
      <c r="F101" s="43" t="s">
        <v>897</v>
      </c>
      <c r="G101" s="51">
        <v>2.5</v>
      </c>
    </row>
    <row r="102" spans="1:7" ht="12.75">
      <c r="A102" s="42" t="s">
        <v>178</v>
      </c>
      <c r="B102" s="42" t="s">
        <v>70</v>
      </c>
      <c r="C102" s="42" t="s">
        <v>367</v>
      </c>
      <c r="D102" s="42" t="s">
        <v>592</v>
      </c>
      <c r="E102" s="42" t="s">
        <v>751</v>
      </c>
      <c r="F102" s="42" t="s">
        <v>898</v>
      </c>
      <c r="G102" s="50">
        <v>1.42</v>
      </c>
    </row>
    <row r="103" spans="1:7" ht="12.75">
      <c r="A103" s="42" t="s">
        <v>179</v>
      </c>
      <c r="B103" s="42" t="s">
        <v>70</v>
      </c>
      <c r="C103" s="42" t="s">
        <v>369</v>
      </c>
      <c r="D103" s="42" t="s">
        <v>594</v>
      </c>
      <c r="E103" s="42" t="s">
        <v>752</v>
      </c>
      <c r="F103" s="42" t="s">
        <v>899</v>
      </c>
      <c r="G103" s="50">
        <v>6</v>
      </c>
    </row>
    <row r="104" spans="1:7" ht="12.75">
      <c r="A104" s="42" t="s">
        <v>180</v>
      </c>
      <c r="B104" s="42" t="s">
        <v>70</v>
      </c>
      <c r="C104" s="42" t="s">
        <v>370</v>
      </c>
      <c r="D104" s="42" t="s">
        <v>595</v>
      </c>
      <c r="E104" s="42" t="s">
        <v>752</v>
      </c>
      <c r="F104" s="42" t="s">
        <v>900</v>
      </c>
      <c r="G104" s="50">
        <v>17.8</v>
      </c>
    </row>
    <row r="105" spans="1:7" ht="12.75">
      <c r="A105" s="43" t="s">
        <v>181</v>
      </c>
      <c r="B105" s="43" t="s">
        <v>70</v>
      </c>
      <c r="C105" s="43" t="s">
        <v>371</v>
      </c>
      <c r="D105" s="43" t="s">
        <v>596</v>
      </c>
      <c r="E105" s="43" t="s">
        <v>752</v>
      </c>
      <c r="F105" s="43" t="s">
        <v>900</v>
      </c>
      <c r="G105" s="51">
        <v>17.8</v>
      </c>
    </row>
    <row r="106" spans="1:7" ht="12.75">
      <c r="A106" s="42" t="s">
        <v>182</v>
      </c>
      <c r="B106" s="42" t="s">
        <v>70</v>
      </c>
      <c r="C106" s="42" t="s">
        <v>372</v>
      </c>
      <c r="D106" s="42" t="s">
        <v>597</v>
      </c>
      <c r="E106" s="42" t="s">
        <v>752</v>
      </c>
      <c r="F106" s="42" t="s">
        <v>901</v>
      </c>
      <c r="G106" s="50">
        <v>8.8</v>
      </c>
    </row>
    <row r="107" spans="1:7" ht="12.75">
      <c r="A107" s="42" t="s">
        <v>97</v>
      </c>
      <c r="B107" s="42" t="s">
        <v>70</v>
      </c>
      <c r="C107" s="42" t="s">
        <v>373</v>
      </c>
      <c r="D107" s="42" t="s">
        <v>598</v>
      </c>
      <c r="E107" s="42" t="s">
        <v>749</v>
      </c>
      <c r="F107" s="42" t="s">
        <v>92</v>
      </c>
      <c r="G107" s="50">
        <v>1</v>
      </c>
    </row>
    <row r="108" spans="1:7" ht="12.75">
      <c r="A108" s="43" t="s">
        <v>102</v>
      </c>
      <c r="B108" s="43" t="s">
        <v>70</v>
      </c>
      <c r="C108" s="43" t="s">
        <v>374</v>
      </c>
      <c r="D108" s="43" t="s">
        <v>599</v>
      </c>
      <c r="E108" s="43" t="s">
        <v>749</v>
      </c>
      <c r="F108" s="43" t="s">
        <v>92</v>
      </c>
      <c r="G108" s="51">
        <v>1</v>
      </c>
    </row>
    <row r="109" spans="1:7" ht="12.75">
      <c r="A109" s="42" t="s">
        <v>183</v>
      </c>
      <c r="B109" s="42" t="s">
        <v>70</v>
      </c>
      <c r="C109" s="42" t="s">
        <v>375</v>
      </c>
      <c r="D109" s="42" t="s">
        <v>600</v>
      </c>
      <c r="E109" s="42" t="s">
        <v>752</v>
      </c>
      <c r="F109" s="42" t="s">
        <v>901</v>
      </c>
      <c r="G109" s="50">
        <v>8.8</v>
      </c>
    </row>
    <row r="110" spans="1:7" ht="12.75">
      <c r="A110" s="42" t="s">
        <v>184</v>
      </c>
      <c r="B110" s="42" t="s">
        <v>70</v>
      </c>
      <c r="C110" s="42" t="s">
        <v>376</v>
      </c>
      <c r="D110" s="42" t="s">
        <v>601</v>
      </c>
      <c r="E110" s="42" t="s">
        <v>752</v>
      </c>
      <c r="F110" s="42" t="s">
        <v>902</v>
      </c>
      <c r="G110" s="50">
        <v>2.5</v>
      </c>
    </row>
    <row r="111" spans="1:7" ht="12.75">
      <c r="A111" s="42" t="s">
        <v>185</v>
      </c>
      <c r="B111" s="42" t="s">
        <v>70</v>
      </c>
      <c r="C111" s="42" t="s">
        <v>377</v>
      </c>
      <c r="D111" s="42" t="s">
        <v>602</v>
      </c>
      <c r="E111" s="42" t="s">
        <v>751</v>
      </c>
      <c r="F111" s="42" t="s">
        <v>903</v>
      </c>
      <c r="G111" s="50">
        <v>0.13</v>
      </c>
    </row>
    <row r="112" spans="1:7" ht="12.75">
      <c r="A112" s="42" t="s">
        <v>98</v>
      </c>
      <c r="B112" s="42" t="s">
        <v>70</v>
      </c>
      <c r="C112" s="42" t="s">
        <v>379</v>
      </c>
      <c r="D112" s="42" t="s">
        <v>604</v>
      </c>
      <c r="E112" s="42" t="s">
        <v>750</v>
      </c>
      <c r="F112" s="42" t="s">
        <v>885</v>
      </c>
      <c r="G112" s="50">
        <v>39.42</v>
      </c>
    </row>
    <row r="113" spans="1:7" ht="12.75">
      <c r="A113" s="42" t="s">
        <v>99</v>
      </c>
      <c r="B113" s="42" t="s">
        <v>70</v>
      </c>
      <c r="C113" s="42" t="s">
        <v>380</v>
      </c>
      <c r="D113" s="42" t="s">
        <v>605</v>
      </c>
      <c r="E113" s="42" t="s">
        <v>751</v>
      </c>
      <c r="G113" s="50">
        <v>0.2</v>
      </c>
    </row>
    <row r="114" spans="1:7" ht="12.75">
      <c r="A114" s="42" t="s">
        <v>100</v>
      </c>
      <c r="B114" s="42" t="s">
        <v>70</v>
      </c>
      <c r="C114" s="42" t="s">
        <v>382</v>
      </c>
      <c r="D114" s="42" t="s">
        <v>607</v>
      </c>
      <c r="E114" s="42" t="s">
        <v>749</v>
      </c>
      <c r="F114" s="42" t="s">
        <v>96</v>
      </c>
      <c r="G114" s="50">
        <v>6</v>
      </c>
    </row>
    <row r="115" spans="1:7" ht="12.75">
      <c r="A115" s="43" t="s">
        <v>186</v>
      </c>
      <c r="B115" s="43" t="s">
        <v>70</v>
      </c>
      <c r="C115" s="43" t="s">
        <v>383</v>
      </c>
      <c r="D115" s="43" t="s">
        <v>608</v>
      </c>
      <c r="E115" s="43" t="s">
        <v>752</v>
      </c>
      <c r="G115" s="51">
        <v>6.3</v>
      </c>
    </row>
    <row r="116" spans="6:7" ht="12.75">
      <c r="F116" s="43" t="s">
        <v>96</v>
      </c>
      <c r="G116" s="51">
        <v>6</v>
      </c>
    </row>
    <row r="117" spans="1:7" ht="12.75">
      <c r="A117" s="43"/>
      <c r="B117" s="43"/>
      <c r="C117" s="43"/>
      <c r="D117" s="43"/>
      <c r="E117" s="43"/>
      <c r="F117" s="43" t="s">
        <v>904</v>
      </c>
      <c r="G117" s="51">
        <v>0.3</v>
      </c>
    </row>
    <row r="118" spans="1:7" ht="12.75">
      <c r="A118" s="43" t="s">
        <v>187</v>
      </c>
      <c r="B118" s="43" t="s">
        <v>70</v>
      </c>
      <c r="C118" s="43" t="s">
        <v>384</v>
      </c>
      <c r="D118" s="43" t="s">
        <v>609</v>
      </c>
      <c r="E118" s="43" t="s">
        <v>749</v>
      </c>
      <c r="F118" s="43" t="s">
        <v>124</v>
      </c>
      <c r="G118" s="51">
        <v>12</v>
      </c>
    </row>
    <row r="119" spans="1:7" ht="12.75">
      <c r="A119" s="42" t="s">
        <v>188</v>
      </c>
      <c r="B119" s="42" t="s">
        <v>70</v>
      </c>
      <c r="C119" s="42" t="s">
        <v>385</v>
      </c>
      <c r="D119" s="42" t="s">
        <v>610</v>
      </c>
      <c r="E119" s="42" t="s">
        <v>749</v>
      </c>
      <c r="F119" s="42" t="s">
        <v>101</v>
      </c>
      <c r="G119" s="50">
        <v>9</v>
      </c>
    </row>
    <row r="120" spans="1:7" ht="12.75">
      <c r="A120" s="43" t="s">
        <v>189</v>
      </c>
      <c r="B120" s="43" t="s">
        <v>70</v>
      </c>
      <c r="C120" s="43" t="s">
        <v>386</v>
      </c>
      <c r="D120" s="43" t="s">
        <v>611</v>
      </c>
      <c r="E120" s="43" t="s">
        <v>749</v>
      </c>
      <c r="F120" s="43" t="s">
        <v>96</v>
      </c>
      <c r="G120" s="51">
        <v>6</v>
      </c>
    </row>
    <row r="121" spans="1:7" ht="12.75">
      <c r="A121" s="42" t="s">
        <v>190</v>
      </c>
      <c r="B121" s="42" t="s">
        <v>70</v>
      </c>
      <c r="C121" s="42" t="s">
        <v>387</v>
      </c>
      <c r="D121" s="42" t="s">
        <v>612</v>
      </c>
      <c r="E121" s="42" t="s">
        <v>752</v>
      </c>
      <c r="F121" s="42" t="s">
        <v>905</v>
      </c>
      <c r="G121" s="50">
        <v>12.4</v>
      </c>
    </row>
    <row r="122" spans="1:7" ht="12.75">
      <c r="A122" s="43" t="s">
        <v>191</v>
      </c>
      <c r="B122" s="43" t="s">
        <v>70</v>
      </c>
      <c r="C122" s="43" t="s">
        <v>388</v>
      </c>
      <c r="D122" s="43" t="s">
        <v>613</v>
      </c>
      <c r="E122" s="43" t="s">
        <v>749</v>
      </c>
      <c r="F122" s="43" t="s">
        <v>906</v>
      </c>
      <c r="G122" s="51">
        <v>2</v>
      </c>
    </row>
    <row r="123" spans="1:7" ht="12.75">
      <c r="A123" s="42" t="s">
        <v>192</v>
      </c>
      <c r="B123" s="42" t="s">
        <v>70</v>
      </c>
      <c r="C123" s="42" t="s">
        <v>389</v>
      </c>
      <c r="D123" s="42" t="s">
        <v>614</v>
      </c>
      <c r="E123" s="42" t="s">
        <v>749</v>
      </c>
      <c r="F123" s="42" t="s">
        <v>907</v>
      </c>
      <c r="G123" s="50">
        <v>3</v>
      </c>
    </row>
    <row r="124" spans="1:7" ht="12.75">
      <c r="A124" s="43" t="s">
        <v>193</v>
      </c>
      <c r="B124" s="43" t="s">
        <v>70</v>
      </c>
      <c r="C124" s="43" t="s">
        <v>390</v>
      </c>
      <c r="D124" s="43" t="s">
        <v>615</v>
      </c>
      <c r="E124" s="43" t="s">
        <v>749</v>
      </c>
      <c r="F124" s="43" t="s">
        <v>94</v>
      </c>
      <c r="G124" s="51">
        <v>3</v>
      </c>
    </row>
    <row r="125" spans="1:7" ht="12.75">
      <c r="A125" s="42" t="s">
        <v>194</v>
      </c>
      <c r="B125" s="42" t="s">
        <v>70</v>
      </c>
      <c r="C125" s="42" t="s">
        <v>391</v>
      </c>
      <c r="D125" s="42" t="s">
        <v>616</v>
      </c>
      <c r="E125" s="42" t="s">
        <v>749</v>
      </c>
      <c r="F125" s="42" t="s">
        <v>92</v>
      </c>
      <c r="G125" s="50">
        <v>1</v>
      </c>
    </row>
    <row r="126" spans="1:7" ht="12.75">
      <c r="A126" s="43" t="s">
        <v>195</v>
      </c>
      <c r="B126" s="43" t="s">
        <v>70</v>
      </c>
      <c r="C126" s="43" t="s">
        <v>392</v>
      </c>
      <c r="D126" s="43" t="s">
        <v>617</v>
      </c>
      <c r="E126" s="43" t="s">
        <v>749</v>
      </c>
      <c r="F126" s="43" t="s">
        <v>92</v>
      </c>
      <c r="G126" s="51">
        <v>1</v>
      </c>
    </row>
    <row r="127" spans="1:7" ht="12.75">
      <c r="A127" s="42" t="s">
        <v>196</v>
      </c>
      <c r="B127" s="42" t="s">
        <v>70</v>
      </c>
      <c r="C127" s="42" t="s">
        <v>393</v>
      </c>
      <c r="D127" s="42" t="s">
        <v>618</v>
      </c>
      <c r="E127" s="42" t="s">
        <v>749</v>
      </c>
      <c r="F127" s="42" t="s">
        <v>95</v>
      </c>
      <c r="G127" s="50">
        <v>4</v>
      </c>
    </row>
    <row r="128" spans="1:7" ht="12.75">
      <c r="A128" s="43" t="s">
        <v>197</v>
      </c>
      <c r="B128" s="43" t="s">
        <v>70</v>
      </c>
      <c r="C128" s="43" t="s">
        <v>394</v>
      </c>
      <c r="D128" s="43" t="s">
        <v>619</v>
      </c>
      <c r="E128" s="43" t="s">
        <v>749</v>
      </c>
      <c r="F128" s="43" t="s">
        <v>95</v>
      </c>
      <c r="G128" s="51">
        <v>4</v>
      </c>
    </row>
    <row r="129" spans="1:7" ht="12.75">
      <c r="A129" s="42" t="s">
        <v>198</v>
      </c>
      <c r="B129" s="42" t="s">
        <v>70</v>
      </c>
      <c r="C129" s="42" t="s">
        <v>395</v>
      </c>
      <c r="D129" s="42" t="s">
        <v>620</v>
      </c>
      <c r="E129" s="42" t="s">
        <v>752</v>
      </c>
      <c r="G129" s="50">
        <v>3.53</v>
      </c>
    </row>
    <row r="130" spans="6:7" ht="12.75">
      <c r="F130" s="42" t="s">
        <v>908</v>
      </c>
      <c r="G130" s="50">
        <v>1</v>
      </c>
    </row>
    <row r="131" spans="1:7" ht="12.75">
      <c r="A131" s="42"/>
      <c r="B131" s="42"/>
      <c r="C131" s="42"/>
      <c r="D131" s="42"/>
      <c r="E131" s="42"/>
      <c r="F131" s="42" t="s">
        <v>909</v>
      </c>
      <c r="G131" s="50">
        <v>0.84</v>
      </c>
    </row>
    <row r="132" spans="1:7" ht="12.75">
      <c r="A132" s="42"/>
      <c r="B132" s="42"/>
      <c r="C132" s="42"/>
      <c r="D132" s="42"/>
      <c r="E132" s="42"/>
      <c r="F132" s="42" t="s">
        <v>910</v>
      </c>
      <c r="G132" s="50">
        <v>0.85</v>
      </c>
    </row>
    <row r="133" spans="1:7" ht="12.75">
      <c r="A133" s="42"/>
      <c r="B133" s="42"/>
      <c r="C133" s="42"/>
      <c r="D133" s="42"/>
      <c r="E133" s="42"/>
      <c r="F133" s="42" t="s">
        <v>909</v>
      </c>
      <c r="G133" s="50">
        <v>0.84</v>
      </c>
    </row>
    <row r="134" spans="1:7" ht="12.75">
      <c r="A134" s="43" t="s">
        <v>199</v>
      </c>
      <c r="B134" s="43" t="s">
        <v>70</v>
      </c>
      <c r="C134" s="43" t="s">
        <v>396</v>
      </c>
      <c r="D134" s="43" t="s">
        <v>621</v>
      </c>
      <c r="E134" s="43" t="s">
        <v>749</v>
      </c>
      <c r="F134" s="43" t="s">
        <v>93</v>
      </c>
      <c r="G134" s="51">
        <v>2</v>
      </c>
    </row>
    <row r="135" spans="1:7" ht="12.75">
      <c r="A135" s="43" t="s">
        <v>200</v>
      </c>
      <c r="B135" s="43" t="s">
        <v>70</v>
      </c>
      <c r="C135" s="43" t="s">
        <v>397</v>
      </c>
      <c r="D135" s="43" t="s">
        <v>622</v>
      </c>
      <c r="E135" s="43" t="s">
        <v>749</v>
      </c>
      <c r="F135" s="43" t="s">
        <v>92</v>
      </c>
      <c r="G135" s="51">
        <v>1</v>
      </c>
    </row>
    <row r="136" spans="1:7" ht="12.75">
      <c r="A136" s="43" t="s">
        <v>201</v>
      </c>
      <c r="B136" s="43" t="s">
        <v>70</v>
      </c>
      <c r="C136" s="43" t="s">
        <v>398</v>
      </c>
      <c r="D136" s="43" t="s">
        <v>623</v>
      </c>
      <c r="E136" s="43" t="s">
        <v>749</v>
      </c>
      <c r="F136" s="43" t="s">
        <v>92</v>
      </c>
      <c r="G136" s="51">
        <v>1</v>
      </c>
    </row>
    <row r="137" spans="1:7" ht="12.75">
      <c r="A137" s="43" t="s">
        <v>202</v>
      </c>
      <c r="B137" s="43" t="s">
        <v>70</v>
      </c>
      <c r="C137" s="43" t="s">
        <v>399</v>
      </c>
      <c r="D137" s="43" t="s">
        <v>624</v>
      </c>
      <c r="E137" s="43" t="s">
        <v>749</v>
      </c>
      <c r="F137" s="43" t="s">
        <v>92</v>
      </c>
      <c r="G137" s="51">
        <v>1</v>
      </c>
    </row>
    <row r="138" spans="1:7" ht="12.75">
      <c r="A138" s="42" t="s">
        <v>203</v>
      </c>
      <c r="B138" s="42" t="s">
        <v>70</v>
      </c>
      <c r="C138" s="42" t="s">
        <v>400</v>
      </c>
      <c r="D138" s="42" t="s">
        <v>625</v>
      </c>
      <c r="E138" s="42" t="s">
        <v>753</v>
      </c>
      <c r="G138" s="50">
        <v>1</v>
      </c>
    </row>
    <row r="139" spans="6:7" ht="12.75">
      <c r="F139" s="42" t="s">
        <v>911</v>
      </c>
      <c r="G139" s="50">
        <v>1</v>
      </c>
    </row>
    <row r="140" spans="1:7" ht="12.75">
      <c r="A140" s="42"/>
      <c r="B140" s="42"/>
      <c r="C140" s="42"/>
      <c r="D140" s="42"/>
      <c r="E140" s="42"/>
      <c r="F140" s="42" t="s">
        <v>912</v>
      </c>
      <c r="G140" s="50">
        <v>0</v>
      </c>
    </row>
    <row r="141" spans="1:7" ht="12.75">
      <c r="A141" s="42" t="s">
        <v>204</v>
      </c>
      <c r="B141" s="42" t="s">
        <v>70</v>
      </c>
      <c r="C141" s="42" t="s">
        <v>401</v>
      </c>
      <c r="D141" s="42" t="s">
        <v>626</v>
      </c>
      <c r="E141" s="42" t="s">
        <v>751</v>
      </c>
      <c r="F141" s="42" t="s">
        <v>913</v>
      </c>
      <c r="G141" s="50">
        <v>0.41</v>
      </c>
    </row>
    <row r="142" spans="1:7" ht="12.75">
      <c r="A142" s="42" t="s">
        <v>205</v>
      </c>
      <c r="B142" s="42" t="s">
        <v>70</v>
      </c>
      <c r="C142" s="42" t="s">
        <v>403</v>
      </c>
      <c r="D142" s="42" t="s">
        <v>628</v>
      </c>
      <c r="E142" s="42" t="s">
        <v>750</v>
      </c>
      <c r="F142" s="42" t="s">
        <v>914</v>
      </c>
      <c r="G142" s="50">
        <v>26.23</v>
      </c>
    </row>
    <row r="143" spans="1:7" ht="12.75">
      <c r="A143" s="42" t="s">
        <v>206</v>
      </c>
      <c r="B143" s="42" t="s">
        <v>70</v>
      </c>
      <c r="C143" s="42" t="s">
        <v>404</v>
      </c>
      <c r="D143" s="42" t="s">
        <v>629</v>
      </c>
      <c r="E143" s="42" t="s">
        <v>752</v>
      </c>
      <c r="G143" s="50">
        <v>21.95</v>
      </c>
    </row>
    <row r="144" spans="6:7" ht="12.75">
      <c r="F144" s="42" t="s">
        <v>915</v>
      </c>
      <c r="G144" s="50">
        <v>7.45</v>
      </c>
    </row>
    <row r="145" spans="1:7" ht="12.75">
      <c r="A145" s="42"/>
      <c r="B145" s="42"/>
      <c r="C145" s="42"/>
      <c r="D145" s="42"/>
      <c r="E145" s="42"/>
      <c r="F145" s="42" t="s">
        <v>916</v>
      </c>
      <c r="G145" s="50">
        <v>5</v>
      </c>
    </row>
    <row r="146" spans="1:7" ht="12.75">
      <c r="A146" s="42"/>
      <c r="B146" s="42"/>
      <c r="C146" s="42"/>
      <c r="D146" s="42"/>
      <c r="E146" s="42"/>
      <c r="F146" s="42" t="s">
        <v>917</v>
      </c>
      <c r="G146" s="50">
        <v>9.5</v>
      </c>
    </row>
    <row r="147" spans="1:7" ht="12.75">
      <c r="A147" s="42" t="s">
        <v>207</v>
      </c>
      <c r="B147" s="42" t="s">
        <v>70</v>
      </c>
      <c r="C147" s="42" t="s">
        <v>405</v>
      </c>
      <c r="D147" s="42" t="s">
        <v>630</v>
      </c>
      <c r="E147" s="42" t="s">
        <v>752</v>
      </c>
      <c r="F147" s="42" t="s">
        <v>918</v>
      </c>
      <c r="G147" s="50">
        <v>21.95</v>
      </c>
    </row>
    <row r="148" spans="1:7" ht="12.75">
      <c r="A148" s="43" t="s">
        <v>208</v>
      </c>
      <c r="B148" s="43" t="s">
        <v>70</v>
      </c>
      <c r="C148" s="43" t="s">
        <v>406</v>
      </c>
      <c r="D148" s="43" t="s">
        <v>631</v>
      </c>
      <c r="E148" s="43" t="s">
        <v>750</v>
      </c>
      <c r="G148" s="51">
        <v>29.85</v>
      </c>
    </row>
    <row r="149" spans="6:7" ht="12.75">
      <c r="F149" s="43" t="s">
        <v>919</v>
      </c>
      <c r="G149" s="51">
        <v>26.23</v>
      </c>
    </row>
    <row r="150" spans="1:7" ht="12.75">
      <c r="A150" s="43"/>
      <c r="B150" s="43"/>
      <c r="C150" s="43"/>
      <c r="D150" s="43"/>
      <c r="E150" s="43"/>
      <c r="F150" s="43" t="s">
        <v>920</v>
      </c>
      <c r="G150" s="51">
        <v>2.2</v>
      </c>
    </row>
    <row r="151" spans="1:7" ht="12.75">
      <c r="A151" s="43"/>
      <c r="B151" s="43"/>
      <c r="C151" s="43"/>
      <c r="D151" s="43"/>
      <c r="E151" s="43"/>
      <c r="F151" s="43" t="s">
        <v>921</v>
      </c>
      <c r="G151" s="51">
        <v>1.42</v>
      </c>
    </row>
    <row r="152" spans="1:7" ht="12.75">
      <c r="A152" s="42" t="s">
        <v>209</v>
      </c>
      <c r="B152" s="42" t="s">
        <v>70</v>
      </c>
      <c r="C152" s="42" t="s">
        <v>407</v>
      </c>
      <c r="D152" s="42" t="s">
        <v>632</v>
      </c>
      <c r="E152" s="42" t="s">
        <v>751</v>
      </c>
      <c r="F152" s="42" t="s">
        <v>922</v>
      </c>
      <c r="G152" s="50">
        <v>0.71</v>
      </c>
    </row>
    <row r="153" spans="1:7" ht="12.75">
      <c r="A153" s="43" t="s">
        <v>210</v>
      </c>
      <c r="B153" s="43" t="s">
        <v>70</v>
      </c>
      <c r="C153" s="43" t="s">
        <v>409</v>
      </c>
      <c r="D153" s="43" t="s">
        <v>634</v>
      </c>
      <c r="E153" s="43" t="s">
        <v>749</v>
      </c>
      <c r="F153" s="43" t="s">
        <v>93</v>
      </c>
      <c r="G153" s="51">
        <v>2</v>
      </c>
    </row>
    <row r="154" spans="1:7" ht="12.75">
      <c r="A154" s="42" t="s">
        <v>211</v>
      </c>
      <c r="B154" s="42" t="s">
        <v>70</v>
      </c>
      <c r="C154" s="42" t="s">
        <v>411</v>
      </c>
      <c r="D154" s="42" t="s">
        <v>636</v>
      </c>
      <c r="E154" s="42" t="s">
        <v>750</v>
      </c>
      <c r="G154" s="50">
        <v>44.78</v>
      </c>
    </row>
    <row r="155" spans="6:7" ht="12.75">
      <c r="F155" s="42" t="s">
        <v>923</v>
      </c>
      <c r="G155" s="50">
        <v>16.2</v>
      </c>
    </row>
    <row r="156" spans="1:7" ht="12.75">
      <c r="A156" s="42"/>
      <c r="B156" s="42"/>
      <c r="C156" s="42"/>
      <c r="D156" s="42"/>
      <c r="E156" s="42"/>
      <c r="F156" s="42" t="s">
        <v>924</v>
      </c>
      <c r="G156" s="50">
        <v>11.85</v>
      </c>
    </row>
    <row r="157" spans="1:7" ht="12.75">
      <c r="A157" s="42"/>
      <c r="B157" s="42"/>
      <c r="C157" s="42"/>
      <c r="D157" s="42"/>
      <c r="E157" s="42"/>
      <c r="F157" s="42" t="s">
        <v>925</v>
      </c>
      <c r="G157" s="50">
        <v>16.73</v>
      </c>
    </row>
    <row r="158" spans="1:7" ht="12.75">
      <c r="A158" s="42" t="s">
        <v>212</v>
      </c>
      <c r="B158" s="42" t="s">
        <v>70</v>
      </c>
      <c r="C158" s="42" t="s">
        <v>412</v>
      </c>
      <c r="D158" s="42" t="s">
        <v>637</v>
      </c>
      <c r="E158" s="42" t="s">
        <v>750</v>
      </c>
      <c r="F158" s="42" t="s">
        <v>926</v>
      </c>
      <c r="G158" s="50">
        <v>44.78</v>
      </c>
    </row>
    <row r="159" spans="1:7" ht="12.75">
      <c r="A159" s="42" t="s">
        <v>213</v>
      </c>
      <c r="B159" s="42" t="s">
        <v>70</v>
      </c>
      <c r="C159" s="42" t="s">
        <v>413</v>
      </c>
      <c r="D159" s="42" t="s">
        <v>638</v>
      </c>
      <c r="E159" s="42" t="s">
        <v>750</v>
      </c>
      <c r="F159" s="42" t="s">
        <v>926</v>
      </c>
      <c r="G159" s="50">
        <v>44.78</v>
      </c>
    </row>
    <row r="160" spans="1:7" ht="12.75">
      <c r="A160" s="43" t="s">
        <v>214</v>
      </c>
      <c r="B160" s="43" t="s">
        <v>70</v>
      </c>
      <c r="C160" s="43" t="s">
        <v>414</v>
      </c>
      <c r="D160" s="43" t="s">
        <v>639</v>
      </c>
      <c r="E160" s="43" t="s">
        <v>750</v>
      </c>
      <c r="G160" s="51">
        <v>47.02</v>
      </c>
    </row>
    <row r="161" spans="6:7" ht="12.75">
      <c r="F161" s="43" t="s">
        <v>926</v>
      </c>
      <c r="G161" s="51">
        <v>44.78</v>
      </c>
    </row>
    <row r="162" spans="1:7" ht="12.75">
      <c r="A162" s="43"/>
      <c r="B162" s="43"/>
      <c r="C162" s="43"/>
      <c r="D162" s="43"/>
      <c r="E162" s="43"/>
      <c r="F162" s="43" t="s">
        <v>927</v>
      </c>
      <c r="G162" s="51">
        <v>2.24</v>
      </c>
    </row>
    <row r="163" spans="1:7" ht="12.75">
      <c r="A163" s="42" t="s">
        <v>215</v>
      </c>
      <c r="B163" s="42" t="s">
        <v>70</v>
      </c>
      <c r="C163" s="42" t="s">
        <v>415</v>
      </c>
      <c r="D163" s="42" t="s">
        <v>640</v>
      </c>
      <c r="E163" s="42" t="s">
        <v>751</v>
      </c>
      <c r="F163" s="42" t="s">
        <v>928</v>
      </c>
      <c r="G163" s="50">
        <v>0.8</v>
      </c>
    </row>
    <row r="164" spans="1:7" ht="12.75">
      <c r="A164" s="42" t="s">
        <v>216</v>
      </c>
      <c r="B164" s="42" t="s">
        <v>70</v>
      </c>
      <c r="C164" s="42" t="s">
        <v>417</v>
      </c>
      <c r="D164" s="42" t="s">
        <v>642</v>
      </c>
      <c r="E164" s="42" t="s">
        <v>750</v>
      </c>
      <c r="F164" s="42" t="s">
        <v>929</v>
      </c>
      <c r="G164" s="50">
        <v>3.2</v>
      </c>
    </row>
    <row r="165" spans="1:7" ht="12.75">
      <c r="A165" s="42" t="s">
        <v>217</v>
      </c>
      <c r="B165" s="42" t="s">
        <v>70</v>
      </c>
      <c r="C165" s="42" t="s">
        <v>419</v>
      </c>
      <c r="D165" s="42" t="s">
        <v>644</v>
      </c>
      <c r="E165" s="42" t="s">
        <v>750</v>
      </c>
      <c r="G165" s="50">
        <v>113.56</v>
      </c>
    </row>
    <row r="166" spans="6:7" ht="12.75">
      <c r="F166" s="42" t="s">
        <v>930</v>
      </c>
      <c r="G166" s="50">
        <v>26.23</v>
      </c>
    </row>
    <row r="167" spans="1:7" ht="12.75">
      <c r="A167" s="42"/>
      <c r="B167" s="42"/>
      <c r="C167" s="42"/>
      <c r="D167" s="42"/>
      <c r="E167" s="42"/>
      <c r="F167" s="42" t="s">
        <v>931</v>
      </c>
      <c r="G167" s="50">
        <v>19</v>
      </c>
    </row>
    <row r="168" spans="1:7" ht="12.75">
      <c r="A168" s="42"/>
      <c r="B168" s="42"/>
      <c r="C168" s="42"/>
      <c r="D168" s="42"/>
      <c r="E168" s="42"/>
      <c r="F168" s="42" t="s">
        <v>932</v>
      </c>
      <c r="G168" s="50">
        <v>12.75</v>
      </c>
    </row>
    <row r="169" spans="1:7" ht="12.75">
      <c r="A169" s="42"/>
      <c r="B169" s="42"/>
      <c r="C169" s="42"/>
      <c r="D169" s="42"/>
      <c r="E169" s="42"/>
      <c r="F169" s="42" t="s">
        <v>933</v>
      </c>
      <c r="G169" s="50">
        <v>24.23</v>
      </c>
    </row>
    <row r="170" spans="1:7" ht="12.75">
      <c r="A170" s="42"/>
      <c r="B170" s="42"/>
      <c r="C170" s="42"/>
      <c r="D170" s="42"/>
      <c r="E170" s="42"/>
      <c r="F170" s="42" t="s">
        <v>934</v>
      </c>
      <c r="G170" s="50">
        <v>11.34</v>
      </c>
    </row>
    <row r="171" spans="1:7" ht="12.75">
      <c r="A171" s="42"/>
      <c r="B171" s="42"/>
      <c r="C171" s="42"/>
      <c r="D171" s="42"/>
      <c r="E171" s="42"/>
      <c r="F171" s="42" t="s">
        <v>935</v>
      </c>
      <c r="G171" s="50">
        <v>8.3</v>
      </c>
    </row>
    <row r="172" spans="1:7" ht="12.75">
      <c r="A172" s="42"/>
      <c r="B172" s="42"/>
      <c r="C172" s="42"/>
      <c r="D172" s="42"/>
      <c r="E172" s="42"/>
      <c r="F172" s="42" t="s">
        <v>936</v>
      </c>
      <c r="G172" s="50">
        <v>11.71</v>
      </c>
    </row>
    <row r="173" spans="1:7" ht="12.75">
      <c r="A173" s="42" t="s">
        <v>218</v>
      </c>
      <c r="B173" s="42" t="s">
        <v>70</v>
      </c>
      <c r="C173" s="42" t="s">
        <v>420</v>
      </c>
      <c r="D173" s="42" t="s">
        <v>645</v>
      </c>
      <c r="E173" s="42" t="s">
        <v>750</v>
      </c>
      <c r="F173" s="42" t="s">
        <v>937</v>
      </c>
      <c r="G173" s="50">
        <v>113.56</v>
      </c>
    </row>
    <row r="174" spans="1:7" ht="12.75">
      <c r="A174" s="42" t="s">
        <v>219</v>
      </c>
      <c r="B174" s="42" t="s">
        <v>70</v>
      </c>
      <c r="C174" s="42" t="s">
        <v>421</v>
      </c>
      <c r="D174" s="42" t="s">
        <v>647</v>
      </c>
      <c r="E174" s="42" t="s">
        <v>750</v>
      </c>
      <c r="F174" s="42" t="s">
        <v>919</v>
      </c>
      <c r="G174" s="50">
        <v>26.23</v>
      </c>
    </row>
    <row r="175" spans="1:7" ht="12.75">
      <c r="A175" s="42" t="s">
        <v>220</v>
      </c>
      <c r="B175" s="42" t="s">
        <v>70</v>
      </c>
      <c r="C175" s="42" t="s">
        <v>422</v>
      </c>
      <c r="D175" s="42" t="s">
        <v>648</v>
      </c>
      <c r="E175" s="42" t="s">
        <v>750</v>
      </c>
      <c r="F175" s="42" t="s">
        <v>938</v>
      </c>
      <c r="G175" s="50">
        <v>28</v>
      </c>
    </row>
    <row r="176" spans="1:7" ht="12.75">
      <c r="A176" s="42" t="s">
        <v>221</v>
      </c>
      <c r="B176" s="42" t="s">
        <v>70</v>
      </c>
      <c r="C176" s="42" t="s">
        <v>423</v>
      </c>
      <c r="D176" s="42" t="s">
        <v>650</v>
      </c>
      <c r="E176" s="42" t="s">
        <v>750</v>
      </c>
      <c r="F176" s="42" t="s">
        <v>919</v>
      </c>
      <c r="G176" s="50">
        <v>26.23</v>
      </c>
    </row>
    <row r="177" spans="1:7" ht="12.75">
      <c r="A177" s="42" t="s">
        <v>222</v>
      </c>
      <c r="B177" s="42" t="s">
        <v>71</v>
      </c>
      <c r="C177" s="42" t="s">
        <v>425</v>
      </c>
      <c r="D177" s="42" t="s">
        <v>652</v>
      </c>
      <c r="E177" s="42" t="s">
        <v>753</v>
      </c>
      <c r="F177" s="42" t="s">
        <v>92</v>
      </c>
      <c r="G177" s="50">
        <v>1</v>
      </c>
    </row>
    <row r="178" spans="1:7" ht="12.75">
      <c r="A178" s="42" t="s">
        <v>223</v>
      </c>
      <c r="B178" s="42" t="s">
        <v>71</v>
      </c>
      <c r="C178" s="42" t="s">
        <v>426</v>
      </c>
      <c r="D178" s="42" t="s">
        <v>653</v>
      </c>
      <c r="E178" s="42" t="s">
        <v>753</v>
      </c>
      <c r="F178" s="42" t="s">
        <v>92</v>
      </c>
      <c r="G178" s="50">
        <v>1</v>
      </c>
    </row>
    <row r="179" spans="1:7" ht="12.75">
      <c r="A179" s="42" t="s">
        <v>224</v>
      </c>
      <c r="B179" s="42" t="s">
        <v>71</v>
      </c>
      <c r="C179" s="42" t="s">
        <v>427</v>
      </c>
      <c r="D179" s="42" t="s">
        <v>654</v>
      </c>
      <c r="E179" s="42" t="s">
        <v>752</v>
      </c>
      <c r="F179" s="42" t="s">
        <v>103</v>
      </c>
      <c r="G179" s="50">
        <v>5</v>
      </c>
    </row>
    <row r="180" spans="1:7" ht="12.75">
      <c r="A180" s="42" t="s">
        <v>225</v>
      </c>
      <c r="B180" s="42" t="s">
        <v>71</v>
      </c>
      <c r="C180" s="42" t="s">
        <v>428</v>
      </c>
      <c r="D180" s="42" t="s">
        <v>655</v>
      </c>
      <c r="E180" s="42" t="s">
        <v>752</v>
      </c>
      <c r="F180" s="42" t="s">
        <v>132</v>
      </c>
      <c r="G180" s="50">
        <v>20</v>
      </c>
    </row>
    <row r="181" spans="1:7" ht="12.75">
      <c r="A181" s="42" t="s">
        <v>226</v>
      </c>
      <c r="B181" s="42" t="s">
        <v>71</v>
      </c>
      <c r="C181" s="42" t="s">
        <v>429</v>
      </c>
      <c r="D181" s="42" t="s">
        <v>656</v>
      </c>
      <c r="E181" s="42" t="s">
        <v>752</v>
      </c>
      <c r="G181" s="50">
        <v>20.5</v>
      </c>
    </row>
    <row r="182" spans="6:7" ht="12.75">
      <c r="F182" s="42" t="s">
        <v>939</v>
      </c>
      <c r="G182" s="50">
        <v>16.5</v>
      </c>
    </row>
    <row r="183" spans="1:7" ht="12.75">
      <c r="A183" s="42"/>
      <c r="B183" s="42"/>
      <c r="C183" s="42"/>
      <c r="D183" s="42"/>
      <c r="E183" s="42"/>
      <c r="F183" s="42" t="s">
        <v>95</v>
      </c>
      <c r="G183" s="50">
        <v>4</v>
      </c>
    </row>
    <row r="184" spans="1:7" ht="12.75">
      <c r="A184" s="42" t="s">
        <v>227</v>
      </c>
      <c r="B184" s="42" t="s">
        <v>71</v>
      </c>
      <c r="C184" s="42" t="s">
        <v>430</v>
      </c>
      <c r="D184" s="42" t="s">
        <v>657</v>
      </c>
      <c r="E184" s="42" t="s">
        <v>752</v>
      </c>
      <c r="F184" s="42" t="s">
        <v>940</v>
      </c>
      <c r="G184" s="50">
        <v>45.5</v>
      </c>
    </row>
    <row r="185" spans="1:7" ht="12.75">
      <c r="A185" s="42" t="s">
        <v>228</v>
      </c>
      <c r="B185" s="42" t="s">
        <v>71</v>
      </c>
      <c r="C185" s="42" t="s">
        <v>431</v>
      </c>
      <c r="D185" s="42" t="s">
        <v>658</v>
      </c>
      <c r="E185" s="42" t="s">
        <v>752</v>
      </c>
      <c r="F185" s="42" t="s">
        <v>941</v>
      </c>
      <c r="G185" s="50">
        <v>45.5</v>
      </c>
    </row>
    <row r="186" spans="1:7" ht="12.75">
      <c r="A186" s="42" t="s">
        <v>229</v>
      </c>
      <c r="B186" s="42" t="s">
        <v>71</v>
      </c>
      <c r="C186" s="42" t="s">
        <v>432</v>
      </c>
      <c r="D186" s="42" t="s">
        <v>659</v>
      </c>
      <c r="E186" s="42" t="s">
        <v>749</v>
      </c>
      <c r="F186" s="42" t="s">
        <v>126</v>
      </c>
      <c r="G186" s="50">
        <v>14</v>
      </c>
    </row>
    <row r="187" spans="1:7" ht="12.75">
      <c r="A187" s="42" t="s">
        <v>230</v>
      </c>
      <c r="B187" s="42" t="s">
        <v>71</v>
      </c>
      <c r="C187" s="42" t="s">
        <v>433</v>
      </c>
      <c r="D187" s="42" t="s">
        <v>660</v>
      </c>
      <c r="E187" s="42" t="s">
        <v>749</v>
      </c>
      <c r="F187" s="42" t="s">
        <v>93</v>
      </c>
      <c r="G187" s="50">
        <v>2</v>
      </c>
    </row>
    <row r="188" spans="1:7" ht="12.75">
      <c r="A188" s="42" t="s">
        <v>231</v>
      </c>
      <c r="B188" s="42" t="s">
        <v>71</v>
      </c>
      <c r="C188" s="42" t="s">
        <v>434</v>
      </c>
      <c r="D188" s="42" t="s">
        <v>661</v>
      </c>
      <c r="E188" s="42" t="s">
        <v>749</v>
      </c>
      <c r="F188" s="42" t="s">
        <v>92</v>
      </c>
      <c r="G188" s="50">
        <v>1</v>
      </c>
    </row>
    <row r="189" spans="1:7" ht="12.75">
      <c r="A189" s="42" t="s">
        <v>232</v>
      </c>
      <c r="B189" s="42" t="s">
        <v>71</v>
      </c>
      <c r="C189" s="42" t="s">
        <v>435</v>
      </c>
      <c r="D189" s="42" t="s">
        <v>662</v>
      </c>
      <c r="E189" s="42" t="s">
        <v>751</v>
      </c>
      <c r="F189" s="42" t="s">
        <v>942</v>
      </c>
      <c r="G189" s="50">
        <v>0.04</v>
      </c>
    </row>
    <row r="190" spans="1:7" ht="12.75">
      <c r="A190" s="42" t="s">
        <v>233</v>
      </c>
      <c r="B190" s="42" t="s">
        <v>71</v>
      </c>
      <c r="C190" s="42" t="s">
        <v>437</v>
      </c>
      <c r="D190" s="42" t="s">
        <v>664</v>
      </c>
      <c r="E190" s="42" t="s">
        <v>753</v>
      </c>
      <c r="F190" s="42" t="s">
        <v>94</v>
      </c>
      <c r="G190" s="50">
        <v>3</v>
      </c>
    </row>
    <row r="191" spans="1:7" ht="12.75">
      <c r="A191" s="42" t="s">
        <v>234</v>
      </c>
      <c r="B191" s="42" t="s">
        <v>71</v>
      </c>
      <c r="C191" s="42" t="s">
        <v>438</v>
      </c>
      <c r="D191" s="42" t="s">
        <v>665</v>
      </c>
      <c r="E191" s="42" t="s">
        <v>753</v>
      </c>
      <c r="F191" s="42" t="s">
        <v>92</v>
      </c>
      <c r="G191" s="50">
        <v>1</v>
      </c>
    </row>
    <row r="192" spans="1:7" ht="12.75">
      <c r="A192" s="42" t="s">
        <v>235</v>
      </c>
      <c r="B192" s="42" t="s">
        <v>71</v>
      </c>
      <c r="C192" s="42" t="s">
        <v>439</v>
      </c>
      <c r="D192" s="42" t="s">
        <v>666</v>
      </c>
      <c r="E192" s="42" t="s">
        <v>753</v>
      </c>
      <c r="F192" s="42" t="s">
        <v>92</v>
      </c>
      <c r="G192" s="50">
        <v>1</v>
      </c>
    </row>
    <row r="193" spans="1:7" ht="12.75">
      <c r="A193" s="42" t="s">
        <v>236</v>
      </c>
      <c r="B193" s="42" t="s">
        <v>71</v>
      </c>
      <c r="C193" s="42" t="s">
        <v>440</v>
      </c>
      <c r="D193" s="42" t="s">
        <v>667</v>
      </c>
      <c r="E193" s="42" t="s">
        <v>753</v>
      </c>
      <c r="F193" s="42" t="s">
        <v>943</v>
      </c>
      <c r="G193" s="50">
        <v>4</v>
      </c>
    </row>
    <row r="194" spans="1:7" ht="12.75">
      <c r="A194" s="42" t="s">
        <v>237</v>
      </c>
      <c r="B194" s="42" t="s">
        <v>71</v>
      </c>
      <c r="C194" s="42" t="s">
        <v>441</v>
      </c>
      <c r="D194" s="42" t="s">
        <v>668</v>
      </c>
      <c r="E194" s="42" t="s">
        <v>753</v>
      </c>
      <c r="F194" s="42" t="s">
        <v>93</v>
      </c>
      <c r="G194" s="50">
        <v>2</v>
      </c>
    </row>
    <row r="195" spans="1:7" ht="12.75">
      <c r="A195" s="42" t="s">
        <v>238</v>
      </c>
      <c r="B195" s="42" t="s">
        <v>71</v>
      </c>
      <c r="C195" s="42" t="s">
        <v>442</v>
      </c>
      <c r="D195" s="42" t="s">
        <v>669</v>
      </c>
      <c r="E195" s="42" t="s">
        <v>749</v>
      </c>
      <c r="F195" s="42" t="s">
        <v>92</v>
      </c>
      <c r="G195" s="50">
        <v>1</v>
      </c>
    </row>
    <row r="196" spans="1:7" ht="12.75">
      <c r="A196" s="43" t="s">
        <v>239</v>
      </c>
      <c r="B196" s="43" t="s">
        <v>71</v>
      </c>
      <c r="C196" s="43" t="s">
        <v>443</v>
      </c>
      <c r="D196" s="43" t="s">
        <v>670</v>
      </c>
      <c r="E196" s="43" t="s">
        <v>749</v>
      </c>
      <c r="F196" s="43" t="s">
        <v>92</v>
      </c>
      <c r="G196" s="51">
        <v>1</v>
      </c>
    </row>
    <row r="197" spans="1:7" ht="12.75">
      <c r="A197" s="42" t="s">
        <v>240</v>
      </c>
      <c r="B197" s="42" t="s">
        <v>71</v>
      </c>
      <c r="C197" s="42" t="s">
        <v>444</v>
      </c>
      <c r="D197" s="42" t="s">
        <v>671</v>
      </c>
      <c r="E197" s="42" t="s">
        <v>749</v>
      </c>
      <c r="F197" s="42" t="s">
        <v>95</v>
      </c>
      <c r="G197" s="50">
        <v>4</v>
      </c>
    </row>
    <row r="198" spans="1:7" ht="12.75">
      <c r="A198" s="42" t="s">
        <v>241</v>
      </c>
      <c r="B198" s="42" t="s">
        <v>71</v>
      </c>
      <c r="C198" s="42" t="s">
        <v>445</v>
      </c>
      <c r="D198" s="42" t="s">
        <v>672</v>
      </c>
      <c r="E198" s="42" t="s">
        <v>753</v>
      </c>
      <c r="G198" s="50">
        <v>14</v>
      </c>
    </row>
    <row r="199" spans="6:7" ht="12.75">
      <c r="F199" s="42" t="s">
        <v>944</v>
      </c>
      <c r="G199" s="50">
        <v>4</v>
      </c>
    </row>
    <row r="200" spans="1:7" ht="12.75">
      <c r="A200" s="42"/>
      <c r="B200" s="42"/>
      <c r="C200" s="42"/>
      <c r="D200" s="42"/>
      <c r="E200" s="42"/>
      <c r="F200" s="42" t="s">
        <v>945</v>
      </c>
      <c r="G200" s="50">
        <v>8</v>
      </c>
    </row>
    <row r="201" spans="1:7" ht="12.75">
      <c r="A201" s="42"/>
      <c r="B201" s="42"/>
      <c r="C201" s="42"/>
      <c r="D201" s="42"/>
      <c r="E201" s="42"/>
      <c r="F201" s="42" t="s">
        <v>946</v>
      </c>
      <c r="G201" s="50">
        <v>2</v>
      </c>
    </row>
    <row r="202" spans="1:7" ht="12.75">
      <c r="A202" s="42" t="s">
        <v>242</v>
      </c>
      <c r="B202" s="42" t="s">
        <v>71</v>
      </c>
      <c r="C202" s="42" t="s">
        <v>446</v>
      </c>
      <c r="D202" s="42" t="s">
        <v>673</v>
      </c>
      <c r="E202" s="42" t="s">
        <v>753</v>
      </c>
      <c r="G202" s="50">
        <v>4</v>
      </c>
    </row>
    <row r="203" spans="6:7" ht="12.75">
      <c r="F203" s="42" t="s">
        <v>95</v>
      </c>
      <c r="G203" s="50">
        <v>4</v>
      </c>
    </row>
    <row r="204" spans="1:7" ht="12.75">
      <c r="A204" s="42"/>
      <c r="B204" s="42"/>
      <c r="C204" s="42"/>
      <c r="D204" s="42"/>
      <c r="E204" s="42"/>
      <c r="F204" s="42" t="s">
        <v>947</v>
      </c>
      <c r="G204" s="50">
        <v>0</v>
      </c>
    </row>
    <row r="205" spans="1:7" ht="12.75">
      <c r="A205" s="42" t="s">
        <v>243</v>
      </c>
      <c r="B205" s="42" t="s">
        <v>71</v>
      </c>
      <c r="C205" s="42" t="s">
        <v>447</v>
      </c>
      <c r="D205" s="42" t="s">
        <v>674</v>
      </c>
      <c r="E205" s="42" t="s">
        <v>749</v>
      </c>
      <c r="F205" s="42" t="s">
        <v>95</v>
      </c>
      <c r="G205" s="50">
        <v>4</v>
      </c>
    </row>
    <row r="206" spans="1:7" ht="12.75">
      <c r="A206" s="43" t="s">
        <v>244</v>
      </c>
      <c r="B206" s="43" t="s">
        <v>71</v>
      </c>
      <c r="C206" s="43" t="s">
        <v>448</v>
      </c>
      <c r="D206" s="43" t="s">
        <v>675</v>
      </c>
      <c r="E206" s="43" t="s">
        <v>749</v>
      </c>
      <c r="F206" s="43" t="s">
        <v>95</v>
      </c>
      <c r="G206" s="51">
        <v>4</v>
      </c>
    </row>
    <row r="207" spans="1:7" ht="12.75">
      <c r="A207" s="42" t="s">
        <v>245</v>
      </c>
      <c r="B207" s="42" t="s">
        <v>71</v>
      </c>
      <c r="C207" s="42" t="s">
        <v>449</v>
      </c>
      <c r="D207" s="42" t="s">
        <v>676</v>
      </c>
      <c r="E207" s="42" t="s">
        <v>751</v>
      </c>
      <c r="F207" s="42" t="s">
        <v>948</v>
      </c>
      <c r="G207" s="50">
        <v>0.35</v>
      </c>
    </row>
    <row r="208" spans="1:7" ht="12.75">
      <c r="A208" s="42" t="s">
        <v>246</v>
      </c>
      <c r="B208" s="42" t="s">
        <v>71</v>
      </c>
      <c r="C208" s="42" t="s">
        <v>451</v>
      </c>
      <c r="D208" s="42" t="s">
        <v>678</v>
      </c>
      <c r="E208" s="42" t="s">
        <v>65</v>
      </c>
      <c r="F208" s="42" t="s">
        <v>949</v>
      </c>
      <c r="G208" s="50">
        <v>987.28</v>
      </c>
    </row>
    <row r="209" spans="1:7" ht="12.75">
      <c r="A209" s="42" t="s">
        <v>247</v>
      </c>
      <c r="B209" s="42" t="s">
        <v>71</v>
      </c>
      <c r="C209" s="42" t="s">
        <v>453</v>
      </c>
      <c r="D209" s="42" t="s">
        <v>680</v>
      </c>
      <c r="E209" s="42" t="s">
        <v>754</v>
      </c>
      <c r="F209" s="42" t="s">
        <v>92</v>
      </c>
      <c r="G209" s="50">
        <v>1</v>
      </c>
    </row>
    <row r="210" spans="1:7" ht="12.75">
      <c r="A210" s="42" t="s">
        <v>248</v>
      </c>
      <c r="B210" s="42" t="s">
        <v>72</v>
      </c>
      <c r="C210" s="42" t="s">
        <v>455</v>
      </c>
      <c r="D210" s="42" t="s">
        <v>682</v>
      </c>
      <c r="E210" s="42" t="s">
        <v>752</v>
      </c>
      <c r="F210" s="42" t="s">
        <v>950</v>
      </c>
      <c r="G210" s="50">
        <v>9</v>
      </c>
    </row>
    <row r="211" spans="1:7" ht="12.75">
      <c r="A211" s="42" t="s">
        <v>249</v>
      </c>
      <c r="B211" s="42" t="s">
        <v>72</v>
      </c>
      <c r="C211" s="42" t="s">
        <v>456</v>
      </c>
      <c r="D211" s="42" t="s">
        <v>683</v>
      </c>
      <c r="E211" s="42" t="s">
        <v>752</v>
      </c>
      <c r="F211" s="42" t="s">
        <v>122</v>
      </c>
      <c r="G211" s="50">
        <v>10</v>
      </c>
    </row>
    <row r="212" spans="1:7" ht="12.75">
      <c r="A212" s="42" t="s">
        <v>250</v>
      </c>
      <c r="B212" s="42" t="s">
        <v>72</v>
      </c>
      <c r="C212" s="42" t="s">
        <v>457</v>
      </c>
      <c r="D212" s="42" t="s">
        <v>684</v>
      </c>
      <c r="E212" s="42" t="s">
        <v>752</v>
      </c>
      <c r="F212" s="42" t="s">
        <v>93</v>
      </c>
      <c r="G212" s="50">
        <v>2</v>
      </c>
    </row>
    <row r="213" spans="1:7" ht="12.75">
      <c r="A213" s="42" t="s">
        <v>251</v>
      </c>
      <c r="B213" s="42" t="s">
        <v>72</v>
      </c>
      <c r="C213" s="42" t="s">
        <v>458</v>
      </c>
      <c r="D213" s="42" t="s">
        <v>685</v>
      </c>
      <c r="E213" s="42" t="s">
        <v>752</v>
      </c>
      <c r="F213" s="42" t="s">
        <v>95</v>
      </c>
      <c r="G213" s="50">
        <v>4</v>
      </c>
    </row>
    <row r="214" spans="1:7" ht="12.75">
      <c r="A214" s="42" t="s">
        <v>252</v>
      </c>
      <c r="B214" s="42" t="s">
        <v>72</v>
      </c>
      <c r="C214" s="42" t="s">
        <v>459</v>
      </c>
      <c r="D214" s="42" t="s">
        <v>686</v>
      </c>
      <c r="E214" s="42" t="s">
        <v>749</v>
      </c>
      <c r="F214" s="42" t="s">
        <v>103</v>
      </c>
      <c r="G214" s="50">
        <v>5</v>
      </c>
    </row>
    <row r="215" spans="1:7" ht="12.75">
      <c r="A215" s="42" t="s">
        <v>253</v>
      </c>
      <c r="B215" s="42" t="s">
        <v>72</v>
      </c>
      <c r="C215" s="42" t="s">
        <v>460</v>
      </c>
      <c r="D215" s="42" t="s">
        <v>687</v>
      </c>
      <c r="E215" s="42" t="s">
        <v>749</v>
      </c>
      <c r="F215" s="42" t="s">
        <v>93</v>
      </c>
      <c r="G215" s="50">
        <v>2</v>
      </c>
    </row>
    <row r="216" spans="1:7" ht="12.75">
      <c r="A216" s="42" t="s">
        <v>254</v>
      </c>
      <c r="B216" s="42" t="s">
        <v>72</v>
      </c>
      <c r="C216" s="42" t="s">
        <v>461</v>
      </c>
      <c r="D216" s="42" t="s">
        <v>688</v>
      </c>
      <c r="E216" s="42" t="s">
        <v>749</v>
      </c>
      <c r="F216" s="42" t="s">
        <v>95</v>
      </c>
      <c r="G216" s="50">
        <v>4</v>
      </c>
    </row>
    <row r="217" spans="1:7" ht="12.75">
      <c r="A217" s="42" t="s">
        <v>255</v>
      </c>
      <c r="B217" s="42" t="s">
        <v>72</v>
      </c>
      <c r="C217" s="42" t="s">
        <v>462</v>
      </c>
      <c r="D217" s="42" t="s">
        <v>689</v>
      </c>
      <c r="E217" s="42" t="s">
        <v>752</v>
      </c>
      <c r="F217" s="42" t="s">
        <v>951</v>
      </c>
      <c r="G217" s="50">
        <v>22</v>
      </c>
    </row>
    <row r="218" spans="1:7" ht="12.75">
      <c r="A218" s="42" t="s">
        <v>256</v>
      </c>
      <c r="B218" s="42" t="s">
        <v>72</v>
      </c>
      <c r="C218" s="42" t="s">
        <v>463</v>
      </c>
      <c r="D218" s="42" t="s">
        <v>690</v>
      </c>
      <c r="E218" s="42" t="s">
        <v>751</v>
      </c>
      <c r="F218" s="42" t="s">
        <v>942</v>
      </c>
      <c r="G218" s="50">
        <v>0.04</v>
      </c>
    </row>
    <row r="219" spans="1:7" ht="12.75">
      <c r="A219" s="42" t="s">
        <v>257</v>
      </c>
      <c r="B219" s="42" t="s">
        <v>72</v>
      </c>
      <c r="C219" s="42" t="s">
        <v>451</v>
      </c>
      <c r="D219" s="42" t="s">
        <v>678</v>
      </c>
      <c r="E219" s="42" t="s">
        <v>65</v>
      </c>
      <c r="F219" s="42" t="s">
        <v>952</v>
      </c>
      <c r="G219" s="50">
        <v>828.31</v>
      </c>
    </row>
    <row r="220" spans="1:7" ht="12.75">
      <c r="A220" s="42" t="s">
        <v>258</v>
      </c>
      <c r="B220" s="42" t="s">
        <v>72</v>
      </c>
      <c r="C220" s="42" t="s">
        <v>464</v>
      </c>
      <c r="D220" s="42" t="s">
        <v>691</v>
      </c>
      <c r="E220" s="42" t="s">
        <v>754</v>
      </c>
      <c r="F220" s="42" t="s">
        <v>92</v>
      </c>
      <c r="G220" s="50">
        <v>1</v>
      </c>
    </row>
    <row r="221" spans="1:7" ht="12.75">
      <c r="A221" s="43" t="s">
        <v>259</v>
      </c>
      <c r="B221" s="43" t="s">
        <v>72</v>
      </c>
      <c r="C221" s="43" t="s">
        <v>465</v>
      </c>
      <c r="D221" s="43" t="s">
        <v>692</v>
      </c>
      <c r="E221" s="43" t="s">
        <v>749</v>
      </c>
      <c r="F221" s="43" t="s">
        <v>123</v>
      </c>
      <c r="G221" s="51">
        <v>11</v>
      </c>
    </row>
    <row r="222" spans="1:7" ht="12.75">
      <c r="A222" s="43" t="s">
        <v>260</v>
      </c>
      <c r="B222" s="43" t="s">
        <v>72</v>
      </c>
      <c r="C222" s="43" t="s">
        <v>466</v>
      </c>
      <c r="D222" s="43" t="s">
        <v>693</v>
      </c>
      <c r="E222" s="43" t="s">
        <v>749</v>
      </c>
      <c r="F222" s="43" t="s">
        <v>95</v>
      </c>
      <c r="G222" s="51">
        <v>4</v>
      </c>
    </row>
    <row r="223" spans="1:7" ht="12.75">
      <c r="A223" s="43" t="s">
        <v>261</v>
      </c>
      <c r="B223" s="43" t="s">
        <v>72</v>
      </c>
      <c r="C223" s="43" t="s">
        <v>467</v>
      </c>
      <c r="D223" s="43" t="s">
        <v>694</v>
      </c>
      <c r="E223" s="43" t="s">
        <v>749</v>
      </c>
      <c r="F223" s="43" t="s">
        <v>123</v>
      </c>
      <c r="G223" s="51">
        <v>11</v>
      </c>
    </row>
    <row r="224" spans="1:7" ht="12.75">
      <c r="A224" s="43" t="s">
        <v>262</v>
      </c>
      <c r="B224" s="43" t="s">
        <v>72</v>
      </c>
      <c r="C224" s="43" t="s">
        <v>468</v>
      </c>
      <c r="D224" s="43" t="s">
        <v>695</v>
      </c>
      <c r="E224" s="43" t="s">
        <v>749</v>
      </c>
      <c r="F224" s="43" t="s">
        <v>123</v>
      </c>
      <c r="G224" s="51">
        <v>11</v>
      </c>
    </row>
    <row r="225" spans="1:7" ht="12.75">
      <c r="A225" s="43" t="s">
        <v>263</v>
      </c>
      <c r="B225" s="43" t="s">
        <v>72</v>
      </c>
      <c r="C225" s="43" t="s">
        <v>469</v>
      </c>
      <c r="D225" s="43" t="s">
        <v>696</v>
      </c>
      <c r="E225" s="43" t="s">
        <v>749</v>
      </c>
      <c r="F225" s="43" t="s">
        <v>103</v>
      </c>
      <c r="G225" s="51">
        <v>5</v>
      </c>
    </row>
    <row r="226" spans="1:7" ht="12.75">
      <c r="A226" s="43" t="s">
        <v>264</v>
      </c>
      <c r="B226" s="43" t="s">
        <v>72</v>
      </c>
      <c r="C226" s="43" t="s">
        <v>470</v>
      </c>
      <c r="D226" s="43" t="s">
        <v>697</v>
      </c>
      <c r="E226" s="43" t="s">
        <v>749</v>
      </c>
      <c r="F226" s="43" t="s">
        <v>96</v>
      </c>
      <c r="G226" s="51">
        <v>6</v>
      </c>
    </row>
    <row r="227" spans="1:7" ht="12.75">
      <c r="A227" s="43" t="s">
        <v>265</v>
      </c>
      <c r="B227" s="43" t="s">
        <v>72</v>
      </c>
      <c r="C227" s="43" t="s">
        <v>471</v>
      </c>
      <c r="D227" s="43" t="s">
        <v>698</v>
      </c>
      <c r="E227" s="43" t="s">
        <v>749</v>
      </c>
      <c r="F227" s="43" t="s">
        <v>96</v>
      </c>
      <c r="G227" s="51">
        <v>6</v>
      </c>
    </row>
    <row r="228" spans="1:7" ht="12.75">
      <c r="A228" s="43" t="s">
        <v>266</v>
      </c>
      <c r="B228" s="43" t="s">
        <v>72</v>
      </c>
      <c r="C228" s="43" t="s">
        <v>472</v>
      </c>
      <c r="D228" s="43" t="s">
        <v>699</v>
      </c>
      <c r="E228" s="43" t="s">
        <v>749</v>
      </c>
      <c r="F228" s="43" t="s">
        <v>96</v>
      </c>
      <c r="G228" s="51">
        <v>6</v>
      </c>
    </row>
    <row r="229" spans="1:7" ht="12.75">
      <c r="A229" s="43" t="s">
        <v>267</v>
      </c>
      <c r="B229" s="43" t="s">
        <v>72</v>
      </c>
      <c r="C229" s="43" t="s">
        <v>473</v>
      </c>
      <c r="D229" s="43" t="s">
        <v>700</v>
      </c>
      <c r="E229" s="43" t="s">
        <v>749</v>
      </c>
      <c r="F229" s="43" t="s">
        <v>103</v>
      </c>
      <c r="G229" s="51">
        <v>5</v>
      </c>
    </row>
    <row r="230" spans="1:7" ht="12.75">
      <c r="A230" s="42" t="s">
        <v>268</v>
      </c>
      <c r="B230" s="42" t="s">
        <v>73</v>
      </c>
      <c r="C230" s="42" t="s">
        <v>474</v>
      </c>
      <c r="D230" s="42" t="s">
        <v>701</v>
      </c>
      <c r="E230" s="42" t="s">
        <v>753</v>
      </c>
      <c r="F230" s="42" t="s">
        <v>95</v>
      </c>
      <c r="G230" s="50">
        <v>4</v>
      </c>
    </row>
    <row r="231" spans="1:7" ht="12.75">
      <c r="A231" s="42" t="s">
        <v>269</v>
      </c>
      <c r="B231" s="42" t="s">
        <v>73</v>
      </c>
      <c r="C231" s="42" t="s">
        <v>475</v>
      </c>
      <c r="D231" s="42" t="s">
        <v>702</v>
      </c>
      <c r="E231" s="42" t="s">
        <v>65</v>
      </c>
      <c r="F231" s="42" t="s">
        <v>953</v>
      </c>
      <c r="G231" s="50">
        <v>2469.5</v>
      </c>
    </row>
    <row r="232" spans="1:7" ht="12.75">
      <c r="A232" s="42" t="s">
        <v>270</v>
      </c>
      <c r="B232" s="42" t="s">
        <v>73</v>
      </c>
      <c r="C232" s="42" t="s">
        <v>451</v>
      </c>
      <c r="D232" s="42" t="s">
        <v>703</v>
      </c>
      <c r="E232" s="42" t="s">
        <v>65</v>
      </c>
      <c r="F232" s="42" t="s">
        <v>954</v>
      </c>
      <c r="G232" s="50">
        <v>1509.2</v>
      </c>
    </row>
    <row r="233" spans="1:7" ht="12.75">
      <c r="A233" s="42" t="s">
        <v>271</v>
      </c>
      <c r="B233" s="42" t="s">
        <v>73</v>
      </c>
      <c r="C233" s="42" t="s">
        <v>476</v>
      </c>
      <c r="D233" s="42" t="s">
        <v>704</v>
      </c>
      <c r="E233" s="42" t="s">
        <v>65</v>
      </c>
      <c r="F233" s="42" t="s">
        <v>953</v>
      </c>
      <c r="G233" s="50">
        <v>2469.5</v>
      </c>
    </row>
    <row r="234" spans="1:7" ht="12.75">
      <c r="A234" s="42" t="s">
        <v>272</v>
      </c>
      <c r="B234" s="42" t="s">
        <v>73</v>
      </c>
      <c r="C234" s="42" t="s">
        <v>478</v>
      </c>
      <c r="D234" s="42" t="s">
        <v>705</v>
      </c>
      <c r="E234" s="42" t="s">
        <v>752</v>
      </c>
      <c r="F234" s="42" t="s">
        <v>162</v>
      </c>
      <c r="G234" s="50">
        <v>50</v>
      </c>
    </row>
    <row r="235" spans="1:7" ht="12.75">
      <c r="A235" s="42" t="s">
        <v>273</v>
      </c>
      <c r="B235" s="42" t="s">
        <v>73</v>
      </c>
      <c r="C235" s="42" t="s">
        <v>479</v>
      </c>
      <c r="D235" s="42" t="s">
        <v>706</v>
      </c>
      <c r="E235" s="42" t="s">
        <v>752</v>
      </c>
      <c r="F235" s="42" t="s">
        <v>162</v>
      </c>
      <c r="G235" s="50">
        <v>50</v>
      </c>
    </row>
    <row r="236" spans="1:7" ht="12.75">
      <c r="A236" s="42" t="s">
        <v>274</v>
      </c>
      <c r="B236" s="42" t="s">
        <v>73</v>
      </c>
      <c r="C236" s="42" t="s">
        <v>480</v>
      </c>
      <c r="D236" s="42" t="s">
        <v>707</v>
      </c>
      <c r="E236" s="42" t="s">
        <v>752</v>
      </c>
      <c r="F236" s="42" t="s">
        <v>142</v>
      </c>
      <c r="G236" s="50">
        <v>30</v>
      </c>
    </row>
    <row r="237" spans="1:7" ht="12.75">
      <c r="A237" s="42" t="s">
        <v>275</v>
      </c>
      <c r="B237" s="42" t="s">
        <v>73</v>
      </c>
      <c r="C237" s="42" t="s">
        <v>482</v>
      </c>
      <c r="D237" s="42" t="s">
        <v>708</v>
      </c>
      <c r="E237" s="42" t="s">
        <v>753</v>
      </c>
      <c r="G237" s="50">
        <v>0</v>
      </c>
    </row>
    <row r="238" spans="1:7" ht="12.75">
      <c r="A238" s="42" t="s">
        <v>276</v>
      </c>
      <c r="B238" s="42" t="s">
        <v>73</v>
      </c>
      <c r="C238" s="42" t="s">
        <v>483</v>
      </c>
      <c r="D238" s="42" t="s">
        <v>709</v>
      </c>
      <c r="E238" s="42" t="s">
        <v>749</v>
      </c>
      <c r="F238" s="42" t="s">
        <v>122</v>
      </c>
      <c r="G238" s="50">
        <v>10</v>
      </c>
    </row>
    <row r="239" spans="1:7" ht="12.75">
      <c r="A239" s="42" t="s">
        <v>277</v>
      </c>
      <c r="B239" s="42" t="s">
        <v>73</v>
      </c>
      <c r="C239" s="42" t="s">
        <v>484</v>
      </c>
      <c r="D239" s="42" t="s">
        <v>710</v>
      </c>
      <c r="E239" s="42" t="s">
        <v>753</v>
      </c>
      <c r="F239" s="42" t="s">
        <v>92</v>
      </c>
      <c r="G239" s="50">
        <v>1</v>
      </c>
    </row>
    <row r="240" spans="1:7" ht="12.75">
      <c r="A240" s="42" t="s">
        <v>278</v>
      </c>
      <c r="B240" s="42" t="s">
        <v>73</v>
      </c>
      <c r="C240" s="42" t="s">
        <v>485</v>
      </c>
      <c r="D240" s="42" t="s">
        <v>711</v>
      </c>
      <c r="E240" s="42" t="s">
        <v>749</v>
      </c>
      <c r="F240" s="42" t="s">
        <v>93</v>
      </c>
      <c r="G240" s="50">
        <v>2</v>
      </c>
    </row>
    <row r="241" spans="1:7" ht="12.75">
      <c r="A241" s="42" t="s">
        <v>279</v>
      </c>
      <c r="B241" s="42" t="s">
        <v>73</v>
      </c>
      <c r="C241" s="42" t="s">
        <v>486</v>
      </c>
      <c r="D241" s="42" t="s">
        <v>712</v>
      </c>
      <c r="E241" s="42" t="s">
        <v>749</v>
      </c>
      <c r="F241" s="42" t="s">
        <v>122</v>
      </c>
      <c r="G241" s="50">
        <v>10</v>
      </c>
    </row>
    <row r="242" spans="1:7" ht="12.75">
      <c r="A242" s="42" t="s">
        <v>280</v>
      </c>
      <c r="B242" s="42" t="s">
        <v>73</v>
      </c>
      <c r="C242" s="42" t="s">
        <v>487</v>
      </c>
      <c r="D242" s="42" t="s">
        <v>713</v>
      </c>
      <c r="E242" s="42" t="s">
        <v>753</v>
      </c>
      <c r="F242" s="42" t="s">
        <v>92</v>
      </c>
      <c r="G242" s="50">
        <v>1</v>
      </c>
    </row>
    <row r="243" spans="1:7" ht="12.75">
      <c r="A243" s="42" t="s">
        <v>281</v>
      </c>
      <c r="B243" s="42" t="s">
        <v>74</v>
      </c>
      <c r="C243" s="42" t="s">
        <v>488</v>
      </c>
      <c r="D243" s="42" t="s">
        <v>714</v>
      </c>
      <c r="E243" s="42" t="s">
        <v>747</v>
      </c>
      <c r="F243" s="42" t="s">
        <v>844</v>
      </c>
      <c r="G243" s="50">
        <v>200</v>
      </c>
    </row>
    <row r="244" spans="1:7" ht="12.75">
      <c r="A244" s="42" t="s">
        <v>282</v>
      </c>
      <c r="B244" s="42" t="s">
        <v>74</v>
      </c>
      <c r="C244" s="42" t="s">
        <v>306</v>
      </c>
      <c r="D244" s="42" t="s">
        <v>520</v>
      </c>
      <c r="E244" s="42" t="s">
        <v>748</v>
      </c>
      <c r="G244" s="50">
        <v>19.98</v>
      </c>
    </row>
    <row r="245" spans="6:7" ht="12.75">
      <c r="F245" s="42" t="s">
        <v>955</v>
      </c>
      <c r="G245" s="50">
        <v>1.98</v>
      </c>
    </row>
    <row r="246" spans="1:7" ht="12.75">
      <c r="A246" s="42"/>
      <c r="B246" s="42"/>
      <c r="C246" s="42"/>
      <c r="D246" s="42"/>
      <c r="E246" s="42"/>
      <c r="F246" s="42" t="s">
        <v>956</v>
      </c>
      <c r="G246" s="50">
        <v>18</v>
      </c>
    </row>
    <row r="247" spans="1:7" ht="12.75">
      <c r="A247" s="42" t="s">
        <v>283</v>
      </c>
      <c r="B247" s="42" t="s">
        <v>74</v>
      </c>
      <c r="C247" s="42" t="s">
        <v>489</v>
      </c>
      <c r="D247" s="42" t="s">
        <v>715</v>
      </c>
      <c r="E247" s="42" t="s">
        <v>748</v>
      </c>
      <c r="F247" s="42" t="s">
        <v>957</v>
      </c>
      <c r="G247" s="50">
        <v>19.98</v>
      </c>
    </row>
    <row r="248" spans="1:7" ht="12.75">
      <c r="A248" s="42" t="s">
        <v>284</v>
      </c>
      <c r="B248" s="42" t="s">
        <v>74</v>
      </c>
      <c r="C248" s="42" t="s">
        <v>490</v>
      </c>
      <c r="D248" s="42" t="s">
        <v>716</v>
      </c>
      <c r="E248" s="42" t="s">
        <v>748</v>
      </c>
      <c r="F248" s="42" t="s">
        <v>958</v>
      </c>
      <c r="G248" s="50">
        <v>10</v>
      </c>
    </row>
    <row r="249" spans="1:7" ht="12.75">
      <c r="A249" s="42" t="s">
        <v>285</v>
      </c>
      <c r="B249" s="42" t="s">
        <v>74</v>
      </c>
      <c r="C249" s="42" t="s">
        <v>491</v>
      </c>
      <c r="D249" s="42" t="s">
        <v>717</v>
      </c>
      <c r="E249" s="42" t="s">
        <v>748</v>
      </c>
      <c r="F249" s="42" t="s">
        <v>959</v>
      </c>
      <c r="G249" s="50">
        <v>9.8</v>
      </c>
    </row>
    <row r="250" spans="1:7" ht="12.75">
      <c r="A250" s="42" t="s">
        <v>286</v>
      </c>
      <c r="B250" s="42" t="s">
        <v>74</v>
      </c>
      <c r="C250" s="42" t="s">
        <v>492</v>
      </c>
      <c r="D250" s="42" t="s">
        <v>719</v>
      </c>
      <c r="E250" s="42" t="s">
        <v>750</v>
      </c>
      <c r="G250" s="50">
        <v>32.9</v>
      </c>
    </row>
    <row r="251" spans="6:7" ht="12.75">
      <c r="F251" s="42" t="s">
        <v>960</v>
      </c>
      <c r="G251" s="50">
        <v>22</v>
      </c>
    </row>
    <row r="252" spans="1:7" ht="12.75">
      <c r="A252" s="42"/>
      <c r="B252" s="42"/>
      <c r="C252" s="42"/>
      <c r="D252" s="42"/>
      <c r="E252" s="42"/>
      <c r="F252" s="42" t="s">
        <v>961</v>
      </c>
      <c r="G252" s="50">
        <v>10.9</v>
      </c>
    </row>
    <row r="253" spans="1:7" ht="12.75">
      <c r="A253" s="42" t="s">
        <v>287</v>
      </c>
      <c r="B253" s="42" t="s">
        <v>74</v>
      </c>
      <c r="C253" s="42" t="s">
        <v>493</v>
      </c>
      <c r="D253" s="42" t="s">
        <v>720</v>
      </c>
      <c r="E253" s="42" t="s">
        <v>750</v>
      </c>
      <c r="F253" s="42" t="s">
        <v>145</v>
      </c>
      <c r="G253" s="50">
        <v>33</v>
      </c>
    </row>
    <row r="254" spans="1:7" ht="12.75">
      <c r="A254" s="42" t="s">
        <v>288</v>
      </c>
      <c r="B254" s="42" t="s">
        <v>74</v>
      </c>
      <c r="C254" s="42" t="s">
        <v>494</v>
      </c>
      <c r="D254" s="42" t="s">
        <v>722</v>
      </c>
      <c r="E254" s="42" t="s">
        <v>750</v>
      </c>
      <c r="F254" s="42" t="s">
        <v>225</v>
      </c>
      <c r="G254" s="50">
        <v>118</v>
      </c>
    </row>
    <row r="255" spans="1:7" ht="12.75">
      <c r="A255" s="42" t="s">
        <v>289</v>
      </c>
      <c r="B255" s="42" t="s">
        <v>74</v>
      </c>
      <c r="C255" s="42" t="s">
        <v>495</v>
      </c>
      <c r="D255" s="42" t="s">
        <v>723</v>
      </c>
      <c r="E255" s="42" t="s">
        <v>751</v>
      </c>
      <c r="F255" s="42" t="s">
        <v>962</v>
      </c>
      <c r="G255" s="50">
        <v>44.6</v>
      </c>
    </row>
    <row r="256" spans="1:7" ht="12.75">
      <c r="A256" s="42" t="s">
        <v>290</v>
      </c>
      <c r="B256" s="42" t="s">
        <v>74</v>
      </c>
      <c r="C256" s="42" t="s">
        <v>496</v>
      </c>
      <c r="D256" s="42" t="s">
        <v>725</v>
      </c>
      <c r="E256" s="42" t="s">
        <v>750</v>
      </c>
      <c r="G256" s="50">
        <v>10.2</v>
      </c>
    </row>
    <row r="257" spans="6:7" ht="12.75">
      <c r="F257" s="42" t="s">
        <v>963</v>
      </c>
      <c r="G257" s="50">
        <v>10.2</v>
      </c>
    </row>
    <row r="258" spans="1:7" ht="12.75">
      <c r="A258" s="42"/>
      <c r="B258" s="42"/>
      <c r="C258" s="42"/>
      <c r="D258" s="42"/>
      <c r="E258" s="42"/>
      <c r="F258" s="42" t="s">
        <v>964</v>
      </c>
      <c r="G258" s="50">
        <v>0</v>
      </c>
    </row>
    <row r="259" spans="1:7" ht="12.75">
      <c r="A259" s="42" t="s">
        <v>291</v>
      </c>
      <c r="B259" s="42" t="s">
        <v>74</v>
      </c>
      <c r="C259" s="42" t="s">
        <v>497</v>
      </c>
      <c r="D259" s="42" t="s">
        <v>726</v>
      </c>
      <c r="E259" s="42" t="s">
        <v>752</v>
      </c>
      <c r="F259" s="42" t="s">
        <v>965</v>
      </c>
      <c r="G259" s="50">
        <v>1.2</v>
      </c>
    </row>
    <row r="260" spans="1:7" ht="12.75">
      <c r="A260" s="42" t="s">
        <v>292</v>
      </c>
      <c r="B260" s="42" t="s">
        <v>74</v>
      </c>
      <c r="C260" s="42" t="s">
        <v>498</v>
      </c>
      <c r="D260" s="42" t="s">
        <v>727</v>
      </c>
      <c r="E260" s="42" t="s">
        <v>751</v>
      </c>
      <c r="F260" s="42" t="s">
        <v>966</v>
      </c>
      <c r="G260" s="50">
        <v>5.64</v>
      </c>
    </row>
    <row r="261" spans="1:7" ht="12.75">
      <c r="A261" s="42" t="s">
        <v>293</v>
      </c>
      <c r="B261" s="42" t="s">
        <v>74</v>
      </c>
      <c r="C261" s="42" t="s">
        <v>499</v>
      </c>
      <c r="D261" s="42" t="s">
        <v>729</v>
      </c>
      <c r="E261" s="42" t="s">
        <v>752</v>
      </c>
      <c r="G261" s="50">
        <v>55.1</v>
      </c>
    </row>
    <row r="262" spans="6:7" ht="12.75">
      <c r="F262" s="42" t="s">
        <v>967</v>
      </c>
      <c r="G262" s="50">
        <v>44.2</v>
      </c>
    </row>
    <row r="263" spans="1:7" ht="12.75">
      <c r="A263" s="42"/>
      <c r="B263" s="42"/>
      <c r="C263" s="42"/>
      <c r="D263" s="42"/>
      <c r="E263" s="42"/>
      <c r="F263" s="42" t="s">
        <v>968</v>
      </c>
      <c r="G263" s="50">
        <v>10.9</v>
      </c>
    </row>
    <row r="264" spans="1:7" ht="12.75">
      <c r="A264" s="43" t="s">
        <v>294</v>
      </c>
      <c r="B264" s="43" t="s">
        <v>74</v>
      </c>
      <c r="C264" s="43" t="s">
        <v>500</v>
      </c>
      <c r="D264" s="43" t="s">
        <v>730</v>
      </c>
      <c r="E264" s="43" t="s">
        <v>749</v>
      </c>
      <c r="G264" s="51">
        <v>56.2</v>
      </c>
    </row>
    <row r="265" spans="6:7" ht="12.75">
      <c r="F265" s="43" t="s">
        <v>967</v>
      </c>
      <c r="G265" s="51">
        <v>44.2</v>
      </c>
    </row>
    <row r="266" spans="1:7" ht="12.75">
      <c r="A266" s="43"/>
      <c r="B266" s="43"/>
      <c r="C266" s="43"/>
      <c r="D266" s="43"/>
      <c r="E266" s="43"/>
      <c r="F266" s="43" t="s">
        <v>968</v>
      </c>
      <c r="G266" s="51">
        <v>10.9</v>
      </c>
    </row>
    <row r="267" spans="1:7" ht="12.75">
      <c r="A267" s="43"/>
      <c r="B267" s="43"/>
      <c r="C267" s="43"/>
      <c r="D267" s="43"/>
      <c r="E267" s="43"/>
      <c r="F267" s="43" t="s">
        <v>969</v>
      </c>
      <c r="G267" s="51">
        <v>1.1</v>
      </c>
    </row>
    <row r="268" spans="1:7" ht="12.75">
      <c r="A268" s="42" t="s">
        <v>295</v>
      </c>
      <c r="B268" s="42" t="s">
        <v>74</v>
      </c>
      <c r="C268" s="42" t="s">
        <v>501</v>
      </c>
      <c r="D268" s="42" t="s">
        <v>731</v>
      </c>
      <c r="E268" s="42" t="s">
        <v>751</v>
      </c>
      <c r="F268" s="42" t="s">
        <v>970</v>
      </c>
      <c r="G268" s="50">
        <v>6.88</v>
      </c>
    </row>
    <row r="269" spans="1:7" ht="12.75">
      <c r="A269" s="42" t="s">
        <v>296</v>
      </c>
      <c r="B269" s="42" t="s">
        <v>75</v>
      </c>
      <c r="C269" s="42" t="s">
        <v>502</v>
      </c>
      <c r="D269" s="42" t="s">
        <v>732</v>
      </c>
      <c r="E269" s="42" t="s">
        <v>748</v>
      </c>
      <c r="F269" s="42" t="s">
        <v>971</v>
      </c>
      <c r="G269" s="50">
        <v>15.63</v>
      </c>
    </row>
    <row r="270" spans="1:7" ht="12.75">
      <c r="A270" s="42" t="s">
        <v>297</v>
      </c>
      <c r="B270" s="42" t="s">
        <v>75</v>
      </c>
      <c r="C270" s="42" t="s">
        <v>503</v>
      </c>
      <c r="D270" s="42" t="s">
        <v>733</v>
      </c>
      <c r="E270" s="42" t="s">
        <v>748</v>
      </c>
      <c r="F270" s="42" t="s">
        <v>972</v>
      </c>
      <c r="G270" s="50">
        <v>5.21</v>
      </c>
    </row>
    <row r="271" spans="1:7" ht="12.75">
      <c r="A271" s="42" t="s">
        <v>298</v>
      </c>
      <c r="B271" s="42" t="s">
        <v>75</v>
      </c>
      <c r="C271" s="42" t="s">
        <v>504</v>
      </c>
      <c r="D271" s="42" t="s">
        <v>734</v>
      </c>
      <c r="E271" s="42" t="s">
        <v>748</v>
      </c>
      <c r="F271" s="42" t="s">
        <v>971</v>
      </c>
      <c r="G271" s="50">
        <v>15.63</v>
      </c>
    </row>
    <row r="272" spans="1:7" ht="12.75">
      <c r="A272" s="42" t="s">
        <v>299</v>
      </c>
      <c r="B272" s="42" t="s">
        <v>75</v>
      </c>
      <c r="C272" s="42" t="s">
        <v>505</v>
      </c>
      <c r="D272" s="42" t="s">
        <v>735</v>
      </c>
      <c r="E272" s="42" t="s">
        <v>748</v>
      </c>
      <c r="F272" s="42" t="s">
        <v>971</v>
      </c>
      <c r="G272" s="50">
        <v>15.63</v>
      </c>
    </row>
    <row r="273" spans="1:7" ht="12.75">
      <c r="A273" s="42" t="s">
        <v>300</v>
      </c>
      <c r="B273" s="42" t="s">
        <v>75</v>
      </c>
      <c r="C273" s="42" t="s">
        <v>506</v>
      </c>
      <c r="D273" s="42" t="s">
        <v>736</v>
      </c>
      <c r="E273" s="42" t="s">
        <v>748</v>
      </c>
      <c r="F273" s="42" t="s">
        <v>973</v>
      </c>
      <c r="G273" s="50">
        <v>8</v>
      </c>
    </row>
    <row r="274" spans="1:7" ht="12.75">
      <c r="A274" s="42" t="s">
        <v>301</v>
      </c>
      <c r="B274" s="42" t="s">
        <v>75</v>
      </c>
      <c r="C274" s="42" t="s">
        <v>507</v>
      </c>
      <c r="D274" s="42" t="s">
        <v>737</v>
      </c>
      <c r="E274" s="42" t="s">
        <v>748</v>
      </c>
      <c r="F274" s="42" t="s">
        <v>974</v>
      </c>
      <c r="G274" s="50">
        <v>0.13</v>
      </c>
    </row>
    <row r="275" spans="1:7" ht="12.75">
      <c r="A275" s="42" t="s">
        <v>302</v>
      </c>
      <c r="B275" s="42" t="s">
        <v>75</v>
      </c>
      <c r="C275" s="42" t="s">
        <v>508</v>
      </c>
      <c r="D275" s="42" t="s">
        <v>739</v>
      </c>
      <c r="E275" s="42" t="s">
        <v>752</v>
      </c>
      <c r="G275" s="50">
        <v>20.5</v>
      </c>
    </row>
    <row r="276" spans="6:7" ht="12.75">
      <c r="F276" s="42" t="s">
        <v>975</v>
      </c>
      <c r="G276" s="50">
        <v>20.5</v>
      </c>
    </row>
    <row r="277" spans="1:7" ht="12.75">
      <c r="A277" s="42"/>
      <c r="B277" s="42"/>
      <c r="C277" s="42"/>
      <c r="D277" s="42"/>
      <c r="E277" s="42"/>
      <c r="F277" s="42" t="s">
        <v>976</v>
      </c>
      <c r="G277" s="50">
        <v>0</v>
      </c>
    </row>
    <row r="278" spans="1:7" ht="12.75">
      <c r="A278" s="42"/>
      <c r="B278" s="42"/>
      <c r="C278" s="42"/>
      <c r="D278" s="42"/>
      <c r="E278" s="42"/>
      <c r="F278" s="42" t="s">
        <v>977</v>
      </c>
      <c r="G278" s="50">
        <v>0</v>
      </c>
    </row>
    <row r="279" spans="1:7" ht="12.75">
      <c r="A279" s="42"/>
      <c r="B279" s="42"/>
      <c r="C279" s="42"/>
      <c r="D279" s="42"/>
      <c r="E279" s="42"/>
      <c r="F279" s="42" t="s">
        <v>978</v>
      </c>
      <c r="G279" s="50">
        <v>0</v>
      </c>
    </row>
    <row r="280" spans="1:7" ht="12.75">
      <c r="A280" s="42"/>
      <c r="B280" s="42"/>
      <c r="C280" s="42"/>
      <c r="D280" s="42"/>
      <c r="E280" s="42"/>
      <c r="F280" s="42" t="s">
        <v>979</v>
      </c>
      <c r="G280" s="50">
        <v>0</v>
      </c>
    </row>
    <row r="281" spans="1:7" ht="12.75">
      <c r="A281" s="42"/>
      <c r="B281" s="42"/>
      <c r="C281" s="42"/>
      <c r="D281" s="42"/>
      <c r="E281" s="42"/>
      <c r="F281" s="42" t="s">
        <v>980</v>
      </c>
      <c r="G281" s="50">
        <v>0</v>
      </c>
    </row>
    <row r="282" spans="1:7" ht="12.75">
      <c r="A282" s="42" t="s">
        <v>303</v>
      </c>
      <c r="B282" s="42" t="s">
        <v>75</v>
      </c>
      <c r="C282" s="42" t="s">
        <v>509</v>
      </c>
      <c r="D282" s="42" t="s">
        <v>740</v>
      </c>
      <c r="E282" s="42" t="s">
        <v>751</v>
      </c>
      <c r="F282" s="42" t="s">
        <v>981</v>
      </c>
      <c r="G282" s="50">
        <v>11.1</v>
      </c>
    </row>
    <row r="283" spans="1:7" ht="12.75">
      <c r="A283" s="42" t="s">
        <v>304</v>
      </c>
      <c r="B283" s="42" t="s">
        <v>75</v>
      </c>
      <c r="C283" s="42" t="s">
        <v>510</v>
      </c>
      <c r="D283" s="42" t="s">
        <v>742</v>
      </c>
      <c r="E283" s="42" t="s">
        <v>749</v>
      </c>
      <c r="F283" s="42" t="s">
        <v>982</v>
      </c>
      <c r="G283" s="50">
        <v>1</v>
      </c>
    </row>
    <row r="284" spans="1:7" ht="12.75">
      <c r="A284" s="43" t="s">
        <v>54</v>
      </c>
      <c r="B284" s="43" t="s">
        <v>75</v>
      </c>
      <c r="C284" s="43" t="s">
        <v>511</v>
      </c>
      <c r="D284" s="43" t="s">
        <v>743</v>
      </c>
      <c r="E284" s="43" t="s">
        <v>749</v>
      </c>
      <c r="F284" s="43" t="s">
        <v>983</v>
      </c>
      <c r="G284" s="51">
        <v>1</v>
      </c>
    </row>
    <row r="286" ht="11.25" customHeight="1">
      <c r="A286" s="32" t="s">
        <v>18</v>
      </c>
    </row>
    <row r="287" spans="1:7" ht="12.75">
      <c r="A287" s="103"/>
      <c r="B287" s="95"/>
      <c r="C287" s="95"/>
      <c r="D287" s="95"/>
      <c r="E287" s="95"/>
      <c r="F287" s="95"/>
      <c r="G287" s="95"/>
    </row>
  </sheetData>
  <sheetProtection/>
  <mergeCells count="18">
    <mergeCell ref="A287:G287"/>
    <mergeCell ref="A6:B7"/>
    <mergeCell ref="C6:D7"/>
    <mergeCell ref="E6:E7"/>
    <mergeCell ref="F6:G7"/>
    <mergeCell ref="A8:B9"/>
    <mergeCell ref="C8:D9"/>
    <mergeCell ref="E8:E9"/>
    <mergeCell ref="F8:G9"/>
    <mergeCell ref="A1:G1"/>
    <mergeCell ref="A2:B3"/>
    <mergeCell ref="C2:D3"/>
    <mergeCell ref="E2:E3"/>
    <mergeCell ref="F2:G3"/>
    <mergeCell ref="A4:B5"/>
    <mergeCell ref="C4:D5"/>
    <mergeCell ref="E4:E5"/>
    <mergeCell ref="F4:G5"/>
  </mergeCells>
  <printOptions horizontalCentered="1"/>
  <pageMargins left="1.1811023622047245" right="0.3937007874015748" top="0.5905511811023623" bottom="0.5905511811023623" header="0.5118110236220472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Starosta</cp:lastModifiedBy>
  <cp:lastPrinted>2020-03-24T09:19:20Z</cp:lastPrinted>
  <dcterms:modified xsi:type="dcterms:W3CDTF">2020-03-24T09:44:12Z</dcterms:modified>
  <cp:category/>
  <cp:version/>
  <cp:contentType/>
  <cp:contentStatus/>
</cp:coreProperties>
</file>