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Výměry" sheetId="2" r:id="rId2"/>
    <sheet name="Výkaz kubatur" sheetId="3" r:id="rId3"/>
    <sheet name="Stavební rozpočet - součet" sheetId="4" r:id="rId4"/>
    <sheet name="Krycí list rozpočtu" sheetId="5" r:id="rId5"/>
    <sheet name="VORN" sheetId="6" r:id="rId6"/>
  </sheets>
  <externalReferences>
    <externalReference r:id="rId9"/>
  </externalReferences>
  <definedNames>
    <definedName name="vorn_sum">#REF!</definedName>
  </definedNames>
  <calcPr fullCalcOnLoad="1"/>
</workbook>
</file>

<file path=xl/sharedStrings.xml><?xml version="1.0" encoding="utf-8"?>
<sst xmlns="http://schemas.openxmlformats.org/spreadsheetml/2006/main" count="4871" uniqueCount="1925">
  <si>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</si>
  <si>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</si>
  <si>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</si>
  <si>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</si>
  <si>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</si>
  <si>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</si>
  <si>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</si>
  <si>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</si>
  <si>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</si>
  <si>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</si>
  <si>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</si>
  <si>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</si>
  <si>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</si>
  <si>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</si>
  <si>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</si>
  <si>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</si>
  <si>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</si>
  <si>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</si>
  <si>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</si>
  <si>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</si>
  <si>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</si>
  <si>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</si>
  <si>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</si>
  <si>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</si>
  <si>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</si>
  <si>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</si>
  <si>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</si>
  <si>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</si>
  <si>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</si>
  <si>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</si>
  <si>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</si>
  <si>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</si>
  <si>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</si>
  <si>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</si>
  <si>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</si>
  <si>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</si>
  <si>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</si>
  <si>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</si>
  <si>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</si>
  <si>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</si>
  <si>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</si>
  <si>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</si>
  <si>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</si>
  <si>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</si>
  <si>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</si>
  <si>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</si>
  <si>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</si>
  <si>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</si>
  <si>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</si>
  <si>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</si>
  <si>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</si>
  <si>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</si>
  <si>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</si>
  <si>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</si>
  <si>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</si>
  <si>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</si>
  <si>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</si>
  <si>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</si>
  <si>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</si>
  <si>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</si>
  <si>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</si>
  <si>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</si>
  <si>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</si>
  <si>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</si>
  <si>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</si>
  <si>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</si>
  <si>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</si>
  <si>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</si>
  <si>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</si>
  <si>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</si>
  <si>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</si>
  <si>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</si>
  <si>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</si>
  <si>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</si>
  <si>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</si>
  <si>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</si>
  <si>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</si>
  <si>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</si>
  <si>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</si>
  <si>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</si>
  <si>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</si>
  <si>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</si>
  <si>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</si>
  <si>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</si>
  <si>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</si>
  <si>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</si>
  <si>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</si>
  <si>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</si>
  <si>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</si>
  <si>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</si>
  <si>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</si>
  <si>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</si>
  <si>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</si>
  <si>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</si>
  <si>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</si>
  <si>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</si>
  <si>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</si>
  <si>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</si>
  <si>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</si>
  <si>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</si>
  <si>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</si>
  <si>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</si>
  <si>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</si>
  <si>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</si>
  <si>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</si>
  <si>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</si>
  <si>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</si>
  <si>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</si>
  <si>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</si>
  <si>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</si>
  <si>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</si>
  <si>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</si>
  <si>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</si>
  <si>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</si>
  <si>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</si>
  <si>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</si>
  <si>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</si>
  <si>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</si>
  <si>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</si>
  <si>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</si>
  <si>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</si>
  <si>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</si>
  <si>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</si>
  <si>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</si>
  <si>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</si>
  <si>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</si>
  <si>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</si>
  <si>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</si>
  <si>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</si>
  <si>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</si>
  <si>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</si>
  <si>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</si>
  <si>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</si>
  <si>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</si>
  <si>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</si>
  <si>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</si>
  <si>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</si>
  <si>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</si>
  <si>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</si>
  <si>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</si>
  <si>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</si>
  <si>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</si>
  <si>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</si>
  <si>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</si>
  <si>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</si>
  <si>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</si>
  <si>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</si>
  <si>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</si>
  <si>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</si>
  <si>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</si>
  <si>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</si>
  <si>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</si>
  <si>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</si>
  <si>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</si>
  <si>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</si>
  <si>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</si>
  <si>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</si>
  <si>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</si>
  <si>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</si>
  <si>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</si>
  <si>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</si>
  <si>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</si>
  <si>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</si>
  <si>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</si>
  <si>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</si>
  <si>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</si>
  <si>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</si>
  <si>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</si>
  <si>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</si>
  <si>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</si>
  <si>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</si>
  <si>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</si>
  <si>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</si>
  <si>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</si>
  <si>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</si>
  <si>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</si>
  <si>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</si>
  <si>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</si>
  <si>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</si>
  <si>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</si>
  <si>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</si>
  <si>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</si>
  <si>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</si>
  <si>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</si>
  <si>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</si>
  <si>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</si>
  <si>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</si>
  <si>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</si>
  <si>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</si>
  <si>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</si>
  <si>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</si>
  <si>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</si>
  <si>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</si>
  <si>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</si>
  <si>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</si>
  <si>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</si>
  <si>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</si>
  <si>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</si>
  <si>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</si>
  <si>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</si>
  <si>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</si>
  <si>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</si>
  <si>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</si>
  <si>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</si>
  <si>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</si>
  <si>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</si>
  <si>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</si>
  <si>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</si>
  <si>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</si>
  <si>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</si>
  <si>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</si>
  <si>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</si>
  <si>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</si>
  <si>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</si>
  <si>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</si>
  <si>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</si>
  <si>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</si>
  <si>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</si>
  <si>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</si>
  <si>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</si>
  <si>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</si>
  <si>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</si>
  <si>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</si>
  <si>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</si>
  <si>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</si>
  <si>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</si>
  <si>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</si>
  <si>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</si>
  <si>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</si>
  <si>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</si>
  <si>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</si>
  <si>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</si>
  <si>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</si>
  <si>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</si>
  <si>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</si>
  <si>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</si>
  <si>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</si>
  <si>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</si>
  <si>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</si>
  <si>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</si>
  <si>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</si>
  <si>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</si>
  <si>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</si>
  <si>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</si>
  <si>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</si>
  <si>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</si>
  <si>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</si>
  <si>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</si>
  <si>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</si>
  <si>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</si>
  <si>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</si>
  <si>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</si>
  <si>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</si>
  <si>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</si>
  <si>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</si>
  <si>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</si>
  <si>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</si>
  <si>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</si>
  <si>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</si>
  <si>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</si>
  <si>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</si>
  <si>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</si>
  <si>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</si>
  <si>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</si>
  <si>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</si>
  <si>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</si>
  <si>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</si>
  <si>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</si>
  <si>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</si>
  <si>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</si>
  <si>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</si>
  <si>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</si>
  <si>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</si>
  <si>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</si>
  <si>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</si>
  <si>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</si>
  <si>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</si>
  <si>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</si>
  <si>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</si>
  <si>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</si>
  <si>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</si>
  <si>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</si>
  <si>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</si>
  <si>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</si>
  <si>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</si>
  <si>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</si>
  <si>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</si>
  <si>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</si>
  <si>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</si>
  <si>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</si>
  <si>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</si>
  <si>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</si>
  <si>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</si>
  <si>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</si>
  <si>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</si>
  <si>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</si>
  <si>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</si>
  <si>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</si>
  <si>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</si>
  <si>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</si>
  <si>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</si>
  <si>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</si>
  <si>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</si>
  <si>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</si>
  <si>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</si>
  <si>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</si>
  <si>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</si>
  <si>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</si>
  <si>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</si>
  <si>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</si>
  <si>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</si>
  <si>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</si>
  <si>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</si>
  <si>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</si>
  <si>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</si>
  <si>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</si>
  <si>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</si>
  <si>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</si>
  <si>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</si>
  <si>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Poznámka:</t>
  </si>
  <si>
    <t>Kód</t>
  </si>
  <si>
    <t>111101101R00</t>
  </si>
  <si>
    <t>111201101R00</t>
  </si>
  <si>
    <t>111251119R00</t>
  </si>
  <si>
    <t>111301111R00</t>
  </si>
  <si>
    <t>112101101R00</t>
  </si>
  <si>
    <t>112101102R00</t>
  </si>
  <si>
    <t>112101103R00</t>
  </si>
  <si>
    <t>112201101R00</t>
  </si>
  <si>
    <t>112201102R00</t>
  </si>
  <si>
    <t>112201103R00</t>
  </si>
  <si>
    <t>113106231R00</t>
  </si>
  <si>
    <t>113108305R00</t>
  </si>
  <si>
    <t>113108313R00</t>
  </si>
  <si>
    <t>113151314R00</t>
  </si>
  <si>
    <t>113202111R00</t>
  </si>
  <si>
    <t>113203111R00</t>
  </si>
  <si>
    <t>113204111R00</t>
  </si>
  <si>
    <t>115001105R00</t>
  </si>
  <si>
    <t>115100001RAA</t>
  </si>
  <si>
    <t>115101301R00</t>
  </si>
  <si>
    <t>119001401R00</t>
  </si>
  <si>
    <t>119001411R00</t>
  </si>
  <si>
    <t>119001412R00</t>
  </si>
  <si>
    <t>119001421R00</t>
  </si>
  <si>
    <t>120001101R00</t>
  </si>
  <si>
    <t>120901121R00</t>
  </si>
  <si>
    <t>120901123R00</t>
  </si>
  <si>
    <t>121101101R00</t>
  </si>
  <si>
    <t>125203101R00</t>
  </si>
  <si>
    <t>130900010RAB</t>
  </si>
  <si>
    <t>131201113R00</t>
  </si>
  <si>
    <t>131201119R00</t>
  </si>
  <si>
    <t>131201201R00</t>
  </si>
  <si>
    <t>131201209R00</t>
  </si>
  <si>
    <t>132201213R00</t>
  </si>
  <si>
    <t>132201219R00</t>
  </si>
  <si>
    <t>133201101R00</t>
  </si>
  <si>
    <t>133201109R00</t>
  </si>
  <si>
    <t>141721105VD</t>
  </si>
  <si>
    <t>141721106VD</t>
  </si>
  <si>
    <t>141721107VD</t>
  </si>
  <si>
    <t>151201101R00</t>
  </si>
  <si>
    <t>151201102R00</t>
  </si>
  <si>
    <t>151201111R00</t>
  </si>
  <si>
    <t>151201112R00</t>
  </si>
  <si>
    <t>151201201R00</t>
  </si>
  <si>
    <t>151201202R00</t>
  </si>
  <si>
    <t>151201211R00</t>
  </si>
  <si>
    <t>151201212R00</t>
  </si>
  <si>
    <t>151201301R00</t>
  </si>
  <si>
    <t>151201302R00</t>
  </si>
  <si>
    <t>151201311R00</t>
  </si>
  <si>
    <t>151201312R00</t>
  </si>
  <si>
    <t>161101101R00</t>
  </si>
  <si>
    <t>161101102R00</t>
  </si>
  <si>
    <t>161101103R00</t>
  </si>
  <si>
    <t>161101152R00</t>
  </si>
  <si>
    <t>162201455R00</t>
  </si>
  <si>
    <t>162201456R00</t>
  </si>
  <si>
    <t>162201457R00</t>
  </si>
  <si>
    <t>162201465R00</t>
  </si>
  <si>
    <t>162201466R00</t>
  </si>
  <si>
    <t>162201467R00</t>
  </si>
  <si>
    <t>162201475R00</t>
  </si>
  <si>
    <t>162201476R00</t>
  </si>
  <si>
    <t>162201477R00</t>
  </si>
  <si>
    <t>162301501R00</t>
  </si>
  <si>
    <t>162401102R00</t>
  </si>
  <si>
    <t>162401152R00</t>
  </si>
  <si>
    <t>162404141R00</t>
  </si>
  <si>
    <t>162501102R00</t>
  </si>
  <si>
    <t>162502111R00</t>
  </si>
  <si>
    <t>162702199R00</t>
  </si>
  <si>
    <t>167101102R00</t>
  </si>
  <si>
    <t>167102111R00</t>
  </si>
  <si>
    <t>171103101R00</t>
  </si>
  <si>
    <t>172103101R00</t>
  </si>
  <si>
    <t>174101101R00</t>
  </si>
  <si>
    <t>175101101R00</t>
  </si>
  <si>
    <t>180402111R00</t>
  </si>
  <si>
    <t>180402112R00</t>
  </si>
  <si>
    <t>181301111R00</t>
  </si>
  <si>
    <t>181301115R00</t>
  </si>
  <si>
    <t>182301121R00</t>
  </si>
  <si>
    <t>184201114RA0</t>
  </si>
  <si>
    <t>184807111R00</t>
  </si>
  <si>
    <t>184807112R00</t>
  </si>
  <si>
    <t>199000001R00</t>
  </si>
  <si>
    <t>199000002R00</t>
  </si>
  <si>
    <t>199000008VD</t>
  </si>
  <si>
    <t>212810010RAC</t>
  </si>
  <si>
    <t>230194016VD</t>
  </si>
  <si>
    <t>278311033R00</t>
  </si>
  <si>
    <t>332318111R00</t>
  </si>
  <si>
    <t>389941012R00</t>
  </si>
  <si>
    <t>3899410131VD</t>
  </si>
  <si>
    <t>389941013R00</t>
  </si>
  <si>
    <t>38994VD</t>
  </si>
  <si>
    <t>430320110RA0</t>
  </si>
  <si>
    <t>451313511R00</t>
  </si>
  <si>
    <t>451313521R00</t>
  </si>
  <si>
    <t>451319779R00</t>
  </si>
  <si>
    <t>451571111R00</t>
  </si>
  <si>
    <t>451572111R00</t>
  </si>
  <si>
    <t>452112111R00</t>
  </si>
  <si>
    <t>452112121R00</t>
  </si>
  <si>
    <t>452311141R00</t>
  </si>
  <si>
    <t>452312141R00</t>
  </si>
  <si>
    <t>452313151R00</t>
  </si>
  <si>
    <t>452351101R00</t>
  </si>
  <si>
    <t>452361111R00</t>
  </si>
  <si>
    <t>457971111R00</t>
  </si>
  <si>
    <t>465923114R00</t>
  </si>
  <si>
    <t>566903111R00</t>
  </si>
  <si>
    <t>566904111R00</t>
  </si>
  <si>
    <t>572952111R00</t>
  </si>
  <si>
    <t>573211111R00</t>
  </si>
  <si>
    <t>584121111R00</t>
  </si>
  <si>
    <t>591241111R00</t>
  </si>
  <si>
    <t>594411111RT4</t>
  </si>
  <si>
    <t>596215021R00</t>
  </si>
  <si>
    <t>599632111R00</t>
  </si>
  <si>
    <t>630900030RA0</t>
  </si>
  <si>
    <t>641960000R00</t>
  </si>
  <si>
    <t>711</t>
  </si>
  <si>
    <t>711471051R00</t>
  </si>
  <si>
    <t>711482002R00</t>
  </si>
  <si>
    <t>711493006VD</t>
  </si>
  <si>
    <t>711499095R00</t>
  </si>
  <si>
    <t>725</t>
  </si>
  <si>
    <t>725114926R00</t>
  </si>
  <si>
    <t>732</t>
  </si>
  <si>
    <t>732293810R00</t>
  </si>
  <si>
    <t>733</t>
  </si>
  <si>
    <t>733120843R00</t>
  </si>
  <si>
    <t>733120846VD</t>
  </si>
  <si>
    <t>734</t>
  </si>
  <si>
    <t>734100816R00</t>
  </si>
  <si>
    <t>767</t>
  </si>
  <si>
    <t>767900040RA0</t>
  </si>
  <si>
    <t>767920820R00</t>
  </si>
  <si>
    <t>767920840R00</t>
  </si>
  <si>
    <t>871353121R00</t>
  </si>
  <si>
    <t>871373121R00</t>
  </si>
  <si>
    <t>871393121R00</t>
  </si>
  <si>
    <t>871413121R00</t>
  </si>
  <si>
    <t>871423121R00</t>
  </si>
  <si>
    <t>877353123R00</t>
  </si>
  <si>
    <t>877373121R00</t>
  </si>
  <si>
    <t>877373122R00</t>
  </si>
  <si>
    <t>877373123R00</t>
  </si>
  <si>
    <t>877393121R00</t>
  </si>
  <si>
    <t>877393122R00</t>
  </si>
  <si>
    <t>877393123R00</t>
  </si>
  <si>
    <t>877395121R00</t>
  </si>
  <si>
    <t>877413122R00</t>
  </si>
  <si>
    <t>877413123R00</t>
  </si>
  <si>
    <t>877423122R00</t>
  </si>
  <si>
    <t>877423123R00</t>
  </si>
  <si>
    <t>892855116R00</t>
  </si>
  <si>
    <t>894201261R00</t>
  </si>
  <si>
    <t>894302161R00</t>
  </si>
  <si>
    <t>894302162VD</t>
  </si>
  <si>
    <t>894421111R00</t>
  </si>
  <si>
    <t>894421112R00</t>
  </si>
  <si>
    <t>894422111R00</t>
  </si>
  <si>
    <t>894423111RT1</t>
  </si>
  <si>
    <t>894423112R00</t>
  </si>
  <si>
    <t>894423114R00</t>
  </si>
  <si>
    <t>894423116R00</t>
  </si>
  <si>
    <t>894502201R00</t>
  </si>
  <si>
    <t>894607112R00</t>
  </si>
  <si>
    <t>899102111R00</t>
  </si>
  <si>
    <t>899103111R00</t>
  </si>
  <si>
    <t>899104111R00</t>
  </si>
  <si>
    <t>899511112R00</t>
  </si>
  <si>
    <t>899911113R00</t>
  </si>
  <si>
    <t>891VD</t>
  </si>
  <si>
    <t>891 R2VD</t>
  </si>
  <si>
    <t>891 R5VD</t>
  </si>
  <si>
    <t>891R3VD</t>
  </si>
  <si>
    <t>891R4VD</t>
  </si>
  <si>
    <t>891R6VD</t>
  </si>
  <si>
    <t>891R7VD</t>
  </si>
  <si>
    <t>891R8VD</t>
  </si>
  <si>
    <t>891R9VD</t>
  </si>
  <si>
    <t>R1VD</t>
  </si>
  <si>
    <t>916231111R00</t>
  </si>
  <si>
    <t>916261111R00</t>
  </si>
  <si>
    <t>916561111R00</t>
  </si>
  <si>
    <t>917862111R00</t>
  </si>
  <si>
    <t>919735111R00</t>
  </si>
  <si>
    <t>938909311R00</t>
  </si>
  <si>
    <t>938</t>
  </si>
  <si>
    <t>938990051VD</t>
  </si>
  <si>
    <t>953941721R00</t>
  </si>
  <si>
    <t>953981102R00</t>
  </si>
  <si>
    <t>953981103R00</t>
  </si>
  <si>
    <t>962032231R00</t>
  </si>
  <si>
    <t>962065311R00</t>
  </si>
  <si>
    <t>963100014RA0</t>
  </si>
  <si>
    <t>966049111R00</t>
  </si>
  <si>
    <t>966049121R00</t>
  </si>
  <si>
    <t>966079121R00</t>
  </si>
  <si>
    <t>968072355R00</t>
  </si>
  <si>
    <t>968072455R00</t>
  </si>
  <si>
    <t>970041060R00</t>
  </si>
  <si>
    <t>970041400VD</t>
  </si>
  <si>
    <t>976071111R00</t>
  </si>
  <si>
    <t>976075411R00</t>
  </si>
  <si>
    <t>979071122R00</t>
  </si>
  <si>
    <t>979071131R00</t>
  </si>
  <si>
    <t>M21</t>
  </si>
  <si>
    <t>210030911R00</t>
  </si>
  <si>
    <t>210191541R00</t>
  </si>
  <si>
    <t>M23</t>
  </si>
  <si>
    <t>230170015R00</t>
  </si>
  <si>
    <t>230170016R00</t>
  </si>
  <si>
    <t>230170017R00</t>
  </si>
  <si>
    <t>230191005R00</t>
  </si>
  <si>
    <t>230200127R00</t>
  </si>
  <si>
    <t>S</t>
  </si>
  <si>
    <t>979082213R00</t>
  </si>
  <si>
    <t>979082219R00</t>
  </si>
  <si>
    <t>979083114R00</t>
  </si>
  <si>
    <t>979084215R00</t>
  </si>
  <si>
    <t>979086112R00</t>
  </si>
  <si>
    <t>979990001R00</t>
  </si>
  <si>
    <t>979990103R00</t>
  </si>
  <si>
    <t>979990108R00</t>
  </si>
  <si>
    <t>979990112R00</t>
  </si>
  <si>
    <t>979990161R00</t>
  </si>
  <si>
    <t>127001VD</t>
  </si>
  <si>
    <t>12730112</t>
  </si>
  <si>
    <t>13611210</t>
  </si>
  <si>
    <t>23170552</t>
  </si>
  <si>
    <t>28322086</t>
  </si>
  <si>
    <t>28614657.A</t>
  </si>
  <si>
    <t>28614666.A</t>
  </si>
  <si>
    <t>28614667.A</t>
  </si>
  <si>
    <t>28614692.A</t>
  </si>
  <si>
    <t>28614710.A</t>
  </si>
  <si>
    <t>28614711.A</t>
  </si>
  <si>
    <t>28614712VD</t>
  </si>
  <si>
    <t>28614713VD</t>
  </si>
  <si>
    <t>286170067VD</t>
  </si>
  <si>
    <t>286170171VD</t>
  </si>
  <si>
    <t>286172325VD</t>
  </si>
  <si>
    <t>286174270VD</t>
  </si>
  <si>
    <t>286174280VD</t>
  </si>
  <si>
    <t>28620004VD</t>
  </si>
  <si>
    <t>286210236VD</t>
  </si>
  <si>
    <t>286211403VD</t>
  </si>
  <si>
    <t>286211413VD</t>
  </si>
  <si>
    <t>286212609VD</t>
  </si>
  <si>
    <t>286221395VD</t>
  </si>
  <si>
    <t>286221785VD</t>
  </si>
  <si>
    <t>286227588VD</t>
  </si>
  <si>
    <t>286234526VD</t>
  </si>
  <si>
    <t>286237182VD</t>
  </si>
  <si>
    <t>286237323VD</t>
  </si>
  <si>
    <t>286247841VD</t>
  </si>
  <si>
    <t>286247891VD</t>
  </si>
  <si>
    <t>286248133VD</t>
  </si>
  <si>
    <t>286287001VD</t>
  </si>
  <si>
    <t>286411562VD</t>
  </si>
  <si>
    <t>2865550VD</t>
  </si>
  <si>
    <t>28697470VD</t>
  </si>
  <si>
    <t>3457114631</t>
  </si>
  <si>
    <t>357117362VD</t>
  </si>
  <si>
    <t>55243342.A</t>
  </si>
  <si>
    <t>55243344.A</t>
  </si>
  <si>
    <t>55243347</t>
  </si>
  <si>
    <t>58337332</t>
  </si>
  <si>
    <t>58380120</t>
  </si>
  <si>
    <t>5921135100VD</t>
  </si>
  <si>
    <t>59217003</t>
  </si>
  <si>
    <t>59217010</t>
  </si>
  <si>
    <t>59224150</t>
  </si>
  <si>
    <t>59224152</t>
  </si>
  <si>
    <t>59224154</t>
  </si>
  <si>
    <t>592241541VD</t>
  </si>
  <si>
    <t>592241542VD</t>
  </si>
  <si>
    <t>592241543VD</t>
  </si>
  <si>
    <t>59224174.A</t>
  </si>
  <si>
    <t>59224175</t>
  </si>
  <si>
    <t>59224176</t>
  </si>
  <si>
    <t>59224177</t>
  </si>
  <si>
    <t>59224177.A</t>
  </si>
  <si>
    <t>5922433615VD</t>
  </si>
  <si>
    <t>5922433616VD</t>
  </si>
  <si>
    <t>592243501</t>
  </si>
  <si>
    <t>59224353.A</t>
  </si>
  <si>
    <t>592243601126VD</t>
  </si>
  <si>
    <t>592243601266VD</t>
  </si>
  <si>
    <t>59224360530VD</t>
  </si>
  <si>
    <t>59224360620VD</t>
  </si>
  <si>
    <t>59224360627VD</t>
  </si>
  <si>
    <t>59224360630VD</t>
  </si>
  <si>
    <t>59224360632VD</t>
  </si>
  <si>
    <t>59224360700VD</t>
  </si>
  <si>
    <t>59224360756VD</t>
  </si>
  <si>
    <t>59224360828VD</t>
  </si>
  <si>
    <t>59224360873VD</t>
  </si>
  <si>
    <t>59224360876VD</t>
  </si>
  <si>
    <t>59224360880VD</t>
  </si>
  <si>
    <t>592243661326VD</t>
  </si>
  <si>
    <t>59224373.A</t>
  </si>
  <si>
    <t>592243732</t>
  </si>
  <si>
    <t>592261061</t>
  </si>
  <si>
    <t>5922610611VD</t>
  </si>
  <si>
    <t>592261090</t>
  </si>
  <si>
    <t>592261091</t>
  </si>
  <si>
    <t>59226120</t>
  </si>
  <si>
    <t>592283110</t>
  </si>
  <si>
    <t>59381185</t>
  </si>
  <si>
    <t>59381338</t>
  </si>
  <si>
    <t>69365021</t>
  </si>
  <si>
    <t>693650211</t>
  </si>
  <si>
    <t>998226011R00</t>
  </si>
  <si>
    <t>998226091R00</t>
  </si>
  <si>
    <t>998276101R00</t>
  </si>
  <si>
    <t>Hodonín, Dešťová kanalizace z lokality Výhon do Očovského Járku</t>
  </si>
  <si>
    <t>Hodonín</t>
  </si>
  <si>
    <t>Zkrácený popis</t>
  </si>
  <si>
    <t>Rozměry</t>
  </si>
  <si>
    <t>Přípravné a přidružené práce</t>
  </si>
  <si>
    <t>Odstranění travin, rákosu na ploše do 0,1 ha</t>
  </si>
  <si>
    <t>Odstranění křovin i s kořeny na ploše do 1000 m2 s odklizením na hromady do 50m, nebo snaložením</t>
  </si>
  <si>
    <t>Drcení pařezů</t>
  </si>
  <si>
    <t>Sejmutí drnu tl. do 10 cm, s přemístěním do 50 m</t>
  </si>
  <si>
    <t>Kácení stromů listnatých o průměru kmene 10-30 cm s odvětvením, naložením, nebo přemístěním do 50 m</t>
  </si>
  <si>
    <t>Kácení stromů listnatých o průměru kmene 30-50 cm s odvětvením, naložením, nebo přemístěním do 50 m</t>
  </si>
  <si>
    <t>Kácení stromů listnatých o průměru kmene 50-70 cm s odvětvením, naložením, nebo přemístěním do 50 m</t>
  </si>
  <si>
    <t>Odstranění pařezů pod úrovní, o průměru 10 - 30 cm s přemístěním na hromady, nebo s naložením</t>
  </si>
  <si>
    <t>Odstranění pařezů pod úrovní, o průměru 30 - 50 cm s přemístěním na hromady, nebo s naložením</t>
  </si>
  <si>
    <t>Odstranění pařezů pod úrovní, o průměru 50 - 70 cm s přemístěním na hromady, nebo s naložením</t>
  </si>
  <si>
    <t>Rozebrání dlažeb ze zámkové dlažby v kamenivu</t>
  </si>
  <si>
    <t>Odstranění asfaltové vrstvy pl.do 50 m2, tl. 5 cm</t>
  </si>
  <si>
    <t>Odstranění asfaltové vrstvy pl. do 50 m2, tl.13 cm</t>
  </si>
  <si>
    <t>Fréz.živič.krytu nad 500 m2, s překážkami, tl.5 cm</t>
  </si>
  <si>
    <t>Vytrhání obrub obrubníků silničních</t>
  </si>
  <si>
    <t>Vytrhání obrub z dlažebních kostek</t>
  </si>
  <si>
    <t>Vytrhání obrubníků zahradních</t>
  </si>
  <si>
    <t>Převedení vody potrubím o průměru do DN 600 mm</t>
  </si>
  <si>
    <t>Čerpání vody na výšku 10 m, do 500 l</t>
  </si>
  <si>
    <t>Pohotovost čerp.soupravy, výška 10 m, přítok 500 l</t>
  </si>
  <si>
    <t>Dočasné zajištění ocelového potrubí do DN 200 mm</t>
  </si>
  <si>
    <t>Dočasné zajištění beton.a plast. potrubí do DN 200</t>
  </si>
  <si>
    <t>Dočasné zajištění beton.a plast.potrubí DN 200-500</t>
  </si>
  <si>
    <t>Dočasné zajištění kabelů - do počtu 3 kabelů</t>
  </si>
  <si>
    <t>Odkopávky a prokopávky</t>
  </si>
  <si>
    <t>Příplatek za ztížení vykopávky v blízkosti vedení</t>
  </si>
  <si>
    <t>Bourání konstrukcí z prostého betonu v odkopávkách</t>
  </si>
  <si>
    <t>Bourání konstrukcí ze železobetonu v odkopávkách</t>
  </si>
  <si>
    <t>Sejmutí ornice s přemístěním do 50 m</t>
  </si>
  <si>
    <t>Vykopávky kanálů pro zemědělské meliorace v hor. 3</t>
  </si>
  <si>
    <t>Hloubené vykopávky</t>
  </si>
  <si>
    <t>Bourání konstrukcí cihelných ve výkopu s odvozem do 5 km, uložení na skládku</t>
  </si>
  <si>
    <t>Hloubení nezapaž. jam hor.3 do 10000 m3, STROJNĚ</t>
  </si>
  <si>
    <t>Příplatek za lepivost - hloubení nezap.jam v hor.3</t>
  </si>
  <si>
    <t>Hloubení zapažených jam v hor.3 do 100 m3</t>
  </si>
  <si>
    <t>Příplatek za lepivost - hloubení zapaž.jam v hor.3</t>
  </si>
  <si>
    <t>Hloubení rýh š.do 200 cm hor.3 do 10000 m3,STROJNĚ</t>
  </si>
  <si>
    <t>Příplatek za lepivost - hloubení rýh 200cm v hor.3</t>
  </si>
  <si>
    <t>Hloubení šachet v hor.3 do 100 m3</t>
  </si>
  <si>
    <t>Příplatek za lepivost - hloubení šachet v hor.3</t>
  </si>
  <si>
    <t>Ražení a hloubení tunelářské</t>
  </si>
  <si>
    <t>Řízené protlačení a vtažení PP d400 mm, hor1-4</t>
  </si>
  <si>
    <t>Hydraulické zatlačování, šnekové vrtání potrubí DN 500</t>
  </si>
  <si>
    <t>Ruční ražba protlaku, ocel.chránička DO 914x14 oc. S235</t>
  </si>
  <si>
    <t>Roubení</t>
  </si>
  <si>
    <t>Pažení a rozepření stěn rýh - zátažné - hl. do 2 m</t>
  </si>
  <si>
    <t>Pažení a rozepření stěn rýh - zátažné - hl. do 4 m</t>
  </si>
  <si>
    <t>Odstranění pažení stěn rýh - zátažné - hl. do 2 m</t>
  </si>
  <si>
    <t>Odstranění pažení stěn rýh - zátažné - hl. do 4 m</t>
  </si>
  <si>
    <t>Pažení stěn výkopu - zátažné - hloubky do 4 m</t>
  </si>
  <si>
    <t>Pažení stěn výkopu - zátažné - hloubky do 8 m</t>
  </si>
  <si>
    <t>Odstranění pažení stěn - zátažné - hl. do 4 m</t>
  </si>
  <si>
    <t>Odstranění pažení stěn - zátažné - hl. do 8 m</t>
  </si>
  <si>
    <t>Rozepření stěn pažení - zátažné -  hl. do 4 m</t>
  </si>
  <si>
    <t>Rozepření stěn pažení - zátažné -  hl. do 8 m</t>
  </si>
  <si>
    <t>Odstranění rozepření stěn - zátažné - hl. do 4 m</t>
  </si>
  <si>
    <t>Odstranění rozepření stěn - zátažné - hl. do 8 m</t>
  </si>
  <si>
    <t>Přemístění výkopku</t>
  </si>
  <si>
    <t>Svislé přemístění výkopku z hor.1-4 do 2,5 m</t>
  </si>
  <si>
    <t>Svislé přemístění výkopku z hor.1-4 do 4,0 m</t>
  </si>
  <si>
    <t>Svislé přemístění výkopku z hor.1-4 do 6,0 m</t>
  </si>
  <si>
    <t>Svislé přemístění výkopku z hor.5-7 do 4,0 m</t>
  </si>
  <si>
    <t>Vod.přemístění větví listnatých, D 30cm  do 3000 m</t>
  </si>
  <si>
    <t>Vod.přemístění větví listnatých, D 50cm  do 3000 m</t>
  </si>
  <si>
    <t>Vod.přemístění větví listnatých, D 70cm  do 3000 m</t>
  </si>
  <si>
    <t>Vod.přemístění kmenů listnatých, D 30cm  do 3000 m</t>
  </si>
  <si>
    <t>Vod.přemístění kmenů listnatých, D 50cm  do 3000 m</t>
  </si>
  <si>
    <t>Vod.přemístění kmenů listnatých, D 70cm  do 3000 m</t>
  </si>
  <si>
    <t>Vodorovné přemístění pařezů  D 30 cm do 3000 m</t>
  </si>
  <si>
    <t>Vodorovné přemístění pařezů  D 50 cm do 3000 m</t>
  </si>
  <si>
    <t>Vodorovné přemístění pařezů  D 70 cm do 3000 m</t>
  </si>
  <si>
    <t>Vodorovné přemístění křovin do  5000 m</t>
  </si>
  <si>
    <t>Vodorovné přemístění výkopku z hor.1-4 do 2000 m - ornice</t>
  </si>
  <si>
    <t>Vodorovné přemístění výkopku z hor.5-7 do 2000 m</t>
  </si>
  <si>
    <t>Vodorovné přemístění znehod. suspenze do 2000 m</t>
  </si>
  <si>
    <t>Vodorovné přemístění výkopku z hor.1-4 do 3000 m</t>
  </si>
  <si>
    <t>Vodorovné přemístění drnu do 3000 m</t>
  </si>
  <si>
    <t>Poplatek za skládku drnu</t>
  </si>
  <si>
    <t>Nakládání výkopku z hor.1-4 v množství nad 100 m3</t>
  </si>
  <si>
    <t>Nakládání drnu ze skládky</t>
  </si>
  <si>
    <t>Konstrukce ze zemin</t>
  </si>
  <si>
    <t>Zemní hrázky melioračních kanálů, z hor.1-4</t>
  </si>
  <si>
    <t>Zřízení těsnícího jádra, 100% PS, š.vrstvy do 1,0m</t>
  </si>
  <si>
    <t>Zásyp jam, rýh, šachet se zhutněním</t>
  </si>
  <si>
    <t>Obsyp potrubí bez prohození sypaniny</t>
  </si>
  <si>
    <t>Povrchové úpravy terénu</t>
  </si>
  <si>
    <t>Založení trávníku parkového výsevem v rovině</t>
  </si>
  <si>
    <t>Založení trávníku parkového výsevem svah do 1:2</t>
  </si>
  <si>
    <t>Rozprostření ornice, rovina, tl.do 10 cm,nad 500m2</t>
  </si>
  <si>
    <t>Rozprostření ornice, rovina, tl.25-30 cm,nad 500m2</t>
  </si>
  <si>
    <t>Rozprostření ornice, svah, tl. do 10 cm, do 500 m2</t>
  </si>
  <si>
    <t>Výsadba stromu s balem, v rovině, výšky do 200 cm</t>
  </si>
  <si>
    <t>Ochrana stromu bedněním - zřízení</t>
  </si>
  <si>
    <t>Ochrana stromu bedněním - odstranění</t>
  </si>
  <si>
    <t>Hloubení pro podzemní stěny, ražení a hloubení důlní</t>
  </si>
  <si>
    <t>Poplatek za skládku - ornice</t>
  </si>
  <si>
    <t>Poplatek za skládku horniny 1- 4</t>
  </si>
  <si>
    <t>Poplatek za skládku bentonitové suspenze</t>
  </si>
  <si>
    <t>Úprava podloží a základové spáry</t>
  </si>
  <si>
    <t>Trativody z PVC drenážních flexibilních trubek</t>
  </si>
  <si>
    <t>Štětové stěny</t>
  </si>
  <si>
    <t>Utěsnění chráničky půlenou manžetou DN 920, včetně dodávky manžety</t>
  </si>
  <si>
    <t>Základy</t>
  </si>
  <si>
    <t>Zálivka kotevních otvorů C 12/15 do objemu 0,50 m3</t>
  </si>
  <si>
    <t>Sloupy a pilíře, stožáry a rámové stojky</t>
  </si>
  <si>
    <t>Vyplnění mezikruží v chráničce cementopopílkovou suspenzí</t>
  </si>
  <si>
    <t>Různé kompletní konstrukce nedělitelné do stav. dílů</t>
  </si>
  <si>
    <t>Kovové doplň.konstrukce pro montáž dílců, do 10 kg</t>
  </si>
  <si>
    <t>Kovové doplňkové konstrukce nad 10 kg- žárové zinkování</t>
  </si>
  <si>
    <t>Kovové doplň.konstrukce pro montáž dílců,nad 10 kg</t>
  </si>
  <si>
    <t>Doprava konstrukce do zinkovny Hustopeče, včetně manipulace</t>
  </si>
  <si>
    <t>Schodiště</t>
  </si>
  <si>
    <t>Schodiště ze železobetonu na terénu</t>
  </si>
  <si>
    <t>Podkladní a vedlejší konstrukce (kromě vozovek a železničního svršku)</t>
  </si>
  <si>
    <t>Podklad betonový pod dlažbu tl. do 100 mm</t>
  </si>
  <si>
    <t>Podklad betonový pod dlažbu tl. od 100 do 150 mm</t>
  </si>
  <si>
    <t>Příplatek za sklon podkladu z betonu nad 1 : 5</t>
  </si>
  <si>
    <t>Lože dlažby ze štěrkopísků tl. do 10 cm</t>
  </si>
  <si>
    <t>Lože pod potrubí z kameniva těženého 0 - 4 mm</t>
  </si>
  <si>
    <t>Osazení beton, prstenců pod mříže, výšky do100 mm</t>
  </si>
  <si>
    <t>Osazení beton. prstenců pod mříže, výšky do 200 mm</t>
  </si>
  <si>
    <t>Desky podkladní pod potrubí z betonu C 16/20</t>
  </si>
  <si>
    <t>Sedlové lože pod potrubí z betonu C 16/20</t>
  </si>
  <si>
    <t>Bloky pro potrubí z betonu C 20/25</t>
  </si>
  <si>
    <t>Bednění desek nebo sedlových loží pod potrubí</t>
  </si>
  <si>
    <t>Výztuž podklad. desek z betonářské oceli 10216(E)</t>
  </si>
  <si>
    <t>Zřízení vrstvy z geotex.skl.do 1:5,š. do 3 m,hrází</t>
  </si>
  <si>
    <t>Zpevněné plochy (kromě vozovek a železničního svršku)</t>
  </si>
  <si>
    <t>Zpevnění svahů dlažbou kloubovou z betonových prvků tl. do 100 mm</t>
  </si>
  <si>
    <t>Podkladní vrstvy komunikací a zpevněných ploch</t>
  </si>
  <si>
    <t>Vyspravení podkladu po překopech kam.hrubě drceným</t>
  </si>
  <si>
    <t>Vyspravení podkladu po překopech kam.obal.asfaltem</t>
  </si>
  <si>
    <t>Kryty pozemních komunikací, letišť a ploch z kameniva nebo živičné</t>
  </si>
  <si>
    <t>Vyspravení krytu po překopu asf.betonem tl.do 5 cm</t>
  </si>
  <si>
    <t>Postřik živičný spojovací z asfaltu 0,5-0,7 kg/m2</t>
  </si>
  <si>
    <t>Kryty pozemních komunikací, letišť a ploch z betonu a ostatních hmot</t>
  </si>
  <si>
    <t>Osazení silničních panelů,lože z kameniva tl. 4 cm</t>
  </si>
  <si>
    <t>Kryty pozemních komunikací, letišť a ploch dlážděných (předlažby)</t>
  </si>
  <si>
    <t>Kladení dlažby drobné kostky, lože z MC tl. 5 cm</t>
  </si>
  <si>
    <t>Dlažba z lomového kamene,lože z MC do 5 cm</t>
  </si>
  <si>
    <t>Kladení zámkové dlažby tl. 6 cm do drtě tl. 4 cm</t>
  </si>
  <si>
    <t>Výplň spár dlažby z lomového kamene MC se zatřením</t>
  </si>
  <si>
    <t>Podlahy a podlahové konstrukce</t>
  </si>
  <si>
    <t>Vybourání dlažby a podkladního betonu</t>
  </si>
  <si>
    <t>Výplně otvorů</t>
  </si>
  <si>
    <t>Těsnění spár otvorových prvků PU pěnou</t>
  </si>
  <si>
    <t>Izolace proti vodě</t>
  </si>
  <si>
    <t>Provedení dvojitého hydroizolačního systému spodní stavby na ploše vodorovné fólií PVC volně s horkovzdušným navařením segmentů</t>
  </si>
  <si>
    <t>Provedení dvojitého hydroizolačního systému spodní stavby na ploše vodorovné fólií PVC svisle s horkovzdušným navařením segmentů</t>
  </si>
  <si>
    <t>Opracování prostupu průměru do 600 mm dvojitého hydroizolačního systému spodní stavby</t>
  </si>
  <si>
    <t>Příplatek, izol. tlaková objektu, plocha do 10m2</t>
  </si>
  <si>
    <t>Zařizovací předměty</t>
  </si>
  <si>
    <t>Přeřezání šroubu (demontáž šoupátka DN300)</t>
  </si>
  <si>
    <t>Strojovny</t>
  </si>
  <si>
    <t>Rozřezání podpěrných konstrukcí (podesta)</t>
  </si>
  <si>
    <t>Rozvod potrubí</t>
  </si>
  <si>
    <t>Demontáž potrubí z hladkých trubek D 324</t>
  </si>
  <si>
    <t>Demontáž potrubí z hladkých trubek D630</t>
  </si>
  <si>
    <t>Armatury</t>
  </si>
  <si>
    <t>Demontáž armatur se dvěma přírubami do DN 300</t>
  </si>
  <si>
    <t>Konstrukce doplňkové stavební (zámečnické)</t>
  </si>
  <si>
    <t>Demontáž oplocení z pletiva</t>
  </si>
  <si>
    <t>Demontáž vrat k oplocení plochy do 6 m2</t>
  </si>
  <si>
    <t>Demontáž vrat k oplocení plochy do 10 m2</t>
  </si>
  <si>
    <t>Potrubí z trub plastických, skleněných a čedičových</t>
  </si>
  <si>
    <t>Montáž trub z plastu, gumový kroužek, DN 200</t>
  </si>
  <si>
    <t>Montáž trub z plastu, gumový kroužek, DN 300</t>
  </si>
  <si>
    <t>Montáž trub z plastu, gumový kroužek, DN 400</t>
  </si>
  <si>
    <t>Montáž trub z plastu, gumový kroužek, DN 500</t>
  </si>
  <si>
    <t>Montáž trub z plastu, gumový kroužek, DN 600</t>
  </si>
  <si>
    <t>Montáž tvarovek jednoos. plast. gum.kroužek DN 200</t>
  </si>
  <si>
    <t>Montáž tvarovek odboč. plast. gum. kroužek DN 300</t>
  </si>
  <si>
    <t>Montáž přesuvek z plastu, gumový kroužek, DN 300</t>
  </si>
  <si>
    <t>Montáž tvarovek jednoos. plast. gum.kroužek DN 300</t>
  </si>
  <si>
    <t>Montáž tvarovek odboč. plast. gum. kroužek DN 400</t>
  </si>
  <si>
    <t>Montáž přesuvek z plastu, gumový kroužek, DN 400</t>
  </si>
  <si>
    <t>Montáž tvarovek jednoos. plast. gum.kroužek DN 400</t>
  </si>
  <si>
    <t>Výřez a montáž tvarovky z plastu na potrubí DN 400</t>
  </si>
  <si>
    <t>Montáž přesuvek z plastu, gumový kroužek, DN 500</t>
  </si>
  <si>
    <t>Montáž tvarovek jednoos. plast. gum.kroužek DN 500</t>
  </si>
  <si>
    <t>Montáž přesuvek z plastu, gumový kroužek, DN 600</t>
  </si>
  <si>
    <t>Montáž tvarovek jednoos. plast. gum.kroužek DN 600</t>
  </si>
  <si>
    <t>Ostatní konstrukce a práce na trubním vedení</t>
  </si>
  <si>
    <t>Kontrola kanalizace TV kamerou nad 500 m</t>
  </si>
  <si>
    <t>Stěny šachet z betonu V 4 - C 25/30, tl. nad 20 cm</t>
  </si>
  <si>
    <t>Stěny šachet želbet. V 4 - C 25/30, tl. nad 20 cm</t>
  </si>
  <si>
    <t>Příplatek k ceně za beton C30/37</t>
  </si>
  <si>
    <t>Osazení betonových dílců šachet do 0,5 t</t>
  </si>
  <si>
    <t>Osazení betonových dílců šachet do 1,4 t</t>
  </si>
  <si>
    <t>Osazení betonových dílců šachet, skruže přechodové</t>
  </si>
  <si>
    <t>Osazení betonových dílců šachet do 2,0 t</t>
  </si>
  <si>
    <t>Osazení betonových dílců šachet do 3,0 t</t>
  </si>
  <si>
    <t>Osaz. bet. dílců šachet, dna, na kroužek, do 5,0 t</t>
  </si>
  <si>
    <t>Osaz. bet. dílců šachet, dna, na kroužek, do 7,0 t</t>
  </si>
  <si>
    <t>Bednění stěn šachet pravoúhlých oboustranné</t>
  </si>
  <si>
    <t>Výztuž šachet z oceli BSt 500 B</t>
  </si>
  <si>
    <t>Osazení poklopu s rámem do 100 kg</t>
  </si>
  <si>
    <t>Osazení poklopu s rámem do 150 kg</t>
  </si>
  <si>
    <t>Osazení poklopu s rámem nad 150 kg</t>
  </si>
  <si>
    <t>Stupadla do šachet litinová osazovaná do otvorů</t>
  </si>
  <si>
    <t>Osazení ocelových součástí nad 10 kg jednotlivě</t>
  </si>
  <si>
    <t>Odřezání stávající chráničky a její zaslepení ocel. plechem tl 3 mm</t>
  </si>
  <si>
    <t>Vyříznutí kontrolního otvoru v potrubí v měrné šachtě, uzavření víkem s těsnící gumou, včetně nerez objímek</t>
  </si>
  <si>
    <t>Odstranění krytiny z betonových tašek</t>
  </si>
  <si>
    <t>Měřící a vyhodnocovací jednotka do měrné šachty včetně dodávky, instalace a uvedení do provozu</t>
  </si>
  <si>
    <t>Kompozitní lávka k odběrnému objektu RN, dodávka včetně montáže</t>
  </si>
  <si>
    <t>Zakrytí odběrného objektu RN roštem, dodávka včetně montáže</t>
  </si>
  <si>
    <t>Kompozitní zábradlí k odběrnému objektu RN, dodávka včetně montáže</t>
  </si>
  <si>
    <t>Kompozitní schodiště do RN</t>
  </si>
  <si>
    <t>Demontáž poklopů litinových nebo ocelových vč.rámů hmot.přes 100 do 150 kg</t>
  </si>
  <si>
    <t>Zalití výkopu cementovou suspenzí MILKMALT včetně materiálu a dopravy</t>
  </si>
  <si>
    <t>Doplňující konstrukce a práce na pozemních komunikacích a zpevněných plochách</t>
  </si>
  <si>
    <t>Osazení obruby z kostek drobných, bez boční opěry</t>
  </si>
  <si>
    <t>Osazení obruby z kostek drobných, s boční opěrou</t>
  </si>
  <si>
    <t>Osazení záhon.obrubníků do lože z C 12/15 s opěrou</t>
  </si>
  <si>
    <t>Osazení stojat. obrub.bet. s opěrou,lože z C 12/15</t>
  </si>
  <si>
    <t>Řezání stávajícího živičného krytu tl. do 5 cm</t>
  </si>
  <si>
    <t>Různé dokončovací konstrukce a práce inženýrských staveb</t>
  </si>
  <si>
    <t>Odstranění nánosu z povrchu živičného nebo beton.</t>
  </si>
  <si>
    <t>čištění usazenin a jiné</t>
  </si>
  <si>
    <t>Výluhové zkoušky pro uložení vytěžené zeminy na skládku</t>
  </si>
  <si>
    <t>Různé dokončovací konstrukce a práce na pozemních stavbách</t>
  </si>
  <si>
    <t>Osazení držáků nebo objímek ve zdivu betonovém</t>
  </si>
  <si>
    <t>Chemické kotvy do betonu, hl. 90 mm, M 10, ampule</t>
  </si>
  <si>
    <t>Chemické kotvy do betonu, hl. 110 mm, M 12, ampule</t>
  </si>
  <si>
    <t>Bourání konstrukcí</t>
  </si>
  <si>
    <t>Bourání zdiva z cihel pálených na MVC</t>
  </si>
  <si>
    <t>Bourání nosné konst.trámové ze dřeva měkkého,zdivo</t>
  </si>
  <si>
    <t>Bourání stropů Hurdis, I č. 18 délky do 4,0 m</t>
  </si>
  <si>
    <t>Demontáž konstrukce vinic - sloupku řadového</t>
  </si>
  <si>
    <t>Demontáž konstrukce vinic - sloupku se vzpěrou</t>
  </si>
  <si>
    <t>Demontáž konstrukce vinic - drátěnky</t>
  </si>
  <si>
    <t>Vybourání kovových rámů oken zdvojených pl. 2 m2</t>
  </si>
  <si>
    <t>Vybourání kovových dveřních zárubní pl. do 2 m2</t>
  </si>
  <si>
    <t>Prorážení otvorů a ostatní bourací práce</t>
  </si>
  <si>
    <t>Vrtání jádrové do prostého betonu do D 60 mm</t>
  </si>
  <si>
    <t>Vrtání jádrové do prostého betonu do D 400 mm</t>
  </si>
  <si>
    <t>Vybourání kovových zábradlí a madel</t>
  </si>
  <si>
    <t>Vybourání ocel. konzol hmotnost nad 50 kg</t>
  </si>
  <si>
    <t>Očištění vybour.kostek drobných s výplní MC/živicí</t>
  </si>
  <si>
    <t>Očištění vybouraných kostek mozaikových, kam. těž.</t>
  </si>
  <si>
    <t>Elektromontáže</t>
  </si>
  <si>
    <t>Stožár trubkový bez ohledu na hmotnost</t>
  </si>
  <si>
    <t>Montáž pilíře PRIS 2</t>
  </si>
  <si>
    <t>Montáže potrubí</t>
  </si>
  <si>
    <t>Zkouška těsnosti potrubí, DN 250 - 350</t>
  </si>
  <si>
    <t>Zkouška těsnosti potrubí, DN 400 - 500</t>
  </si>
  <si>
    <t>Zkouška těsnosti potrubí, DN 600 - 800</t>
  </si>
  <si>
    <t>Uložení chráničky ve výkopu PE 50x3,0mm</t>
  </si>
  <si>
    <t>Nasunutí potrubní sekce do ocel.chráničky, DN 600</t>
  </si>
  <si>
    <t>Přesuny sutí</t>
  </si>
  <si>
    <t>Vodorovná doprava suti po suchu do 1 km</t>
  </si>
  <si>
    <t>Příplatek za dopravu suti po suchu za další 1 km</t>
  </si>
  <si>
    <t>Vodorovné přemístění suti na skládku do 3000 m</t>
  </si>
  <si>
    <t>Vodorovná doprava vybour. hmot po suchu do 3 km</t>
  </si>
  <si>
    <t>Nakládání nebo překládání suti a vybouraných hmot</t>
  </si>
  <si>
    <t>Poplatek za skládku stavební suti</t>
  </si>
  <si>
    <t>Poplatek za skládku suti - beton do 30x30 cm</t>
  </si>
  <si>
    <t>Poplatek za skládku suti - železobeton</t>
  </si>
  <si>
    <t>Poplatek za skládku suti-obal.kam.-asfalt do 30x30</t>
  </si>
  <si>
    <t>Poplatek za skládku suti - dřevo</t>
  </si>
  <si>
    <t>Ostatní materiál</t>
  </si>
  <si>
    <t>Trubka nerez  50,0 x 2,0</t>
  </si>
  <si>
    <t>Plech hladký jakost S235  3x1000x2000 mm</t>
  </si>
  <si>
    <t>Těsnění elastomerové samomazné OZ DN 2000 mm</t>
  </si>
  <si>
    <t>Fólie AQUAPLAST 805 tl.1,0 mm pro zahradní jezírka</t>
  </si>
  <si>
    <t>Koleno 88° PP SN 10 DN 200</t>
  </si>
  <si>
    <t>Koleno 45° PP SN 10 DN 315</t>
  </si>
  <si>
    <t>Koleno 88° PP SN 10 DN 315</t>
  </si>
  <si>
    <t>Odbočka 45°PP SN 10 400/315</t>
  </si>
  <si>
    <t>Přesuvka PP SN 10 DN 315</t>
  </si>
  <si>
    <t>Přesuvka PP SN 10 DN 400</t>
  </si>
  <si>
    <t>Přesuvka PP SN 10 DN500</t>
  </si>
  <si>
    <t>Přesuvka PP SN 10 DN630</t>
  </si>
  <si>
    <t>Trubka PP DN/OD 310 SN10 -6000 (ČSN EN 1852-1)</t>
  </si>
  <si>
    <t>Trubka PP DN/OD 200 SN10 -1000 (ČSN EN 1852-1)</t>
  </si>
  <si>
    <t>Trubka PP DN/OD 630 SN16 -6000 pro svařování na tupo (ČSN EN 1852-1)</t>
  </si>
  <si>
    <t>Zátka hrdla PP 315</t>
  </si>
  <si>
    <t>Zátka hrdla PP 400</t>
  </si>
  <si>
    <t>Trubka PE 100 SDR 11 90x8,2 návin</t>
  </si>
  <si>
    <t>Trubka PP DN/OD 500 SN10 -1000 (ČSN EN 1852-1)</t>
  </si>
  <si>
    <t>Trubka PP DN/OD 630 SN10 -3000 (ČSN EN 1852-1)</t>
  </si>
  <si>
    <t>Trubka PP DN/OD 630 SN10 -6000 (ČSN EN 1852-1)</t>
  </si>
  <si>
    <t>Zátka hrdla PP 630</t>
  </si>
  <si>
    <t>Trubka PP DN/OD 400 SN10 -3000 (ČSN EN 1852-1)</t>
  </si>
  <si>
    <t>KGEA odbočka PP 90° DN/OD 315/200</t>
  </si>
  <si>
    <t>Odbočka 88° PP SN 10 400/200</t>
  </si>
  <si>
    <t>Trubka PP DN/OD 500 SN10 -6000 (ČSN EN 1852-1)</t>
  </si>
  <si>
    <t>Trubka PP DN/OD 400 SN10 -6000 (ČSN EN 1852-1)</t>
  </si>
  <si>
    <t>KGR redukce PP s těsnícím kroužkem DN/OD 400/315</t>
  </si>
  <si>
    <t>KGU PP přesuvka s těsnícími kroužky DN/OD 315</t>
  </si>
  <si>
    <t>KGU PP přesuvka s těsnícími kroužky DN/OD 400</t>
  </si>
  <si>
    <t>Trubka PP DN/OD 315 SN10 -3000 (ČSN EN 1852-1)</t>
  </si>
  <si>
    <t>KGU PP přesuvka s těsnícími kroužky DN/OD 500</t>
  </si>
  <si>
    <t>KGU PP přesuvka s těsnícími kroužky DN/OD 630</t>
  </si>
  <si>
    <t>Koncová klapka z PVC-U s připojovacím KG hrdlem DN500</t>
  </si>
  <si>
    <t>Poklop kompozitní tř.A 1,5 pro otvor 0,9x0,9m uzamykatelný s rámem a odvětráním.</t>
  </si>
  <si>
    <t>Trubka kabelová chránička PVC CWS 50/2,9/4000 tř.4</t>
  </si>
  <si>
    <t>Pilíř plastový ER3/NK-6 620x1835x250</t>
  </si>
  <si>
    <t>Poklop KA 01 BEGU D 605 mm "A1" PARK A15</t>
  </si>
  <si>
    <t>Poklop litinový KB 03 D 605 mm "B3" B125</t>
  </si>
  <si>
    <t>Poklop litinový KD 03 D 610 mm pro zatížení 40 t</t>
  </si>
  <si>
    <t>Štěrkopísek frakce 0-22 C</t>
  </si>
  <si>
    <t>Kostka dlažební drobná 8/10  tř.1</t>
  </si>
  <si>
    <t>Dno šachtové Kompakt TBZ-Q.1 100/520</t>
  </si>
  <si>
    <t>Obrubník parkový betonový 80x250x1000 mm</t>
  </si>
  <si>
    <t>Obrubník silniční betonový 150x250x1000 mm</t>
  </si>
  <si>
    <t>Skruž TBS-Q 1000/250/120 SP</t>
  </si>
  <si>
    <t>Skruž TBS-Q 1000/500/120/SP</t>
  </si>
  <si>
    <t>Skruž TBS-Q 1000/1000/120 SP</t>
  </si>
  <si>
    <t>Příplatek za vývrt do skruže DN 300-400</t>
  </si>
  <si>
    <t>Příplatek za těsnění ve skruži spádiště PP DN300</t>
  </si>
  <si>
    <t>Příplatek za těsnění ve skruži spádiště PP DN400</t>
  </si>
  <si>
    <t>Prstenec vyrovnávací TBW-Q 625/40/120</t>
  </si>
  <si>
    <t>Prstenec vyrovnávací TBW-Q 625/60/120</t>
  </si>
  <si>
    <t>Prstenec vyrovnávací TBW-Q 625/80/120</t>
  </si>
  <si>
    <t>Prstenec vyrovnávací TBW-Q 625/100/120</t>
  </si>
  <si>
    <t>Prstenec vyrovnávací TBW-Q 625/120/120</t>
  </si>
  <si>
    <t>Příplatek za obložení nástupnice a žlábku</t>
  </si>
  <si>
    <t>Příplatek za obložení nárazové stěny čedičem</t>
  </si>
  <si>
    <t>Deska přechodová zákrytová TZK-Q.1 120-100/25</t>
  </si>
  <si>
    <t>Konus šachetní TBR-Q.1 100-63/58/12 KPS</t>
  </si>
  <si>
    <t>Dno šachtové Kompakt TBZ-Q.1 100/1126</t>
  </si>
  <si>
    <t>Dno šachtové Kompakt TBZ-Q.1 100/1266</t>
  </si>
  <si>
    <t>Dno šachtové Kompakt TBZ-Q.1 100/530</t>
  </si>
  <si>
    <t>Dno šachetní TBZ-Q.1 100/620 KOM tl. 15 cm</t>
  </si>
  <si>
    <t>Dno šachtové Kompakt TBZ-Q.1 100/627</t>
  </si>
  <si>
    <t>Dno šachtové Kompakt TBZ-Q.1 100/630</t>
  </si>
  <si>
    <t>Dno šachtové Kompakt TBZ-Q.1 100/632</t>
  </si>
  <si>
    <t>Dno šachtové Kompakt TBZ-Q.1 100/700</t>
  </si>
  <si>
    <t>Dno šachtové Kompakt TBZ-Q.1 100/756</t>
  </si>
  <si>
    <t>Dno šachtové Kompakt TBZ-Q.1 100/828</t>
  </si>
  <si>
    <t>Dno šachtové Kompakt TBZ-Q.1 100/873</t>
  </si>
  <si>
    <t>Dno šachtové Kompakt TBZ-Q.1 100/876</t>
  </si>
  <si>
    <t>Dno šachtové Kompakt TBZ-Q.1 100/880</t>
  </si>
  <si>
    <t>Dno šachtové Kompakt TBZ-Q.1 120/1326</t>
  </si>
  <si>
    <t>Těsnění elastom pro šach díly EMT - DN 1000</t>
  </si>
  <si>
    <t>Těsnění elastom pro šach díly EMT - DN 1200</t>
  </si>
  <si>
    <t>Dno nádrže PNK Q.1 200/175 BZP 5,498 m3</t>
  </si>
  <si>
    <t>Příplatek za vynechání otvoru v prefabrikátu</t>
  </si>
  <si>
    <t>Skruž nádrže PNK Q.1 200/50 SKP 1,570 m3</t>
  </si>
  <si>
    <t>Skruž nádrže PNK Q.1 200/100 SKP 3,140 m3</t>
  </si>
  <si>
    <t>Deska zákrytová nádrže PNK 200/20 ZDP 1K 60</t>
  </si>
  <si>
    <t>Dlažba kloubová Tri-Lock 100 mm hladká šedá</t>
  </si>
  <si>
    <t>Panel silniční IZD 86/10 300x100x21,5 cm</t>
  </si>
  <si>
    <t>Panel silniční IZD 12/19  300x200x21,5 cm</t>
  </si>
  <si>
    <t>Geotextilie Geomatex NTB10 400  2x50 m bílá</t>
  </si>
  <si>
    <t>Geotextilie Geomatex NTB10 300  2x100 m bílá</t>
  </si>
  <si>
    <t>Přesun hmot, pozemní komunikace, kryt montovaný</t>
  </si>
  <si>
    <t>Přesun hmot, komunikace panelové, příplatek do 1km</t>
  </si>
  <si>
    <t>Přesun hmot, trubní vedení plastová, otevř. výkop</t>
  </si>
  <si>
    <t>Doba výstavby:</t>
  </si>
  <si>
    <t>Začátek výstavby:</t>
  </si>
  <si>
    <t>Konec výstavby:</t>
  </si>
  <si>
    <t>Zpracováno dne:</t>
  </si>
  <si>
    <t>MJ</t>
  </si>
  <si>
    <t>ha</t>
  </si>
  <si>
    <t>m2</t>
  </si>
  <si>
    <t>m3</t>
  </si>
  <si>
    <t>kus</t>
  </si>
  <si>
    <t>m</t>
  </si>
  <si>
    <t>h</t>
  </si>
  <si>
    <t>den</t>
  </si>
  <si>
    <t>t</t>
  </si>
  <si>
    <t>kg</t>
  </si>
  <si>
    <t>km</t>
  </si>
  <si>
    <t>m DVČ</t>
  </si>
  <si>
    <t>soubor</t>
  </si>
  <si>
    <t>kpl</t>
  </si>
  <si>
    <t>dílo</t>
  </si>
  <si>
    <t>lus</t>
  </si>
  <si>
    <t>Množství</t>
  </si>
  <si>
    <t>376 dní</t>
  </si>
  <si>
    <t>01.03.2021</t>
  </si>
  <si>
    <t>11.03.2022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</si>
  <si>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</si>
  <si>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</si>
  <si>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</si>
  <si>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</si>
  <si>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</si>
  <si>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</si>
  <si>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</si>
  <si>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</si>
  <si>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</si>
  <si>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</si>
  <si>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Montáž</t>
  </si>
  <si>
    <t>Celkem</t>
  </si>
  <si>
    <t>Hmotnost (t)</t>
  </si>
  <si>
    <t>Jednot.</t>
  </si>
  <si>
    <t>Cenová</t>
  </si>
  <si>
    <t>soustava</t>
  </si>
  <si>
    <t>RTS I / 2020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</si>
  <si>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</si>
  <si>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</si>
  <si>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</si>
  <si>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</si>
  <si>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</si>
  <si>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</si>
  <si>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</si>
  <si>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</si>
  <si>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</si>
  <si>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</si>
  <si>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</si>
  <si>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</si>
  <si>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12_</t>
  </si>
  <si>
    <t>13_</t>
  </si>
  <si>
    <t>14_</t>
  </si>
  <si>
    <t>15_</t>
  </si>
  <si>
    <t>16_</t>
  </si>
  <si>
    <t>17_</t>
  </si>
  <si>
    <t>18_</t>
  </si>
  <si>
    <t>19_</t>
  </si>
  <si>
    <t>21_</t>
  </si>
  <si>
    <t>23_</t>
  </si>
  <si>
    <t>27_</t>
  </si>
  <si>
    <t>33_</t>
  </si>
  <si>
    <t>38_</t>
  </si>
  <si>
    <t>43_</t>
  </si>
  <si>
    <t>45_</t>
  </si>
  <si>
    <t>46_</t>
  </si>
  <si>
    <t>56_</t>
  </si>
  <si>
    <t>57_</t>
  </si>
  <si>
    <t>58_</t>
  </si>
  <si>
    <t>59_</t>
  </si>
  <si>
    <t>63_</t>
  </si>
  <si>
    <t>64_</t>
  </si>
  <si>
    <t>711_</t>
  </si>
  <si>
    <t>725_</t>
  </si>
  <si>
    <t>732_</t>
  </si>
  <si>
    <t>733_</t>
  </si>
  <si>
    <t>734_</t>
  </si>
  <si>
    <t>767_</t>
  </si>
  <si>
    <t>87_</t>
  </si>
  <si>
    <t>89_</t>
  </si>
  <si>
    <t>891VD_</t>
  </si>
  <si>
    <t>91_</t>
  </si>
  <si>
    <t>93_</t>
  </si>
  <si>
    <t>938_</t>
  </si>
  <si>
    <t>95_</t>
  </si>
  <si>
    <t>96_</t>
  </si>
  <si>
    <t>97_</t>
  </si>
  <si>
    <t>M21_</t>
  </si>
  <si>
    <t>M23_</t>
  </si>
  <si>
    <t>S_</t>
  </si>
  <si>
    <t>Z99999_</t>
  </si>
  <si>
    <t>1_</t>
  </si>
  <si>
    <t>2_</t>
  </si>
  <si>
    <t>3_</t>
  </si>
  <si>
    <t>4_</t>
  </si>
  <si>
    <t>5_</t>
  </si>
  <si>
    <t>6_</t>
  </si>
  <si>
    <t>71_</t>
  </si>
  <si>
    <t>72_</t>
  </si>
  <si>
    <t>73_</t>
  </si>
  <si>
    <t>76_</t>
  </si>
  <si>
    <t>8_</t>
  </si>
  <si>
    <t>9_</t>
  </si>
  <si>
    <t>Z_</t>
  </si>
  <si>
    <t>_</t>
  </si>
  <si>
    <t>MAT</t>
  </si>
  <si>
    <t>WORK</t>
  </si>
  <si>
    <t>CELK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</si>
  <si>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</si>
  <si>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</si>
  <si>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</si>
  <si>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</si>
  <si>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</si>
  <si>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Celková hmotnost (t)</t>
  </si>
  <si>
    <t>T</t>
  </si>
  <si>
    <t>Profil</t>
  </si>
  <si>
    <t xml:space="preserve"> Vzdál.</t>
  </si>
  <si>
    <t>Hloubka  rýhy od původ.terénu</t>
  </si>
  <si>
    <t xml:space="preserve">     Pažení</t>
  </si>
  <si>
    <t xml:space="preserve"> Šířka</t>
  </si>
  <si>
    <t xml:space="preserve">         Hloubení</t>
  </si>
  <si>
    <t>jednot</t>
  </si>
  <si>
    <t>součet</t>
  </si>
  <si>
    <t>průměr</t>
  </si>
  <si>
    <t xml:space="preserve"> do 2m</t>
  </si>
  <si>
    <t xml:space="preserve"> do 4m</t>
  </si>
  <si>
    <t xml:space="preserve"> rýhy</t>
  </si>
  <si>
    <t xml:space="preserve">  do 2,5m</t>
  </si>
  <si>
    <t xml:space="preserve">  do 4m</t>
  </si>
  <si>
    <t>přes4do5m</t>
  </si>
  <si>
    <t xml:space="preserve">   km</t>
  </si>
  <si>
    <t xml:space="preserve">   m</t>
  </si>
  <si>
    <t xml:space="preserve">   m2</t>
  </si>
  <si>
    <t xml:space="preserve">    m3</t>
  </si>
  <si>
    <t>DV</t>
  </si>
  <si>
    <t>odpočet 18 cm živice</t>
  </si>
  <si>
    <t>odpočet 5 cm živice</t>
  </si>
  <si>
    <t>odpočet 5 cm dlažby</t>
  </si>
  <si>
    <t>PROTLAK</t>
  </si>
  <si>
    <t>započítáno ve výkopu šachet</t>
  </si>
  <si>
    <t>Součet</t>
  </si>
  <si>
    <t>DV1</t>
  </si>
  <si>
    <t>KONCOVÁ ŠACHTA PROTLAKU</t>
  </si>
  <si>
    <t>PROTLAK 32,0 M</t>
  </si>
  <si>
    <t>STARTOVACÍ JÁMA PROTLAKU</t>
  </si>
  <si>
    <t>odpočet 50 cm ornice</t>
  </si>
  <si>
    <t>C10.9</t>
  </si>
  <si>
    <t>Společná rýha se stokou C10.9, pažení v rámci stoky DV1</t>
  </si>
  <si>
    <t>Zpětný zásyp výkopkem (podle GP je písčitá zemina min. do hloubky 1,5-1,8 m, písčitá zemina se použije ke zpětnému zásypu v nezpevněných plochách)</t>
  </si>
  <si>
    <t>odpočet drnu 10 cm</t>
  </si>
  <si>
    <t>odpočet(0,1+0,5+0,3+0,1)</t>
  </si>
  <si>
    <t>Zalití rýhy cementovou suspenzí MILKMALT</t>
  </si>
  <si>
    <t>odpočet lože 10 cm+zapravení komunikace 2x5cm</t>
  </si>
  <si>
    <t>Číslo</t>
  </si>
  <si>
    <t>Text</t>
  </si>
  <si>
    <t>Výměra</t>
  </si>
  <si>
    <t>Jedn.</t>
  </si>
  <si>
    <t>položky</t>
  </si>
  <si>
    <t>800-1</t>
  </si>
  <si>
    <t>Zemní práce</t>
  </si>
  <si>
    <t>- zatravněné plochy nad stokou DV odečteno ze situace</t>
  </si>
  <si>
    <t>283+550+22+778</t>
  </si>
  <si>
    <t>Dočasné zajištění podz. vedení potrubí ocel. do DN 200</t>
  </si>
  <si>
    <t>- DV Ocel. a lit.vodovod</t>
  </si>
  <si>
    <t>5*1,1</t>
  </si>
  <si>
    <t>Dočasné zajištění beton a plast potrubí do DN 200</t>
  </si>
  <si>
    <t>- DV</t>
  </si>
  <si>
    <t>2*1,2+(5+10+14)*1,1</t>
  </si>
  <si>
    <t>- C10.9</t>
  </si>
  <si>
    <t>2*1</t>
  </si>
  <si>
    <t>Dočasné zajištění beton a plast potrubí do DN 500</t>
  </si>
  <si>
    <t>1*1,1</t>
  </si>
  <si>
    <t>- C10.9 parovod</t>
  </si>
  <si>
    <t>1*1</t>
  </si>
  <si>
    <t>Dočasné zajištění kabelů, do 3 kabelů</t>
  </si>
  <si>
    <t>(7+4+2)*1,2+6*2+2+11*1,1</t>
  </si>
  <si>
    <t>6x2m (šikmé křížení rýhy)+2m (křížení kabelu VO v kontrolní šachtě protlaku)</t>
  </si>
  <si>
    <t>- DV1</t>
  </si>
  <si>
    <t>1*2+1*2+1*3</t>
  </si>
  <si>
    <t>Příplatek k cenám za ztížení vykopávky v blízkosti podzem.vedení</t>
  </si>
  <si>
    <t>- DV                     rýha 1,2m - kabely</t>
  </si>
  <si>
    <t>(3*1,1+1,5+2,1+2,45+1,9+2,6+2,0)*1,6*1,2</t>
  </si>
  <si>
    <t xml:space="preserve">                                            - vodovod</t>
  </si>
  <si>
    <t>2,6*1,61*1,2</t>
  </si>
  <si>
    <t xml:space="preserve">                            rýha 1,1m - vodovod DN100</t>
  </si>
  <si>
    <t>1,12*1,6*1,1</t>
  </si>
  <si>
    <t xml:space="preserve">                                            - plynovod ø63</t>
  </si>
  <si>
    <t>1,07*1,57*1,1</t>
  </si>
  <si>
    <t xml:space="preserve">                                            - sítě za Š16</t>
  </si>
  <si>
    <t>4,8*2,34*1,2</t>
  </si>
  <si>
    <t xml:space="preserve">                                            - kabely</t>
  </si>
  <si>
    <t>(3*1,1*1,55+2,0*1,55+2,3*1,55)*1,1</t>
  </si>
  <si>
    <t xml:space="preserve">                                            - vodovod.přípojky </t>
  </si>
  <si>
    <t>8*1,05*1,55*1,1</t>
  </si>
  <si>
    <t xml:space="preserve">                                            - plynovodní příp.</t>
  </si>
  <si>
    <t>9*1,05*1,55*1,1</t>
  </si>
  <si>
    <t xml:space="preserve">                                            - kanaliz. přípojky </t>
  </si>
  <si>
    <t>14*1,16*1,66*1,1</t>
  </si>
  <si>
    <t>- kontrolní šachta protlaku mezi stokami C-C12</t>
  </si>
  <si>
    <t>1,7*2*4,5+1,5*1*1</t>
  </si>
  <si>
    <t>šachta v celém objemu+podkopání v případě ubourání podkladu v šířce 1m</t>
  </si>
  <si>
    <t>- DV1                    rýha 1,3m- kabely</t>
  </si>
  <si>
    <t>1,66*1,6*1,3+0,42*1,6*2+1,1*1,6*3</t>
  </si>
  <si>
    <t xml:space="preserve">                                           - protlak DN1400</t>
  </si>
  <si>
    <t>(1,9+2*0,5)*1,3*1,0</t>
  </si>
  <si>
    <t xml:space="preserve">                        - šachta SŠ23 v místě protlaku</t>
  </si>
  <si>
    <t>2,5*2,5*(0,6+0,5+0,3)</t>
  </si>
  <si>
    <t>- C10.9                  rýha 1,0m- kabely</t>
  </si>
  <si>
    <t>1,1*1,6*1,0</t>
  </si>
  <si>
    <t xml:space="preserve">                                            - parovod  </t>
  </si>
  <si>
    <t>2,33*2,0*1,0</t>
  </si>
  <si>
    <t>(1,9+2*0,5)*1*0,7</t>
  </si>
  <si>
    <t>Sejmutí ornice s přemístěním do 50m</t>
  </si>
  <si>
    <t>- retenční nádrž (odečteno ze situace)</t>
  </si>
  <si>
    <t>540*0,5</t>
  </si>
  <si>
    <t>tl. ornice převzata z HG vrtu v místě nádrže</t>
  </si>
  <si>
    <t>- pruh nad stokami DV1 a C10.9 (odečteno ze situace)</t>
  </si>
  <si>
    <t>1240*0,5</t>
  </si>
  <si>
    <t>Ornice celkem</t>
  </si>
  <si>
    <t>Hloubení jam v hor.3 přes 1000 do 10000 m3</t>
  </si>
  <si>
    <t>- retenční nádrž</t>
  </si>
  <si>
    <t>- retenční prostor se sklonem 1:1,5</t>
  </si>
  <si>
    <t>plocha dna                                178,7 m2</t>
  </si>
  <si>
    <t>plocha na hraně bermy             410,0 m2</t>
  </si>
  <si>
    <t>- prostor nad bermou</t>
  </si>
  <si>
    <t>plocha bermy      (457,5-410,0)=47,5 m2</t>
  </si>
  <si>
    <t>- prostor od bermy se sklonem 1:2</t>
  </si>
  <si>
    <t>plocha v patě sklonu 1:2</t>
  </si>
  <si>
    <t>plocha v hraně nádrže               642,4 m2</t>
  </si>
  <si>
    <t>Průměrná hloubka čistého dna po bermu</t>
  </si>
  <si>
    <t>po niveletu dna</t>
  </si>
  <si>
    <t>Průměrná hloubka nad bermou</t>
  </si>
  <si>
    <t>- objem retenčního prostoru (sklon 1:1,5)</t>
  </si>
  <si>
    <t>(178,7+410,0)/2*2,44</t>
  </si>
  <si>
    <t>- objem prostoru nad bermou</t>
  </si>
  <si>
    <t>47,5*0,94</t>
  </si>
  <si>
    <t>- objem prostoru (sklon 1:2)</t>
  </si>
  <si>
    <t>(457,5+642,4)/2*0,94</t>
  </si>
  <si>
    <t>- prohloubení (konstrukce nádrže) o 20cm</t>
  </si>
  <si>
    <t>plocha dna</t>
  </si>
  <si>
    <t>plocha ve svahu 1:1,5 (410,0-178,7)*1,172</t>
  </si>
  <si>
    <t>plocha bermy</t>
  </si>
  <si>
    <t>objem prohloubení (178,7+271,08+47,5)*0,2</t>
  </si>
  <si>
    <t>- prohloubení (konstrukce nádrže) o 10cm</t>
  </si>
  <si>
    <t>zatravněný svah (642,4-457,5)*1,118*0,10</t>
  </si>
  <si>
    <t>- odpočet sejmuté ornice</t>
  </si>
  <si>
    <t>Pol. E48</t>
  </si>
  <si>
    <t>1,118=2*0,94/2,1</t>
  </si>
  <si>
    <t>- startovací šachta v místě protlaku stoky DV km 0,440 75 včetně čerpací jímky</t>
  </si>
  <si>
    <t>6,0*3,5*(4,85-0,18)+0,5*0,5*0,8</t>
  </si>
  <si>
    <t>- startovací šachta v místě protlaku stoky DV km 0,450 15 (včetně čerpací jímky 0,x0,5x0,8)</t>
  </si>
  <si>
    <t>5*2,5*(3,7-0,18)+0,5*0,5*0,8</t>
  </si>
  <si>
    <t>- koncová šachta v místě protlaku stoky DV km 0,647 15</t>
  </si>
  <si>
    <t>5*2,5*(4,25-0,18)</t>
  </si>
  <si>
    <t>- startovací šachta v místě protlaku stoky DV1 km 0,072 00 (včetně čerpací jímky 0,5x0,5x0,8)</t>
  </si>
  <si>
    <t>7*3,5*3,5+0,5*0,5*0,8</t>
  </si>
  <si>
    <t>Hloubení rýh šířky do 200 cm v hor.3 do 10000 m3</t>
  </si>
  <si>
    <t>- výkaz kubatur (J114)</t>
  </si>
  <si>
    <t>- přípočet rozšíření u šachet</t>
  </si>
  <si>
    <t>Š02</t>
  </si>
  <si>
    <t>Š03</t>
  </si>
  <si>
    <t>Š04</t>
  </si>
  <si>
    <t>Š05</t>
  </si>
  <si>
    <t>Š06</t>
  </si>
  <si>
    <t>Š07</t>
  </si>
  <si>
    <t>Š08</t>
  </si>
  <si>
    <t>Š09</t>
  </si>
  <si>
    <t>SP10</t>
  </si>
  <si>
    <t xml:space="preserve">                                      DV šířka rýhy 1,2m</t>
  </si>
  <si>
    <t>3,5*(3,5-1,2)*2,99+2,5*(2,5-1,2)*15,1</t>
  </si>
  <si>
    <t>Š09aSP10 vyhloubeny v rámci šachet protlaku</t>
  </si>
  <si>
    <t>Š11</t>
  </si>
  <si>
    <t>Š12</t>
  </si>
  <si>
    <t>Š13</t>
  </si>
  <si>
    <t>Š14</t>
  </si>
  <si>
    <t>Š15</t>
  </si>
  <si>
    <t>Š16</t>
  </si>
  <si>
    <t>Š17</t>
  </si>
  <si>
    <t>Š18</t>
  </si>
  <si>
    <t>Š19</t>
  </si>
  <si>
    <t xml:space="preserve">                                      DV šířka rýhy 1,1m</t>
  </si>
  <si>
    <t>2,5*(2,5-1,1)*(19,74-6*0,18)</t>
  </si>
  <si>
    <t>od výšky odečtena živice 0,18 m</t>
  </si>
  <si>
    <t>Š21</t>
  </si>
  <si>
    <t>Š22</t>
  </si>
  <si>
    <t>Š23</t>
  </si>
  <si>
    <t>Š24</t>
  </si>
  <si>
    <t>Š25</t>
  </si>
  <si>
    <t>Š26</t>
  </si>
  <si>
    <t>Š27</t>
  </si>
  <si>
    <t>Š28</t>
  </si>
  <si>
    <t xml:space="preserve">                                    DV1 šířka rýhy 1,3m</t>
  </si>
  <si>
    <t>2,7*(2,7-1,3)*2,9+(2,5*(2,5-1,3)*3,11)+2,5*(0,6+0,1)*(16,67-6*0,5)</t>
  </si>
  <si>
    <t>od výšky odečtena ornice 0,5 m</t>
  </si>
  <si>
    <t>(rozšíření s ohledem na společnou rýhu)</t>
  </si>
  <si>
    <t>šachty Š22 a SŠ23 vyhloubeny v rámci protlaku</t>
  </si>
  <si>
    <t>Š001</t>
  </si>
  <si>
    <t>Š002</t>
  </si>
  <si>
    <t>Š003</t>
  </si>
  <si>
    <t>Š004</t>
  </si>
  <si>
    <t>Š005</t>
  </si>
  <si>
    <t>Š006</t>
  </si>
  <si>
    <t xml:space="preserve">                                    C10.9 šířka rýhy 1m</t>
  </si>
  <si>
    <t>2,5*(2,5-1)*2,68+2,5*0,75*(18,39-5*0,5)</t>
  </si>
  <si>
    <t>- přípočet prohloubení u šachet</t>
  </si>
  <si>
    <t>3,5*3,5*1,02+2,5*2,5*(8+6+6+6)*0,2+2,0*2,0*0,5</t>
  </si>
  <si>
    <t>- výkop v místě odběrného objektu</t>
  </si>
  <si>
    <t>3,1*3,6*(1,82+0,21)/2</t>
  </si>
  <si>
    <t>- prahu lávky</t>
  </si>
  <si>
    <t>1,7*1,1*0,8</t>
  </si>
  <si>
    <t>- výkop v místě schodů</t>
  </si>
  <si>
    <t>1,7*0,6*0,6*2</t>
  </si>
  <si>
    <t>- rýha pro čelo vyústění stoky DV</t>
  </si>
  <si>
    <t>1,6*0,7*0,3</t>
  </si>
  <si>
    <t xml:space="preserve">- koncová šachta v místě protlaku stoky DV km 0,369 00 </t>
  </si>
  <si>
    <t>2,5*2,5*3,8</t>
  </si>
  <si>
    <t>- kontrolní šachta v místě protlaku stoky DV km 0,405</t>
  </si>
  <si>
    <t>2*2*4,5</t>
  </si>
  <si>
    <t>- kontrolní šachta v místě protlaku stoky DV km 0,421</t>
  </si>
  <si>
    <t>1,7*2*5</t>
  </si>
  <si>
    <t>- šachta v místě Š11 km 0,499 75</t>
  </si>
  <si>
    <t>3*2*(3,3-0,18)</t>
  </si>
  <si>
    <t>- šachta v místě Š12 km 0,554 75</t>
  </si>
  <si>
    <t>3*2*(3,4-0,18)</t>
  </si>
  <si>
    <t>- šachta v místě Š13 km 0,609 75</t>
  </si>
  <si>
    <t>3*2*(3,6-0,18)</t>
  </si>
  <si>
    <t>- koncová šachta v místě protlaku stoky DV1 km 0,039 96</t>
  </si>
  <si>
    <t>2*2*3,4</t>
  </si>
  <si>
    <t>Zřízení pažení a rozepření rýh zátažné do hloubky 2 m</t>
  </si>
  <si>
    <t>- výkaz kubatur (F109)</t>
  </si>
  <si>
    <t>Pažení a rozepření stěn rýh - zátažné - hl. do 4m</t>
  </si>
  <si>
    <t>- výkaz kubatur (G109)</t>
  </si>
  <si>
    <t>Pažení stěn výkopu zátažné hl. do 4 m</t>
  </si>
  <si>
    <t>- startovací šachta v místě protlaku stoky DV km 0,450 15</t>
  </si>
  <si>
    <t>(5+2,5)*2*(3,7-0,18)</t>
  </si>
  <si>
    <t>řízený protlak</t>
  </si>
  <si>
    <t>(5+2,5)*2*(4,23-0,18)</t>
  </si>
  <si>
    <t>- odlehčovací šachta v místě protlaku stoky DV km 0,499 75</t>
  </si>
  <si>
    <t>(3+2)*2*3,3</t>
  </si>
  <si>
    <t>- odlehčovací šachta v místě protlaku stoky DV km 0,554 75</t>
  </si>
  <si>
    <t>(3+2)*2*3,4</t>
  </si>
  <si>
    <t>- odlehčovací šachta v místě protlaku stoky DV km 0,609 75</t>
  </si>
  <si>
    <t>(3+2)*2*3,6</t>
  </si>
  <si>
    <t>- startovací šachta v místě protlaku stoky DV1 km 0,073 30</t>
  </si>
  <si>
    <t>(7+3,5)*2*3,5</t>
  </si>
  <si>
    <t>(2,5+2,5)*2*(4,1-0,1)</t>
  </si>
  <si>
    <t>Rozepření stěn pažení zátažné hl. do 4 m</t>
  </si>
  <si>
    <t>2*2*3,8</t>
  </si>
  <si>
    <t>(7*3,5)*3,5</t>
  </si>
  <si>
    <t>Rozepření stěn pažení zátažné hl. do 8 m</t>
  </si>
  <si>
    <t>- startovací šachta v místě protlaku stoky DV km 0,440 75</t>
  </si>
  <si>
    <t>6*3,5*(4,85-0,18)</t>
  </si>
  <si>
    <t>Pažení stěn výkopu zátažné hl. do 8 m</t>
  </si>
  <si>
    <t>2*4*(4,6-0,1)</t>
  </si>
  <si>
    <t>- kontrolní šachta v místě protlaku stoky DV km 0,420 53</t>
  </si>
  <si>
    <t>(1,7+2+1,7)*5+2*3,5</t>
  </si>
  <si>
    <t>(6+3,5)*2*4,85</t>
  </si>
  <si>
    <t>Svislé přemístění výkopku z hor. 1-4 do 2.5 m</t>
  </si>
  <si>
    <t>- výkaz kubatur (I109)</t>
  </si>
  <si>
    <t>Š10</t>
  </si>
  <si>
    <t>2,5*(2,5-1,2)*12,37</t>
  </si>
  <si>
    <t>(2,5*2,5*6)*0,2</t>
  </si>
  <si>
    <t>dle přílohy č.7/2 nad 100m3 50%</t>
  </si>
  <si>
    <t>Svislé přemístění výkopku z hor.1 až 4 přes 2,5 m do 4 m</t>
  </si>
  <si>
    <t>Rýha</t>
  </si>
  <si>
    <t>- výkaz kubatur (J109)</t>
  </si>
  <si>
    <t>2,9*(2,9-1,2)*2,99+2,5*(2,5-1,2)*10,42</t>
  </si>
  <si>
    <t>Š20</t>
  </si>
  <si>
    <t>2,5*(2,5-1,1)*33,12</t>
  </si>
  <si>
    <t>Š29</t>
  </si>
  <si>
    <t>2,7*(2,7-1,3)*2,9+2,5*(2,5-1,3)*19,85</t>
  </si>
  <si>
    <t>2,5*(2,5-1)*12,61</t>
  </si>
  <si>
    <t>(2,7*2,7*0,4)+(2,5*2,5*(3+10+6+4))*0,2</t>
  </si>
  <si>
    <t>dle přílohy č.7/2 nad 100m3     55%</t>
  </si>
  <si>
    <t>Jáma</t>
  </si>
  <si>
    <t>- jáma pro RN</t>
  </si>
  <si>
    <t>Pol. E70</t>
  </si>
  <si>
    <t>dle přílohy č.7/1 nad 1000m3     7%</t>
  </si>
  <si>
    <t>8*3,5*3,8</t>
  </si>
  <si>
    <t>dle přílohy č.7/2 do 100m3     100%</t>
  </si>
  <si>
    <t>Svislé přemístění výkopku z hor.1 až 4 přes 4m do 6m</t>
  </si>
  <si>
    <t>- výkaz kubatur (K109)</t>
  </si>
  <si>
    <t>2,5*(2,5-1,2)*4,08</t>
  </si>
  <si>
    <t>2,5*(2,5-1,3)*8,88</t>
  </si>
  <si>
    <t>2,5*(2,5-1)*8,46</t>
  </si>
  <si>
    <t>(2,5*2,5*(1+2+2))*0,2</t>
  </si>
  <si>
    <t>dle přílohy č.7/2 nad 100m3 60%</t>
  </si>
  <si>
    <t>Vodorovné přemístění výkopku z hor.1-4 do 2000 m</t>
  </si>
  <si>
    <t>- přemístění ornice na meziskládku</t>
  </si>
  <si>
    <t>Pol. E50</t>
  </si>
  <si>
    <t>- přemístění ornice na plochu po oddrnování tl.0,1m</t>
  </si>
  <si>
    <t>Pol. E7 *0,1</t>
  </si>
  <si>
    <t>- jáma RN</t>
  </si>
  <si>
    <t>- zapažená jáma</t>
  </si>
  <si>
    <t>Pol. E76</t>
  </si>
  <si>
    <t>- rýhy pro kanalizaci</t>
  </si>
  <si>
    <t>- hloubení šachet</t>
  </si>
  <si>
    <t>Pol. E104</t>
  </si>
  <si>
    <t>- zemina pro zpětný zásyp stok</t>
  </si>
  <si>
    <t>výkaz kubatur K164</t>
  </si>
  <si>
    <t>- výkop v místě vyústění stoky DV</t>
  </si>
  <si>
    <t>((2+1,37)*11+2*(11-2,14))*0,35+1,6*(0,79*0,35+2,33*(0,35+1,35)/2)</t>
  </si>
  <si>
    <t>- zemina z protlaku pod silnicí</t>
  </si>
  <si>
    <t>3,14*0,53*0,53/4*70</t>
  </si>
  <si>
    <t>- zemina z protlaku pod dráhou</t>
  </si>
  <si>
    <t>3,14*0,92*0,92/4*32</t>
  </si>
  <si>
    <t>Nakládání výkopku z hor. 1-4 nad 100 m3</t>
  </si>
  <si>
    <t>Pol. E206</t>
  </si>
  <si>
    <t>Pol. E211</t>
  </si>
  <si>
    <t>Zásyp sypaninou se zhutněním</t>
  </si>
  <si>
    <t xml:space="preserve">- výkaz výměr       </t>
  </si>
  <si>
    <t>- prostor po vybourané vodárenské šachtě</t>
  </si>
  <si>
    <t>(1,4*1,7*(0,25+1,95+0,6))</t>
  </si>
  <si>
    <t>- prostor po vybouraném sklepu zahr.domku</t>
  </si>
  <si>
    <t>(4,1*3,1*1,3+(4,1*3+2,5+2,7)*0,4*0,6)</t>
  </si>
  <si>
    <t>Odpočet obsypu potrubí včetně konstrukcí</t>
  </si>
  <si>
    <t>Odpočet zalití cementovou suspenzí vč.konstrukcí</t>
  </si>
  <si>
    <t>Odpočet těsnících jader</t>
  </si>
  <si>
    <t>Odpočet ornice</t>
  </si>
  <si>
    <t>195*2,3*0,3</t>
  </si>
  <si>
    <t>Odpočet objektů (nad obsypem)</t>
  </si>
  <si>
    <t>- DV DN 500(hl.-lože,obsyp,ornice 0,1+0,5+0,3+0,1)</t>
  </si>
  <si>
    <t>konstrukce komunikace 0,4m</t>
  </si>
  <si>
    <t>- DV DN 400(hl.-lože,obsyp,zpev pl.0,1+0,4+0,3+0,4)</t>
  </si>
  <si>
    <t>- D1 DN 600(hl.-lože,obsyp,ornice 0,1+0,6+0,3+0,3)</t>
  </si>
  <si>
    <t>- C10.9 DN 300 (hl-lože,obsyp,or. 0,1+0,3+0,3+0,3)</t>
  </si>
  <si>
    <t>Odpočet konstrukce vozovky</t>
  </si>
  <si>
    <t>Zásyp celkem</t>
  </si>
  <si>
    <t>Zřízení těsnícího jádra, š.vrsty do 1 m</t>
  </si>
  <si>
    <t xml:space="preserve">Obsyp potrubí bez prohození </t>
  </si>
  <si>
    <t>- obsyp na výšku 0,3m nad potrubí</t>
  </si>
  <si>
    <t>- C10.9 délka - výkop pro šachty (2,5m)        DN300</t>
  </si>
  <si>
    <t>((220,30-(0,65+6,5*2,5))*(0,315+0,3)*1</t>
  </si>
  <si>
    <t>- DV délka - výkop pro šachty (2,5m)-protlak DN400</t>
  </si>
  <si>
    <t>(479,53-(192+4,7+5+6,5*2,5))*(0,4+0,3)*1,1</t>
  </si>
  <si>
    <t>- DV délka - šachty (2,5m) -protlak               DN500</t>
  </si>
  <si>
    <t>(444,75-(70,5+8*2,5+3,5+4))*(0,5+0,3)*1,2</t>
  </si>
  <si>
    <t>- DV1 délka - šachty -protlak                         DN600</t>
  </si>
  <si>
    <t>(265,00-(32+2+6*2,5+8))*(0,6+0,3)*1,3</t>
  </si>
  <si>
    <t>- obsyp v místě rozšíření výkopu pro šachty</t>
  </si>
  <si>
    <t>- C10.9               DN300</t>
  </si>
  <si>
    <t>(2,5*1,25*(0,2+0,315+0,3)*6)</t>
  </si>
  <si>
    <t>přípočet prohloubení u šachet 0,2 m</t>
  </si>
  <si>
    <t>- DV                    DN400</t>
  </si>
  <si>
    <t>2,5*2,5*(0,2+0,4+0,3)*6</t>
  </si>
  <si>
    <t>- DV                    DN500</t>
  </si>
  <si>
    <t>3,5*3,5*(0,9+0,5+0,3)+2,5*2,5*(0,2+0,5+0,3)*8</t>
  </si>
  <si>
    <t>přípočet prohloubení u měrné šachty 0,9</t>
  </si>
  <si>
    <t>- DV1                  DN600</t>
  </si>
  <si>
    <t>2,0*2,0*(0,3+0,6+0,3)+2,5*2,5*(0,2+0,6+0,3)*6+8*3,5*(0,3+0,6+0,3)</t>
  </si>
  <si>
    <t>- obsyp v místě koncové šachty řízeného protlaku</t>
  </si>
  <si>
    <t>5*2,5*(0,4+0,3)</t>
  </si>
  <si>
    <t>- odpočet potrubí</t>
  </si>
  <si>
    <t>(220,30-6,5*1,3)*3,14*0,315*0,315/4</t>
  </si>
  <si>
    <t>(479,53-(192+4,7+5+6,5*1,3))*3,14*0,4*0,4/4</t>
  </si>
  <si>
    <t>(444,75-70,5-8*1,3-2,3)*3,14*0,5*0,5/4</t>
  </si>
  <si>
    <t>(265,00-30,5-1,5-7*1,3)*3,14*0,6*0,6/4</t>
  </si>
  <si>
    <t>- odpočet šachet</t>
  </si>
  <si>
    <t>3,14*1,3*1,3/4*6*(0,2+0,315+0,3)</t>
  </si>
  <si>
    <t>(3,14*1,3*1,3/4*6*(0,2+0,4+0,3)</t>
  </si>
  <si>
    <t>(3,14*2,3*2,3/4)*(0,9+,5+0,3)+3,14*1,3*1,3/4*7*(0,2+0,5+0,3)</t>
  </si>
  <si>
    <t>3,14*1,5*1,5/4+3,14*1,3*1,3/4*7*(0,2+0,6+0,3)</t>
  </si>
  <si>
    <t>Odpočet konstrukcí součet</t>
  </si>
  <si>
    <t>Obsyp potrubí celkem</t>
  </si>
  <si>
    <t>R1</t>
  </si>
  <si>
    <t>Zalití výkopu cementovou suspenzí (MILKMALT)</t>
  </si>
  <si>
    <t>2,5*2,5*(3,8-1-0,21)</t>
  </si>
  <si>
    <t>odpočet zásypu zeminou 1 m a lože pod šachtou 0,21 m</t>
  </si>
  <si>
    <t>2*2*(4,5-1)</t>
  </si>
  <si>
    <t>1,7*2*(5-1)</t>
  </si>
  <si>
    <t>6*3,5*(4,85-(0,1+0,35))-1,95*1,5*0,35</t>
  </si>
  <si>
    <t>0,1 m zapravení asfaltem, 0,35 m konstrukce protlaku -podbetonování šachty (1,95*1,5*0,35)</t>
  </si>
  <si>
    <t>5*2,5*(3,7-0,1)</t>
  </si>
  <si>
    <t>3*2*(3,3-0,1)</t>
  </si>
  <si>
    <t>3*2*(3,4-0,1)</t>
  </si>
  <si>
    <t>3*2*(3,6-0,1)</t>
  </si>
  <si>
    <t>- rýha mezi startovacími šachtami stoky DV</t>
  </si>
  <si>
    <t>Výkaz kubatur J170</t>
  </si>
  <si>
    <t>Odpočet konstrukcí:</t>
  </si>
  <si>
    <t>- potrubí DN 400</t>
  </si>
  <si>
    <t>3,14*0,4*0,4/4*((3-1,3)*3+4,7)</t>
  </si>
  <si>
    <t>- potrubí DN 500</t>
  </si>
  <si>
    <t>3,14*0,53*0,53/4*(2,5-1,3+2+1,7+4,7-1,3)</t>
  </si>
  <si>
    <t>- šachty Š09</t>
  </si>
  <si>
    <t>3,14*1,3*1,3/4*(3,8-1-0,21)</t>
  </si>
  <si>
    <t>- šachty Š10</t>
  </si>
  <si>
    <t>3,14*1,3*1,3/4*(4,18-0,1)</t>
  </si>
  <si>
    <t>- šachty Š11</t>
  </si>
  <si>
    <t>3,14*1,3*1,3/4*(3,3-0,1)</t>
  </si>
  <si>
    <t>- šachty Š12</t>
  </si>
  <si>
    <t>3,14*1,3*1,3/4*(3,4-0,1)</t>
  </si>
  <si>
    <t>- šachty Š13</t>
  </si>
  <si>
    <t>3,14*1,3*1,3/4*(3,6-0,1)</t>
  </si>
  <si>
    <t>Materiál</t>
  </si>
  <si>
    <t>ZAPA MILKMALT</t>
  </si>
  <si>
    <t>Kč/m3</t>
  </si>
  <si>
    <t>- doprava na stavbu a zpět do 10 km</t>
  </si>
  <si>
    <t>Rozprostření a urovnání ornice v ploše přes 500m2, tl.vrsty do 300 mm</t>
  </si>
  <si>
    <t>Poplatek za skládku horniny 1-4</t>
  </si>
  <si>
    <t>- hloubení nezapažených jam</t>
  </si>
  <si>
    <t>- hloubení zapažených jam</t>
  </si>
  <si>
    <t>- hloubení rýh</t>
  </si>
  <si>
    <t>- odpočet zeminy ke zpětnému zásypu stok</t>
  </si>
  <si>
    <t>827-1</t>
  </si>
  <si>
    <t>Vedení trubní</t>
  </si>
  <si>
    <t>Lože pod potrubí a drobné objekty</t>
  </si>
  <si>
    <t xml:space="preserve">- lože pod potrubí </t>
  </si>
  <si>
    <t>DN 300 ((220,30-(0,65+5,5*2,5))*0,1*1</t>
  </si>
  <si>
    <t>DN 400 (479,53-(192+5+6,5*2,5+3*3))*0,1*1,1</t>
  </si>
  <si>
    <t>DN 500 (444,75-(70,5+8,5*2,5+3,5))*0,1*1,2</t>
  </si>
  <si>
    <t>DN 600 (265,00-(30,5+7,5*2,5+2,0))*0,1*1,3</t>
  </si>
  <si>
    <t>- lože v místě šachet</t>
  </si>
  <si>
    <t>- DV koncová šachta protlaku 0,369 00</t>
  </si>
  <si>
    <t>(2,5*2,5*0,21)</t>
  </si>
  <si>
    <t>- DV startovací šachta protlaku 0,445 75</t>
  </si>
  <si>
    <t>6*3,5*0,15</t>
  </si>
  <si>
    <t>lože pod podkladní desku</t>
  </si>
  <si>
    <t xml:space="preserve">                 - lože podél desky</t>
  </si>
  <si>
    <t>(2*6+2,5)*0,5*0,2</t>
  </si>
  <si>
    <t>dosypání krajů podél desky pro odvodnění jámy</t>
  </si>
  <si>
    <t>- DV startovací jáma řízeného protlaku</t>
  </si>
  <si>
    <t>zalito MILKMALT</t>
  </si>
  <si>
    <t>- DV koncová jáma řízeného protlaku</t>
  </si>
  <si>
    <t>5*2,5*0,88</t>
  </si>
  <si>
    <t>- DV1 koncová šachta protlaku 0,039 96</t>
  </si>
  <si>
    <t>(2*2*0,34)</t>
  </si>
  <si>
    <t>- DV1 startovací šachta protlaku 0,072 03</t>
  </si>
  <si>
    <t>7*3,5*0,15</t>
  </si>
  <si>
    <t>lože pod panely</t>
  </si>
  <si>
    <t xml:space="preserve">                 - lože podél panelů</t>
  </si>
  <si>
    <t>(2*7*0,25+3*0,8)*0,2</t>
  </si>
  <si>
    <t>dosypání krajů podél panelů pro odvodnění jámy</t>
  </si>
  <si>
    <t>Desky podkladní pod potrubí z betonu C16/20</t>
  </si>
  <si>
    <t>- podkladní bet desky pod šachty</t>
  </si>
  <si>
    <t>(1,5*1,5*6*0,1)</t>
  </si>
  <si>
    <t>(1,5*1,5*9*0,1)</t>
  </si>
  <si>
    <t>(2,9*2,9*0,15+1,5*1,5*8*0,1)</t>
  </si>
  <si>
    <t>(1,7*1,7*0,1+1,5*1,5*7*0,1)</t>
  </si>
  <si>
    <t>- přelivný a výpustný objekt</t>
  </si>
  <si>
    <t>(2,2*2,7*0,15)</t>
  </si>
  <si>
    <t>- deska ve startovací jámě protlaku DV</t>
  </si>
  <si>
    <t>(5,3*2,5*0,2)</t>
  </si>
  <si>
    <t>- deska pod šachtou SP10</t>
  </si>
  <si>
    <t>(2*1,5*0,25)</t>
  </si>
  <si>
    <t>Sedlové lože pod potrubí z betonu C16/20</t>
  </si>
  <si>
    <t>- obetonování potrubí stoky DV u vyústění</t>
  </si>
  <si>
    <t>plocha x délka (0,324*4,7)</t>
  </si>
  <si>
    <t>- obetonování potrubí stoky DV1 u vyústění do RN</t>
  </si>
  <si>
    <t>plocha x délka (1,43-3,14*0,63*0,63/4)*2,13</t>
  </si>
  <si>
    <t>Bloky pod potrubí z betonu C20/25</t>
  </si>
  <si>
    <t>- podkladní blok pod lávku u RN</t>
  </si>
  <si>
    <t>(0,5*0,8-0,15*0,18)*1,03</t>
  </si>
  <si>
    <t>(1,5*4*0,1*6)</t>
  </si>
  <si>
    <t>(1,5*4*0,1*9)</t>
  </si>
  <si>
    <t>(2,9*4*0,15+1,5*4*0,1*9)</t>
  </si>
  <si>
    <t>(1,7*4*0,1+1,5*4*0,1*7)</t>
  </si>
  <si>
    <t>(0,625*2*4,7)</t>
  </si>
  <si>
    <t>(1,2*2*2,15+1,2*1,2)</t>
  </si>
  <si>
    <t>(0,8+0,62+0,18)*1,03+(0,5*0,8-0,15*0,18)*2</t>
  </si>
  <si>
    <t>(5,3*2+2,5)*0,2</t>
  </si>
  <si>
    <t>(2*2+1,5)*0,25</t>
  </si>
  <si>
    <t>Výztuž podkladních desek z betonářské oceli 10216€</t>
  </si>
  <si>
    <t>- měrná šachta</t>
  </si>
  <si>
    <t>2,5*2,5*2*4,44</t>
  </si>
  <si>
    <t>Vyspravení podkladu po překopech ka.hrubě drceným</t>
  </si>
  <si>
    <t xml:space="preserve">Stoka DV-šířka rýhy 1,2 m </t>
  </si>
  <si>
    <t>(26,6+18,4+22,0+2,6+3,4+2,2)*1,2*0,3*1,93 t/m3</t>
  </si>
  <si>
    <t>Stoka DV-šířka rýhy 1,1 m</t>
  </si>
  <si>
    <t>(4,3+15,8+7,3+48,5+48,5+54+69,7+2,6)*1,1*0,3*1,93</t>
  </si>
  <si>
    <t xml:space="preserve">Stoka C10.9-šířka rýhy 1,0 m </t>
  </si>
  <si>
    <t>(21,5*1*0,3*1,93)</t>
  </si>
  <si>
    <t xml:space="preserve">V místě šachet                  </t>
  </si>
  <si>
    <t>(2,5*2,5*7)*0,3*1,93</t>
  </si>
  <si>
    <t>odpočet šachet v místě řízeného protlaku, které budou zality MILKMALTem</t>
  </si>
  <si>
    <t>Stoka DV-šířka rýhy 1,2 m</t>
  </si>
  <si>
    <t>(26,6+18,4+22,0)*1,2*0,05*2,32 t/m3</t>
  </si>
  <si>
    <t>(4,3+15,8+7,3+48,5+48,5+54+69,7+2,6)*1,1*0,05*2,32</t>
  </si>
  <si>
    <t>(21,5*1+1,4*0,5)*0,05*2,32</t>
  </si>
  <si>
    <t>(2,5*2,5*7)*0,05*2,32</t>
  </si>
  <si>
    <t xml:space="preserve">V místě šachet protlaku </t>
  </si>
  <si>
    <t>(6*3,5+5*2,5+3*2*3+5*2,5)*0,05*2,32</t>
  </si>
  <si>
    <t>Vyspravení krytu po překopech asf.betonem do 5 cm</t>
  </si>
  <si>
    <t>(26,6+18,4+22,0+2,6+3,4+2,2)*1,2</t>
  </si>
  <si>
    <t>Stoka DV mimo frézovaný úsek</t>
  </si>
  <si>
    <t>(4,3+15,8+7,3+69,9+2,6)*1,1</t>
  </si>
  <si>
    <t>Stoka DV,frézovaný úsek Partyzánské - zapravení rýhy v rozp.VaKu (odečtena ze situace)</t>
  </si>
  <si>
    <t>(645,25-171,38)</t>
  </si>
  <si>
    <t>Stoka C10.9-šířka rýhy 1,0 m</t>
  </si>
  <si>
    <t>(21,5*1)</t>
  </si>
  <si>
    <t xml:space="preserve">V místě šachet   14,15,19 a 002      </t>
  </si>
  <si>
    <t>(2,5*2,5*4)</t>
  </si>
  <si>
    <t>(6*3,5+5*2,5+3*2*3+5*2,5)</t>
  </si>
  <si>
    <t>Osazení silničních panelů do lože z kameniva tl. 4 cm</t>
  </si>
  <si>
    <t>- provizorní komunikace pro pojezd vozidel v nezpevněných plochách (odečteno ze situace, šířka 3 m) :</t>
  </si>
  <si>
    <t>- stoka DV plocha P1</t>
  </si>
  <si>
    <t>- stoka DV plocha P2</t>
  </si>
  <si>
    <t>- stoka DV plocha P3</t>
  </si>
  <si>
    <t>- stoka DV1 plocha P4</t>
  </si>
  <si>
    <t>- stoka DV plocha P5 (vjezd k RN, šířka 25 m)</t>
  </si>
  <si>
    <t>- plocha pro uložení protláčecího zařízení</t>
  </si>
  <si>
    <t>- startovací šachta protlaku na stoce DV</t>
  </si>
  <si>
    <t>3*2</t>
  </si>
  <si>
    <t>opěrná stěna(panel 2x3)</t>
  </si>
  <si>
    <t>- startovací šachta protlaku na stoce DV1</t>
  </si>
  <si>
    <t>6*3+3*2</t>
  </si>
  <si>
    <t>dno + opěrná stěna(panel 2x3)</t>
  </si>
  <si>
    <t>min.1m na obě strany od osy kanalizace+3m pro  uložení panelů pro pojezd</t>
  </si>
  <si>
    <t>26.07.2020</t>
  </si>
  <si>
    <t>Ing. Petr Nykodým, Zikova 2103/2, 628 00 Brno, +420 605 918 344</t>
  </si>
  <si>
    <t>30*(2,8+2*2)/10000</t>
  </si>
  <si>
    <t>- plocha u vyústění stoky DV a vinice    200+618</t>
  </si>
  <si>
    <t>- objem pařezů stanoven orientačně podle programu ASPOT 0,58*19+0,96*7+1,56*4+2,11*1</t>
  </si>
  <si>
    <t>Výměry (E7)</t>
  </si>
  <si>
    <t>zahrada na Výhonu a RN (16+3)</t>
  </si>
  <si>
    <t>zahrada na Výhonu a RN  (3+4+3)</t>
  </si>
  <si>
    <t>topol na Okružní, zahrada</t>
  </si>
  <si>
    <t>Pol.5</t>
  </si>
  <si>
    <t>Pol.6</t>
  </si>
  <si>
    <t>Pol.7</t>
  </si>
  <si>
    <t>rozebrání chodníku v místě vjezdu k RN v šířce 25 m (25*2)</t>
  </si>
  <si>
    <t>Stoka DV-šířka rýhy 1,2 m (26,6+18,4+22,0+2,6+3,4+2,2)*1,2</t>
  </si>
  <si>
    <t>Stoka DV-šířka rýhy 1,1 m-frézovaný úsek Partyzánské (4,3+16,8+7,3+69,7+2,6)*1,1</t>
  </si>
  <si>
    <t>V místě šachet                  (2,5*2,5*4)</t>
  </si>
  <si>
    <t>V místě šachet protlaku (6*3,5+5*2,5+3*2*3+5*2,5)</t>
  </si>
  <si>
    <t>odečteno ze situace</t>
  </si>
  <si>
    <t>Stoka C10.9-šířka rýhy 1,0 m (11,4*1+10,1*0,5)</t>
  </si>
  <si>
    <t>Pol.12 - asf.chodník (2,6+3,4+2,2)*1,2</t>
  </si>
  <si>
    <t>obrubníky v místě bourání komun.+ 25m u RN (8*2+25)</t>
  </si>
  <si>
    <t>obrubníky v místě chod. + 25 m u RN (6*2+25)</t>
  </si>
  <si>
    <t>bourání přídlažby kom. - dvouřádek   (1,5*2*2)</t>
  </si>
  <si>
    <t xml:space="preserve">                                  - jednořádek  (1,5*2*3)</t>
  </si>
  <si>
    <t>Výměry (E10)</t>
  </si>
  <si>
    <t>Výměry (E15)</t>
  </si>
  <si>
    <t>Výměry (E20)</t>
  </si>
  <si>
    <t>Výměry (E26)</t>
  </si>
  <si>
    <t>Výměry (E45)</t>
  </si>
  <si>
    <t>Bourání podkladu stoky DN800 (1,5*1*0,2)</t>
  </si>
  <si>
    <t>Bourání základů zahradního domku (4,1*3+2,5+2,7)*0,4*0,6</t>
  </si>
  <si>
    <t>Bouráni vodárenské šachty v trase výkopu:</t>
  </si>
  <si>
    <t>(1,4*1,7*0,25+(1,2+1,4)*2*1,95*0,25+(1,4*1,7-0,6*0,6)*0,2+(1*1-0,6*0,6)*0,4)</t>
  </si>
  <si>
    <t>Výměry (E50)</t>
  </si>
  <si>
    <t>Výkopy v Očovském Járku:</t>
  </si>
  <si>
    <t>Bourání zahrad.domku ((4,1+2,5)*2*(0,6+0,55))*0,3</t>
  </si>
  <si>
    <t>Výměry (E70)</t>
  </si>
  <si>
    <t>Výměry (E77)</t>
  </si>
  <si>
    <t>Výměry (E94)</t>
  </si>
  <si>
    <t>Výměry (E104)</t>
  </si>
  <si>
    <t>Řízený protlak DN400 (192+2*0,5)</t>
  </si>
  <si>
    <t>Protlak sklolaminátového potrubí pod komunikací č.432</t>
  </si>
  <si>
    <t>Protlak ocelové chráničky pod tratí</t>
  </si>
  <si>
    <t>Výměry (E120)</t>
  </si>
  <si>
    <t>Výměry (E107)</t>
  </si>
  <si>
    <t>Výměry (E110)</t>
  </si>
  <si>
    <t>Výměry (E141)</t>
  </si>
  <si>
    <t>Výměry (E129)</t>
  </si>
  <si>
    <t>Výměry (E135)</t>
  </si>
  <si>
    <t>Výměry (E149)</t>
  </si>
  <si>
    <t>Výměry (E177)</t>
  </si>
  <si>
    <t>Výměry (E198)</t>
  </si>
  <si>
    <t>Pol. 26+27</t>
  </si>
  <si>
    <t>Pol.2</t>
  </si>
  <si>
    <t>Výměry (E203)</t>
  </si>
  <si>
    <t>Pol.57</t>
  </si>
  <si>
    <t>Výplach z řízeného protlaku (3,14*0,4*0,4/4*192*3)</t>
  </si>
  <si>
    <t>Výměry (E215)</t>
  </si>
  <si>
    <t>Pol.4</t>
  </si>
  <si>
    <t>Pol.4*0,1</t>
  </si>
  <si>
    <t>Ohrázkování v místě vyústění stoky DV: (1,88*1*2)</t>
  </si>
  <si>
    <t>- těsnící plomby v rýze na Výhoně, v místě šachet na stoce DV1, hloubka 1,0 m pod terén (šířka rýhy 2,3 m</t>
  </si>
  <si>
    <t>(2,3*1*P249)</t>
  </si>
  <si>
    <t>Pol. E77+E94+E104</t>
  </si>
  <si>
    <t>Pol. E263</t>
  </si>
  <si>
    <t>Pol. E287</t>
  </si>
  <si>
    <t>Pol. E249</t>
  </si>
  <si>
    <t>(3,14*2,3*2,3/4*2,13+3,14*1,3*1,3/4*P235)</t>
  </si>
  <si>
    <t>(3,14*1,3*1,3/4*P237)</t>
  </si>
  <si>
    <t>(3,14*1,5*1,5/4*(2,9-0,1-0,6-0,3)+3,14*1,3*1,3/4*P239)</t>
  </si>
  <si>
    <t>(3,14*1,3*1,3/4*M241)</t>
  </si>
  <si>
    <t>(26,6+18,4+22,0+2,6+3,4+2,2)*1,2*0,3</t>
  </si>
  <si>
    <t>(4,3+15,8+7,3+48,5+48,5+54+69,7+2,6)*1,1*0,3</t>
  </si>
  <si>
    <t>(21,5*1*0,3)</t>
  </si>
  <si>
    <t>Výměry (E247)</t>
  </si>
  <si>
    <t>Odpočet celkem</t>
  </si>
  <si>
    <t>Výměry (E250)</t>
  </si>
  <si>
    <t>Výměry (E223)</t>
  </si>
  <si>
    <t>Výměry (E276)</t>
  </si>
  <si>
    <t>RN svah 1:2 : (80,99+94,74)/2*2,326</t>
  </si>
  <si>
    <t>Pol.E49/0,5</t>
  </si>
  <si>
    <t>Výměry (E304)</t>
  </si>
  <si>
    <t>Pol.81</t>
  </si>
  <si>
    <t>Náhradní výsadba za stromy u RN</t>
  </si>
  <si>
    <t>Ochrana 12-ti stromů do výšky 2m: 0,5*4*2*12</t>
  </si>
  <si>
    <t>Pol.28-Pol.83*0,3-Pol.4*0,1-Pol.84*0,1</t>
  </si>
  <si>
    <t>1240*0,3+204,37*0,1</t>
  </si>
  <si>
    <t>- zpětné přemístění ornice(mimo plochy po oddrnování u stoky DV)</t>
  </si>
  <si>
    <t>- zpětné přemístění ornice na Výhon, tl. vrstvy 0,3m a na ohumusování RN</t>
  </si>
  <si>
    <t>Pol. E94</t>
  </si>
  <si>
    <t>Výměry (E316)</t>
  </si>
  <si>
    <t>Pol.70*1,2</t>
  </si>
  <si>
    <t>Drenáž v šachtách protlaků: (6+3,5)*2+(7+3,5)*2</t>
  </si>
  <si>
    <t>Chránička protlaku pod tratí</t>
  </si>
  <si>
    <t>Kotvení stožáru u měrné šachty: 0,4*0,4*0,6</t>
  </si>
  <si>
    <t>Chránička pod tratí: (3,14*0,886*0,886/4-3,14*0,63*0,63/4)*32</t>
  </si>
  <si>
    <t>Stožár pro solární panel</t>
  </si>
  <si>
    <t>Česle RN</t>
  </si>
  <si>
    <t>Česle RN + plech pro uzavření zrušené chráničky: 99,88+15</t>
  </si>
  <si>
    <t>Délka schodiště z výkresu</t>
  </si>
  <si>
    <t>Podklad pod dlažbu z lom.kamene u vyústění stoky DV: (2+1,37+2)*(5+6)</t>
  </si>
  <si>
    <t>Zpev.plocha u měrné šachty - krajní řada: (2,8*2,4)-(3,14*0,85*0,85/4+0,62*0,25)</t>
  </si>
  <si>
    <t>Svahy koryta Očovského járku: (2+2)*11</t>
  </si>
  <si>
    <t>Dlažba RN: dno + berma (178,7+47,5)</t>
  </si>
  <si>
    <t xml:space="preserve">-svahy 1:1,5 střední obvod*délka svahu (77,22+53,45)/2*4,38 </t>
  </si>
  <si>
    <t>Výměry (E335)</t>
  </si>
  <si>
    <t>Seznam šachet: (4+11+15+19)</t>
  </si>
  <si>
    <t>Seznam šachet: (11)</t>
  </si>
  <si>
    <t>Výměry (E346)</t>
  </si>
  <si>
    <t>Výměry (E351)</t>
  </si>
  <si>
    <t>Výměry (E354)</t>
  </si>
  <si>
    <t>Výměry (E367)</t>
  </si>
  <si>
    <t>Výměry (E370)</t>
  </si>
  <si>
    <t>Pol.103*2</t>
  </si>
  <si>
    <t>Pol.103</t>
  </si>
  <si>
    <t>Výměry (E377)</t>
  </si>
  <si>
    <t>Výměry (E385)</t>
  </si>
  <si>
    <t>Výměry (E394)</t>
  </si>
  <si>
    <t>Pol.116</t>
  </si>
  <si>
    <t>Výměry (E406)</t>
  </si>
  <si>
    <t>Pol.101</t>
  </si>
  <si>
    <t>Pol.100</t>
  </si>
  <si>
    <t>Oprava chodníku u RN. (25*2)</t>
  </si>
  <si>
    <t>Bourání podlah v zahradním domku: (4,1*3,1+3,5*2,5+3*2)</t>
  </si>
  <si>
    <t>Těsnění potrubí v měrné šachtě a při napojení stoky C10.9: (3,14*0,58*2+3,14*0,35)</t>
  </si>
  <si>
    <t>RN: dno + berma (178,7+47,5)</t>
  </si>
  <si>
    <t>RN: svahy sklon 1:1,5 ((77,22+53,45)/2*4,38 )</t>
  </si>
  <si>
    <t>Vyústění stoky DV1</t>
  </si>
  <si>
    <t>Izolace odběrného objektu: (2,3+2,4)*2</t>
  </si>
  <si>
    <t>Demontáž šoupátka DN300 v rušené šachtě</t>
  </si>
  <si>
    <t>Demontáž podesty u zahradního domku</t>
  </si>
  <si>
    <t>Zrušení stáv.potrubí u vodovod.šachty</t>
  </si>
  <si>
    <t>Zrušení chráničky u vodovod.šachty</t>
  </si>
  <si>
    <t>Demontáž oplocení parc.1862/3 na začátku a na konci</t>
  </si>
  <si>
    <t>Demontáž vrat v oplocení parc.1862/3 u střední cesty</t>
  </si>
  <si>
    <t>Demontáž vrat v oplocení parc.1862/3 u trati</t>
  </si>
  <si>
    <t>Převedení malých průtoků u spádišť</t>
  </si>
  <si>
    <t>Stoka C10.9: (220,30-6*1)</t>
  </si>
  <si>
    <t>RN, bezpečnostní přepad</t>
  </si>
  <si>
    <t>Stoka DV: (479,53-6,5*1-192)</t>
  </si>
  <si>
    <t>Stoka DV: (444,75-9,5*1-70)</t>
  </si>
  <si>
    <t>Stoka DV1: (265,0-7,5*1)</t>
  </si>
  <si>
    <t>Spádiště, převedení malých průtoků</t>
  </si>
  <si>
    <t>Spádiště SP18 a SP005</t>
  </si>
  <si>
    <t>Dopojení šachet</t>
  </si>
  <si>
    <t>Kolena u přepadu a zátka u SP18</t>
  </si>
  <si>
    <t>Odbočka k přelivu a u SP10</t>
  </si>
  <si>
    <t>Propojení šachet na protlaku(3*2)+dopojení 7-mi šachet</t>
  </si>
  <si>
    <t>Redukce u přelivu+zátka u SŠ23</t>
  </si>
  <si>
    <t xml:space="preserve"> Dopojení šachet Š11, Š12, Š13</t>
  </si>
  <si>
    <t>Dopojení šachet Š2-Š9</t>
  </si>
  <si>
    <t>Koncová klapka z PVC s připojovacím KG hrdlem DN500</t>
  </si>
  <si>
    <t>Dopojení šachet na stoce DV1</t>
  </si>
  <si>
    <t>Zátka hrdla Š28</t>
  </si>
  <si>
    <t>Vyústění stoky DV: (1,6*1,6*0,3+0,35*0,79*2+(0,35+1,24)/2*(2,9+1,75)</t>
  </si>
  <si>
    <t>Přelivný a výpustný objekt: (2,4+1,4)*2*3,18*0,25+2,4*1,9*0,25-(0,6*(0,35+0,3)+3,14*3,14*0,4/4)*0,2</t>
  </si>
  <si>
    <t>Skruže 100/25, 100/50</t>
  </si>
  <si>
    <t>Skruže 100/100, 200/50, 120-100/25</t>
  </si>
  <si>
    <t>Šachtová dna do 2 t:</t>
  </si>
  <si>
    <t>Šachtová dna do 3 t+deska 200/20+skruž 200/100</t>
  </si>
  <si>
    <t>Šachtová dna do 5 t</t>
  </si>
  <si>
    <t>Šachtová dna 100/1266, 200/175</t>
  </si>
  <si>
    <t>Výustní objekt stoky DV: (1,6*1,6*2)+1,6*0,3*2+(1,24+0,38)/2*(3,8+3,5+2,7+2,4)</t>
  </si>
  <si>
    <t>Přelivný a výpustný objekt: (2,4*2+1,9*2)*3,43+(1,9*2+1,4*2)*3,18</t>
  </si>
  <si>
    <t>Příloha D.2.b.10</t>
  </si>
  <si>
    <t>Poklop tř. A : 7+1+5+4</t>
  </si>
  <si>
    <t>Poklop tř.B: 1+2</t>
  </si>
  <si>
    <t>Poklop tř.D: 10+1+2</t>
  </si>
  <si>
    <t>Měrná šachta + přelivný objekt: (13+10)</t>
  </si>
  <si>
    <t>Česlicová stěna</t>
  </si>
  <si>
    <t>Zrušení stávajícího protlaku u vodovodní šachty</t>
  </si>
  <si>
    <t>Bourání zahrad.domku: (2+2+3,2)*6,5</t>
  </si>
  <si>
    <t>Dle poptávky</t>
  </si>
  <si>
    <t>Demontáž poklopu rušené vodovodní šachty</t>
  </si>
  <si>
    <t>Výměry (E298)</t>
  </si>
  <si>
    <t>Odláždění poklopů ve volném terénu, vnitřní řada: (3,14*(0,7+2*0,1)*(8+8+5))</t>
  </si>
  <si>
    <t>Odláždění poklopů ve volném terénu, vnější řada: 3,14*(0,9+2*0,1)*(8+8+5)</t>
  </si>
  <si>
    <t>Okraj dlážděné plochy u měrné šachty: 2*2,05+(3-0,1*2)</t>
  </si>
  <si>
    <t>Vybouraná přídlažba z kostek: (1,5*2*2+1,5*2+1,5*2*2)</t>
  </si>
  <si>
    <t>Vortexový regulátor průtoku vody 200l/s V2UH20025</t>
  </si>
  <si>
    <t>Poklop měrné šachty, cena dle nabídky</t>
  </si>
  <si>
    <t>Pol.17</t>
  </si>
  <si>
    <t>Pol.15</t>
  </si>
  <si>
    <t>Odečteno ze situace</t>
  </si>
  <si>
    <t>Zemina + bentonit</t>
  </si>
  <si>
    <t>Upevnění přepadu v RN</t>
  </si>
  <si>
    <t>Kotvení vírového regulátoru</t>
  </si>
  <si>
    <t>Kotvení přepadu RN</t>
  </si>
  <si>
    <t>Bourání zahradního domku: (4,1*2+2,5*2)*1*0,3+(4,1*3+(2,5+2,75)*2)*0,25*2,53</t>
  </si>
  <si>
    <t>Bourání zahrad.domku: (4,1*4+3,1*2+3*2+2*2*3+(3,2+1)*3)*0,15*0,15</t>
  </si>
  <si>
    <t>Bourání zahrad.domku: (3,5*2,5)</t>
  </si>
  <si>
    <t>(9*4+5+8*4)</t>
  </si>
  <si>
    <t>(52,5*4+31+49*3+48)</t>
  </si>
  <si>
    <t>(10+8)</t>
  </si>
  <si>
    <t>(1*1*2)</t>
  </si>
  <si>
    <t>(0,8*2*2)</t>
  </si>
  <si>
    <t>Prostup chríničky měrnou šachtou</t>
  </si>
  <si>
    <t>Napojení stoky C10.9 do stávající šachty</t>
  </si>
  <si>
    <t>Zahradní domek</t>
  </si>
  <si>
    <t>Vybouraná přídlažba komunikace: (15*0,1)</t>
  </si>
  <si>
    <t>Vybouraný chodník v místě vjezdu do RN: (25*2)</t>
  </si>
  <si>
    <t>Stožár solár.panelu u měrné šachty</t>
  </si>
  <si>
    <t>Pilíř akumulátoru u měrné šachty</t>
  </si>
  <si>
    <t>Chránička kabelu u měrné šachty</t>
  </si>
  <si>
    <t>Nasunutí potrubí do chráničky protlaku pod tratí</t>
  </si>
  <si>
    <t>Přesun vybourané dlažební kostky a zám.dl. na mezidep.: (Pol.204+205)*0,222</t>
  </si>
  <si>
    <t>Odvoz na mezidep. a zpět vzdál.do 4 km: (Pol.213*3*2)</t>
  </si>
  <si>
    <t>Vybourané asfaltové vrstvy: (33,232+83,589+70,978)</t>
  </si>
  <si>
    <t>Vybourané betony:</t>
  </si>
  <si>
    <t>Přesun vybouraného železa do sběru na Pánově</t>
  </si>
  <si>
    <t>Překládání panelů na provizorní vozovky: (76,558*5)</t>
  </si>
  <si>
    <t>Stavební suť: (33,109+2,441+0,682)</t>
  </si>
  <si>
    <t>Zdivo a strop ze zahrad.domku: (33,109+2,441)</t>
  </si>
  <si>
    <t>Obrubníky, beton.sloupky, beton základ. (15,695+10,35+3,343)</t>
  </si>
  <si>
    <t>Vybouraná vodovodní šachta: (Pol.27*2,5)</t>
  </si>
  <si>
    <t>Vybouraný krov zahrad.domku</t>
  </si>
  <si>
    <t>Stožár solárního panelu</t>
  </si>
  <si>
    <t>Plech na zaslepení stáv.zrušené chráničky</t>
  </si>
  <si>
    <t>Těsnící fólie RN</t>
  </si>
  <si>
    <t>(Pol.78+79)*1,67*1,2*1,05</t>
  </si>
  <si>
    <t>Odláždění poklopů:(59,346+72,53)*0,1*1,02</t>
  </si>
  <si>
    <t>Dlážděná plocha u měrné šachty: (3,2*2,5-1,1*1,1+0,62*0,25)*1,02</t>
  </si>
  <si>
    <t>Převod na tuny. 5 m2=1t</t>
  </si>
  <si>
    <t>Pol.17*1,01</t>
  </si>
  <si>
    <t>Pol.15*1,01</t>
  </si>
  <si>
    <t>Měrná šachta</t>
  </si>
  <si>
    <t>Spádištní šachty: (1,54+1,4+1,3)</t>
  </si>
  <si>
    <t>Spádištní šachty: (1,26+1,15+1,1)</t>
  </si>
  <si>
    <t>Spádiště</t>
  </si>
  <si>
    <t>Dno+svahy+berma: (178,7+(77,22+53,45)/2*4,4+47,5)*1,01</t>
  </si>
  <si>
    <t>Provizorní obslužná komunikace v nezpe.plochách</t>
  </si>
  <si>
    <t>Opěrný panel ve startovacích šachtách</t>
  </si>
  <si>
    <t>Pol.305*1,2</t>
  </si>
  <si>
    <t xml:space="preserve">       zavázání fólie do rostlé zeminy:obvod*0,5: (80,99*0,5) </t>
  </si>
  <si>
    <t>Uzavření bočního přítoku v šachtě SŠ23</t>
  </si>
  <si>
    <t>Uzavření přítoku do SP18 ze strany spádiště a přítoku do Š006</t>
  </si>
  <si>
    <t>Uzavření přítoku do Š28</t>
  </si>
  <si>
    <t>Město Hodonín, Masarykovo nám. 53/1, 695 01 Hodonín</t>
  </si>
  <si>
    <t>313</t>
  </si>
  <si>
    <t>292005503VD</t>
  </si>
  <si>
    <t>Trubka sklolaminátová SN200000 D550-3000 včetně spojky</t>
  </si>
  <si>
    <t>Dopojení protlaku do šachty SP10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</si>
  <si>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</si>
  <si>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</si>
  <si>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</si>
  <si>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</si>
  <si>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</si>
  <si>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</si>
  <si>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</si>
  <si>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</si>
  <si>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</si>
  <si>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</si>
  <si>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</si>
  <si>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</si>
  <si>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</si>
  <si>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</si>
  <si>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</si>
  <si>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</si>
  <si>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</si>
  <si>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</si>
  <si>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</si>
  <si>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</si>
  <si>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</si>
  <si>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</si>
  <si>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</si>
  <si>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</si>
  <si>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</si>
  <si>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</si>
  <si>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</si>
  <si>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</si>
  <si>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</si>
  <si>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</si>
  <si>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</si>
  <si>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</si>
  <si>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</si>
  <si>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</si>
  <si>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</si>
  <si>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</si>
  <si>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</si>
  <si>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</si>
  <si>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</si>
  <si>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</si>
  <si>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</si>
  <si>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</si>
  <si>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</si>
  <si>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VEDLEJŠÍ A OSTATNÍ NÁKLADY NEUVEDENÉ V ROZPOČTECH STAVEBNÍCH OBJEKTŮ</t>
  </si>
  <si>
    <t>Stavba:</t>
  </si>
  <si>
    <t>Hodonín, dešťová stoka z lokality Výhon do Očovského Járku</t>
  </si>
  <si>
    <t>Stavební objekt</t>
  </si>
  <si>
    <t>Investor:</t>
  </si>
  <si>
    <t>Město Hodonín, Masarykovo nám. 53/1, 695 35  Hodonín</t>
  </si>
  <si>
    <t>Vypracoval:</t>
  </si>
  <si>
    <t>Ing. Petr Nykodým</t>
  </si>
  <si>
    <t>07/2020</t>
  </si>
  <si>
    <r>
      <rPr>
        <b/>
        <sz val="9"/>
        <color indexed="8"/>
        <rFont val="Calibri"/>
        <family val="2"/>
      </rPr>
      <t>Vedlejší náklady</t>
    </r>
    <r>
      <rPr>
        <sz val="9"/>
        <color indexed="8"/>
        <rFont val="Calibri"/>
        <family val="2"/>
      </rPr>
      <t xml:space="preserve">
(1) Vedlejšími náklady jsou náklady nezbytné pro zhotovení stavby, společné pro celou stavbu, nezahrnuté v položkových soupisech stavebních objektů, inženýrských objektů, nebo provozních souborů.
(2) Předmětem vedlejších nákladů jsou zejména požadavky související s vybudováním, provozem a likvidací zařízení staveniště, ztížené výrobní podmínky související s umístěním stavby, provozními nebo dopravními omezeními, pokud jsou zadavatelem požadovány, případně pokud vyplývají z příslušné dokumentace.</t>
    </r>
  </si>
  <si>
    <r>
      <rPr>
        <b/>
        <sz val="9"/>
        <color indexed="8"/>
        <rFont val="Calibri"/>
        <family val="2"/>
      </rPr>
      <t>Ostatní náklady</t>
    </r>
    <r>
      <rPr>
        <sz val="9"/>
        <color indexed="8"/>
        <rFont val="Calibri"/>
        <family val="2"/>
      </rPr>
      <t xml:space="preserve">
(1) Ostatními náklady jsou náklady spojené s plněním povinností dodavatele vyplývající z jiných podmínek zadávací dokumentace, neuvedené v položkových soupisech stavebních objektů, inženýrských objektů, nebo provozních souborů ani v soupisu vedlejších nákladů.
(2) Ostatními náklady jsou zejména náklady na vyhotovení dokumentace skutečného provedení stavby, náklady na geodetické zaměření dokončeného díla, náklady spojené s podmínkami pro publicitu projektu.</t>
    </r>
  </si>
  <si>
    <t>Položka</t>
  </si>
  <si>
    <t>Popis položky</t>
  </si>
  <si>
    <t>Cena Kč</t>
  </si>
  <si>
    <t>Zařízení staveniště (oplocení, zábrany, lávky, přemostění, skladovací plochy a objekty, mobilní buňky apod.) vč. spotřeby energií a likvidace odpadu</t>
  </si>
  <si>
    <t xml:space="preserve">Vytýčení stávajících sítí, návrh, projednání a realizace dopravního značení, poplatky za zábor, zvláštní užívání komunikací,   apod. </t>
  </si>
  <si>
    <t>Vytyčení stavby</t>
  </si>
  <si>
    <t>Archeologický průzkum a s ním související náklady</t>
  </si>
  <si>
    <t>Komplexní zkoušky (průkazné zkoušky kvality při provádění díla)</t>
  </si>
  <si>
    <t>Dokumentace skutečného provedení stavby</t>
  </si>
  <si>
    <t>Náklady na dočasné dopravní značení, poplatky za zábor veř. prostranství apod.</t>
  </si>
  <si>
    <t>Geodetické zaměření dokončeného díla</t>
  </si>
  <si>
    <t>Geometrický plán pro zřízení věcného břemene</t>
  </si>
  <si>
    <t>Dozor hydrogeologa</t>
  </si>
  <si>
    <t>Měření poklesu kolejí v místě protlaku pod tratí Břeclav-Přerov</t>
  </si>
  <si>
    <t>Finanční náhrada za zřízení služebnosti v rámci SŽDC</t>
  </si>
  <si>
    <t>VEDLEJŠÍ A OSTATNÍ NÁKLADY CELKEM ( bez DPH):</t>
  </si>
  <si>
    <t>DPH 21%:</t>
  </si>
  <si>
    <t>VEDLEJŠÍ A OSTATNÍ NÁKLADY CELKEM ( s DPH 21%):</t>
  </si>
  <si>
    <t>Ing. Petr Nykodým, Zikova 2103/2, 628 00 Brno</t>
  </si>
  <si>
    <t>IČ CZ480519402 DIČ:11518821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</si>
</sst>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0.00000"/>
    <numFmt numFmtId="167" formatCode="0.000"/>
    <numFmt numFmtId="168" formatCode="0.0000"/>
    <numFmt numFmtId="169" formatCode="#,##0.0000"/>
    <numFmt numFmtId="170" formatCode="#,##0.000"/>
    <numFmt numFmtId="171" formatCode="#,##0.00\ &quot;Kč&quot;"/>
    <numFmt numFmtId="172" formatCode="#,##0\ _K_č"/>
  </numFmts>
  <fonts count="70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sz val="10"/>
      <color theme="7" tint="-0.24997000396251678"/>
      <name val="Arial"/>
      <family val="2"/>
    </font>
    <font>
      <sz val="10"/>
      <color theme="5" tint="-0.24997000396251678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59996342659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medium"/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medium"/>
      <top style="medium"/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medium"/>
      <top style="thin">
        <color theme="0" tint="-0.24993999302387238"/>
      </top>
      <bottom style="medium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9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2" fillId="0" borderId="0">
      <alignment vertical="top"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 applyAlignment="0">
      <protection locked="0"/>
    </xf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61">
    <xf numFmtId="0" fontId="1" fillId="0" borderId="0" xfId="0" applyFont="1" applyAlignment="1">
      <alignment vertical="center"/>
    </xf>
    <xf numFmtId="0" fontId="35" fillId="0" borderId="10" xfId="0" applyNumberFormat="1" applyFont="1" applyFill="1" applyBorder="1" applyAlignment="1" applyProtection="1">
      <alignment horizontal="left" vertical="center"/>
      <protection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49" fontId="35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" fontId="1" fillId="0" borderId="26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49" fontId="16" fillId="0" borderId="30" xfId="36" applyNumberFormat="1" applyFont="1" applyBorder="1" applyAlignment="1">
      <alignment horizontal="center"/>
      <protection/>
    </xf>
    <xf numFmtId="0" fontId="9" fillId="0" borderId="30" xfId="36" applyFont="1" applyBorder="1">
      <alignment/>
      <protection/>
    </xf>
    <xf numFmtId="0" fontId="29" fillId="0" borderId="0" xfId="0" applyFont="1" applyAlignment="1">
      <alignment/>
    </xf>
    <xf numFmtId="166" fontId="9" fillId="0" borderId="30" xfId="36" applyNumberFormat="1" applyFont="1" applyBorder="1">
      <alignment/>
      <protection/>
    </xf>
    <xf numFmtId="2" fontId="9" fillId="0" borderId="30" xfId="36" applyNumberFormat="1" applyFont="1" applyBorder="1">
      <alignment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Alignment="1">
      <alignment vertical="center"/>
    </xf>
    <xf numFmtId="2" fontId="61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/>
    </xf>
    <xf numFmtId="2" fontId="9" fillId="0" borderId="31" xfId="36" applyNumberFormat="1" applyFont="1" applyBorder="1">
      <alignment/>
      <protection/>
    </xf>
    <xf numFmtId="2" fontId="9" fillId="0" borderId="32" xfId="36" applyNumberFormat="1" applyFont="1" applyBorder="1">
      <alignment/>
      <protection/>
    </xf>
    <xf numFmtId="2" fontId="56" fillId="0" borderId="32" xfId="36" applyNumberFormat="1" applyFont="1" applyBorder="1">
      <alignment/>
      <protection/>
    </xf>
    <xf numFmtId="2" fontId="9" fillId="0" borderId="33" xfId="36" applyNumberFormat="1" applyFont="1" applyBorder="1">
      <alignment/>
      <protection/>
    </xf>
    <xf numFmtId="2" fontId="9" fillId="0" borderId="0" xfId="36" applyNumberFormat="1" applyFont="1" applyBorder="1">
      <alignment/>
      <protection/>
    </xf>
    <xf numFmtId="166" fontId="16" fillId="0" borderId="30" xfId="36" applyNumberFormat="1" applyFont="1" applyBorder="1">
      <alignment/>
      <protection/>
    </xf>
    <xf numFmtId="2" fontId="16" fillId="0" borderId="30" xfId="36" applyNumberFormat="1" applyFont="1" applyBorder="1">
      <alignment/>
      <protection/>
    </xf>
    <xf numFmtId="166" fontId="16" fillId="0" borderId="30" xfId="36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29" fillId="0" borderId="30" xfId="0" applyFont="1" applyBorder="1" applyAlignment="1">
      <alignment/>
    </xf>
    <xf numFmtId="0" fontId="10" fillId="0" borderId="34" xfId="0" applyNumberFormat="1" applyFont="1" applyFill="1" applyBorder="1" applyAlignment="1" applyProtection="1">
      <alignment horizontal="left" vertical="center"/>
      <protection/>
    </xf>
    <xf numFmtId="0" fontId="11" fillId="0" borderId="3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 wrapText="1"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 wrapText="1"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1" fillId="0" borderId="0" xfId="0" applyFont="1" applyAlignment="1">
      <alignment horizontal="center" vertical="center"/>
    </xf>
    <xf numFmtId="2" fontId="61" fillId="0" borderId="0" xfId="36" applyNumberFormat="1" applyFont="1" applyBorder="1" applyAlignment="1">
      <alignment horizontal="center"/>
      <protection/>
    </xf>
    <xf numFmtId="2" fontId="56" fillId="0" borderId="0" xfId="36" applyNumberFormat="1" applyFont="1" applyBorder="1" applyAlignment="1">
      <alignment horizontal="center"/>
      <protection/>
    </xf>
    <xf numFmtId="2" fontId="1" fillId="0" borderId="0" xfId="36" applyNumberFormat="1" applyFont="1" applyBorder="1" applyAlignment="1">
      <alignment horizontal="center" vertical="center"/>
      <protection/>
    </xf>
    <xf numFmtId="2" fontId="9" fillId="0" borderId="0" xfId="36" applyNumberFormat="1" applyFont="1" applyBorder="1" applyAlignment="1">
      <alignment horizontal="center" vertical="center"/>
      <protection/>
    </xf>
    <xf numFmtId="0" fontId="6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2" fontId="1" fillId="0" borderId="0" xfId="36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2" fontId="29" fillId="0" borderId="0" xfId="36" applyNumberFormat="1" applyFont="1" applyBorder="1" applyAlignment="1">
      <alignment horizontal="center"/>
      <protection/>
    </xf>
    <xf numFmtId="0" fontId="1" fillId="0" borderId="0" xfId="0" applyFont="1" applyBorder="1" applyAlignment="1">
      <alignment vertical="center"/>
    </xf>
    <xf numFmtId="49" fontId="0" fillId="0" borderId="45" xfId="0" applyNumberFormat="1" applyFont="1" applyFill="1" applyBorder="1" applyAlignment="1" applyProtection="1">
      <alignment horizontal="left" vertical="center"/>
      <protection/>
    </xf>
    <xf numFmtId="49" fontId="0" fillId="0" borderId="45" xfId="0" applyNumberFormat="1" applyFont="1" applyFill="1" applyBorder="1" applyAlignment="1" applyProtection="1">
      <alignment horizontal="left" vertical="center" wrapText="1"/>
      <protection/>
    </xf>
    <xf numFmtId="0" fontId="1" fillId="0" borderId="0" xfId="36" applyFont="1" applyBorder="1" applyAlignment="1">
      <alignment vertical="center"/>
      <protection/>
    </xf>
    <xf numFmtId="49" fontId="0" fillId="0" borderId="40" xfId="0" applyNumberFormat="1" applyFont="1" applyBorder="1" applyAlignment="1">
      <alignment vertical="center"/>
    </xf>
    <xf numFmtId="2" fontId="1" fillId="0" borderId="0" xfId="36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2" fontId="61" fillId="0" borderId="0" xfId="36" applyNumberFormat="1" applyFont="1" applyBorder="1" applyAlignment="1">
      <alignment horizontal="center" vertical="center"/>
      <protection/>
    </xf>
    <xf numFmtId="2" fontId="3" fillId="0" borderId="0" xfId="36" applyNumberFormat="1" applyFont="1" applyBorder="1" applyAlignment="1">
      <alignment vertical="center"/>
      <protection/>
    </xf>
    <xf numFmtId="2" fontId="0" fillId="0" borderId="0" xfId="0" applyNumberFormat="1" applyFont="1" applyBorder="1" applyAlignment="1">
      <alignment vertical="center"/>
    </xf>
    <xf numFmtId="2" fontId="0" fillId="0" borderId="0" xfId="36" applyNumberFormat="1" applyFont="1" applyBorder="1" applyAlignment="1">
      <alignment horizontal="center" vertical="center"/>
      <protection/>
    </xf>
    <xf numFmtId="2" fontId="0" fillId="0" borderId="0" xfId="0" applyNumberFormat="1" applyFont="1" applyBorder="1" applyAlignment="1">
      <alignment horizontal="center" vertical="center"/>
    </xf>
    <xf numFmtId="49" fontId="62" fillId="0" borderId="45" xfId="0" applyNumberFormat="1" applyFont="1" applyFill="1" applyBorder="1" applyAlignment="1" applyProtection="1">
      <alignment horizontal="left" vertical="center" wrapText="1"/>
      <protection/>
    </xf>
    <xf numFmtId="49" fontId="62" fillId="0" borderId="45" xfId="0" applyNumberFormat="1" applyFont="1" applyFill="1" applyBorder="1" applyAlignment="1" applyProtection="1">
      <alignment horizontal="center" vertical="center"/>
      <protection/>
    </xf>
    <xf numFmtId="4" fontId="62" fillId="0" borderId="45" xfId="0" applyNumberFormat="1" applyFont="1" applyFill="1" applyBorder="1" applyAlignment="1" applyProtection="1">
      <alignment horizontal="right" vertical="center"/>
      <protection/>
    </xf>
    <xf numFmtId="49" fontId="62" fillId="0" borderId="45" xfId="0" applyNumberFormat="1" applyFont="1" applyFill="1" applyBorder="1" applyAlignment="1" applyProtection="1">
      <alignment horizontal="left" vertical="center"/>
      <protection/>
    </xf>
    <xf numFmtId="49" fontId="4" fillId="33" borderId="46" xfId="0" applyNumberFormat="1" applyFont="1" applyFill="1" applyBorder="1" applyAlignment="1" applyProtection="1">
      <alignment horizontal="left" vertical="center"/>
      <protection/>
    </xf>
    <xf numFmtId="49" fontId="8" fillId="33" borderId="47" xfId="0" applyNumberFormat="1" applyFont="1" applyFill="1" applyBorder="1" applyAlignment="1" applyProtection="1">
      <alignment horizontal="left" vertical="center"/>
      <protection/>
    </xf>
    <xf numFmtId="49" fontId="4" fillId="33" borderId="47" xfId="0" applyNumberFormat="1" applyFont="1" applyFill="1" applyBorder="1" applyAlignment="1" applyProtection="1">
      <alignment horizontal="left" vertical="center"/>
      <protection/>
    </xf>
    <xf numFmtId="4" fontId="8" fillId="33" borderId="47" xfId="0" applyNumberFormat="1" applyFont="1" applyFill="1" applyBorder="1" applyAlignment="1" applyProtection="1">
      <alignment horizontal="righ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49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45" xfId="0" applyNumberFormat="1" applyFont="1" applyFill="1" applyBorder="1" applyAlignment="1" applyProtection="1">
      <alignment horizontal="left" vertical="center" wrapText="1"/>
      <protection/>
    </xf>
    <xf numFmtId="4" fontId="5" fillId="0" borderId="45" xfId="0" applyNumberFormat="1" applyFont="1" applyFill="1" applyBorder="1" applyAlignment="1" applyProtection="1">
      <alignment horizontal="right" vertical="center"/>
      <protection/>
    </xf>
    <xf numFmtId="49" fontId="4" fillId="33" borderId="48" xfId="0" applyNumberFormat="1" applyFont="1" applyFill="1" applyBorder="1" applyAlignment="1" applyProtection="1">
      <alignment horizontal="left" vertical="center"/>
      <protection/>
    </xf>
    <xf numFmtId="49" fontId="8" fillId="33" borderId="45" xfId="0" applyNumberFormat="1" applyFont="1" applyFill="1" applyBorder="1" applyAlignment="1" applyProtection="1">
      <alignment horizontal="left" vertical="center"/>
      <protection/>
    </xf>
    <xf numFmtId="49" fontId="8" fillId="33" borderId="45" xfId="0" applyNumberFormat="1" applyFont="1" applyFill="1" applyBorder="1" applyAlignment="1" applyProtection="1">
      <alignment horizontal="left" vertical="center" wrapText="1"/>
      <protection/>
    </xf>
    <xf numFmtId="49" fontId="4" fillId="33" borderId="45" xfId="0" applyNumberFormat="1" applyFont="1" applyFill="1" applyBorder="1" applyAlignment="1" applyProtection="1">
      <alignment horizontal="left" vertical="center"/>
      <protection/>
    </xf>
    <xf numFmtId="4" fontId="8" fillId="33" borderId="45" xfId="0" applyNumberFormat="1" applyFont="1" applyFill="1" applyBorder="1" applyAlignment="1" applyProtection="1">
      <alignment horizontal="right" vertical="center"/>
      <protection/>
    </xf>
    <xf numFmtId="49" fontId="5" fillId="34" borderId="48" xfId="0" applyNumberFormat="1" applyFont="1" applyFill="1" applyBorder="1" applyAlignment="1" applyProtection="1">
      <alignment horizontal="left" vertical="center"/>
      <protection/>
    </xf>
    <xf numFmtId="49" fontId="5" fillId="34" borderId="45" xfId="0" applyNumberFormat="1" applyFont="1" applyFill="1" applyBorder="1" applyAlignment="1" applyProtection="1">
      <alignment horizontal="left" vertical="center"/>
      <protection/>
    </xf>
    <xf numFmtId="49" fontId="5" fillId="34" borderId="45" xfId="0" applyNumberFormat="1" applyFont="1" applyFill="1" applyBorder="1" applyAlignment="1" applyProtection="1">
      <alignment horizontal="left" vertical="center" wrapText="1"/>
      <protection/>
    </xf>
    <xf numFmtId="4" fontId="5" fillId="34" borderId="45" xfId="0" applyNumberFormat="1" applyFont="1" applyFill="1" applyBorder="1" applyAlignment="1" applyProtection="1">
      <alignment horizontal="right" vertical="center"/>
      <protection/>
    </xf>
    <xf numFmtId="49" fontId="62" fillId="34" borderId="45" xfId="0" applyNumberFormat="1" applyFont="1" applyFill="1" applyBorder="1" applyAlignment="1" applyProtection="1">
      <alignment horizontal="left" vertical="center" wrapText="1"/>
      <protection/>
    </xf>
    <xf numFmtId="4" fontId="62" fillId="34" borderId="45" xfId="0" applyNumberFormat="1" applyFont="1" applyFill="1" applyBorder="1" applyAlignment="1" applyProtection="1">
      <alignment horizontal="right" vertical="center"/>
      <protection/>
    </xf>
    <xf numFmtId="49" fontId="62" fillId="0" borderId="45" xfId="0" applyNumberFormat="1" applyFont="1" applyFill="1" applyBorder="1" applyAlignment="1" applyProtection="1">
      <alignment horizontal="left" vertical="top" wrapText="1"/>
      <protection/>
    </xf>
    <xf numFmtId="49" fontId="6" fillId="0" borderId="48" xfId="0" applyNumberFormat="1" applyFont="1" applyFill="1" applyBorder="1" applyAlignment="1" applyProtection="1">
      <alignment horizontal="left" vertical="center"/>
      <protection/>
    </xf>
    <xf numFmtId="49" fontId="6" fillId="0" borderId="45" xfId="0" applyNumberFormat="1" applyFont="1" applyFill="1" applyBorder="1" applyAlignment="1" applyProtection="1">
      <alignment horizontal="left" vertical="center"/>
      <protection/>
    </xf>
    <xf numFmtId="49" fontId="6" fillId="0" borderId="45" xfId="0" applyNumberFormat="1" applyFont="1" applyFill="1" applyBorder="1" applyAlignment="1" applyProtection="1">
      <alignment horizontal="left" vertical="center" wrapText="1"/>
      <protection/>
    </xf>
    <xf numFmtId="4" fontId="6" fillId="0" borderId="45" xfId="0" applyNumberFormat="1" applyFont="1" applyFill="1" applyBorder="1" applyAlignment="1" applyProtection="1">
      <alignment horizontal="right" vertical="center"/>
      <protection/>
    </xf>
    <xf numFmtId="49" fontId="5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50" xfId="0" applyNumberFormat="1" applyFont="1" applyFill="1" applyBorder="1" applyAlignment="1" applyProtection="1">
      <alignment horizontal="left" vertical="center" wrapText="1"/>
      <protection/>
    </xf>
    <xf numFmtId="4" fontId="5" fillId="0" borderId="50" xfId="0" applyNumberFormat="1" applyFont="1" applyFill="1" applyBorder="1" applyAlignment="1" applyProtection="1">
      <alignment horizontal="right" vertical="center"/>
      <protection/>
    </xf>
    <xf numFmtId="49" fontId="4" fillId="33" borderId="51" xfId="0" applyNumberFormat="1" applyFont="1" applyFill="1" applyBorder="1" applyAlignment="1" applyProtection="1">
      <alignment horizontal="left" vertical="center"/>
      <protection/>
    </xf>
    <xf numFmtId="4" fontId="5" fillId="0" borderId="52" xfId="0" applyNumberFormat="1" applyFont="1" applyFill="1" applyBorder="1" applyAlignment="1" applyProtection="1">
      <alignment horizontal="right" vertical="center"/>
      <protection/>
    </xf>
    <xf numFmtId="49" fontId="4" fillId="33" borderId="52" xfId="0" applyNumberFormat="1" applyFont="1" applyFill="1" applyBorder="1" applyAlignment="1" applyProtection="1">
      <alignment horizontal="left" vertical="center"/>
      <protection/>
    </xf>
    <xf numFmtId="4" fontId="5" fillId="34" borderId="52" xfId="0" applyNumberFormat="1" applyFont="1" applyFill="1" applyBorder="1" applyAlignment="1" applyProtection="1">
      <alignment horizontal="right" vertical="center"/>
      <protection/>
    </xf>
    <xf numFmtId="4" fontId="6" fillId="0" borderId="52" xfId="0" applyNumberFormat="1" applyFont="1" applyFill="1" applyBorder="1" applyAlignment="1" applyProtection="1">
      <alignment horizontal="right" vertical="center"/>
      <protection/>
    </xf>
    <xf numFmtId="4" fontId="5" fillId="0" borderId="53" xfId="0" applyNumberFormat="1" applyFont="1" applyFill="1" applyBorder="1" applyAlignment="1" applyProtection="1">
      <alignment horizontal="right" vertical="center"/>
      <protection/>
    </xf>
    <xf numFmtId="4" fontId="8" fillId="33" borderId="46" xfId="0" applyNumberFormat="1" applyFont="1" applyFill="1" applyBorder="1" applyAlignment="1" applyProtection="1">
      <alignment horizontal="right" vertical="center"/>
      <protection/>
    </xf>
    <xf numFmtId="4" fontId="8" fillId="33" borderId="54" xfId="0" applyNumberFormat="1" applyFont="1" applyFill="1" applyBorder="1" applyAlignment="1" applyProtection="1">
      <alignment horizontal="right" vertical="center"/>
      <protection/>
    </xf>
    <xf numFmtId="4" fontId="5" fillId="0" borderId="48" xfId="0" applyNumberFormat="1" applyFont="1" applyFill="1" applyBorder="1" applyAlignment="1" applyProtection="1">
      <alignment horizontal="right" vertical="center"/>
      <protection/>
    </xf>
    <xf numFmtId="4" fontId="5" fillId="0" borderId="55" xfId="0" applyNumberFormat="1" applyFont="1" applyFill="1" applyBorder="1" applyAlignment="1" applyProtection="1">
      <alignment horizontal="right" vertical="center"/>
      <protection/>
    </xf>
    <xf numFmtId="4" fontId="8" fillId="33" borderId="48" xfId="0" applyNumberFormat="1" applyFont="1" applyFill="1" applyBorder="1" applyAlignment="1" applyProtection="1">
      <alignment horizontal="right" vertical="center"/>
      <protection/>
    </xf>
    <xf numFmtId="4" fontId="8" fillId="33" borderId="55" xfId="0" applyNumberFormat="1" applyFont="1" applyFill="1" applyBorder="1" applyAlignment="1" applyProtection="1">
      <alignment horizontal="right" vertical="center"/>
      <protection/>
    </xf>
    <xf numFmtId="4" fontId="5" fillId="34" borderId="48" xfId="0" applyNumberFormat="1" applyFont="1" applyFill="1" applyBorder="1" applyAlignment="1" applyProtection="1">
      <alignment horizontal="right" vertical="center"/>
      <protection/>
    </xf>
    <xf numFmtId="4" fontId="5" fillId="34" borderId="55" xfId="0" applyNumberFormat="1" applyFont="1" applyFill="1" applyBorder="1" applyAlignment="1" applyProtection="1">
      <alignment horizontal="right" vertical="center"/>
      <protection/>
    </xf>
    <xf numFmtId="4" fontId="6" fillId="0" borderId="48" xfId="0" applyNumberFormat="1" applyFont="1" applyFill="1" applyBorder="1" applyAlignment="1" applyProtection="1">
      <alignment horizontal="right" vertical="center"/>
      <protection/>
    </xf>
    <xf numFmtId="4" fontId="6" fillId="0" borderId="55" xfId="0" applyNumberFormat="1" applyFont="1" applyFill="1" applyBorder="1" applyAlignment="1" applyProtection="1">
      <alignment horizontal="right" vertical="center"/>
      <protection/>
    </xf>
    <xf numFmtId="4" fontId="5" fillId="0" borderId="49" xfId="0" applyNumberFormat="1" applyFont="1" applyFill="1" applyBorder="1" applyAlignment="1" applyProtection="1">
      <alignment horizontal="right" vertical="center"/>
      <protection/>
    </xf>
    <xf numFmtId="4" fontId="5" fillId="0" borderId="56" xfId="0" applyNumberFormat="1" applyFont="1" applyFill="1" applyBorder="1" applyAlignment="1" applyProtection="1">
      <alignment horizontal="right" vertical="center"/>
      <protection/>
    </xf>
    <xf numFmtId="49" fontId="8" fillId="33" borderId="57" xfId="0" applyNumberFormat="1" applyFont="1" applyFill="1" applyBorder="1" applyAlignment="1" applyProtection="1">
      <alignment horizontal="right" vertical="center"/>
      <protection/>
    </xf>
    <xf numFmtId="49" fontId="5" fillId="0" borderId="58" xfId="0" applyNumberFormat="1" applyFont="1" applyFill="1" applyBorder="1" applyAlignment="1" applyProtection="1">
      <alignment horizontal="right" vertical="center"/>
      <protection/>
    </xf>
    <xf numFmtId="49" fontId="8" fillId="33" borderId="58" xfId="0" applyNumberFormat="1" applyFont="1" applyFill="1" applyBorder="1" applyAlignment="1" applyProtection="1">
      <alignment horizontal="right" vertical="center"/>
      <protection/>
    </xf>
    <xf numFmtId="49" fontId="5" fillId="34" borderId="58" xfId="0" applyNumberFormat="1" applyFont="1" applyFill="1" applyBorder="1" applyAlignment="1" applyProtection="1">
      <alignment horizontal="right" vertical="center"/>
      <protection/>
    </xf>
    <xf numFmtId="49" fontId="6" fillId="0" borderId="58" xfId="0" applyNumberFormat="1" applyFont="1" applyFill="1" applyBorder="1" applyAlignment="1" applyProtection="1">
      <alignment horizontal="right" vertical="center"/>
      <protection/>
    </xf>
    <xf numFmtId="49" fontId="5" fillId="0" borderId="59" xfId="0" applyNumberFormat="1" applyFont="1" applyFill="1" applyBorder="1" applyAlignment="1" applyProtection="1">
      <alignment horizontal="right" vertical="center"/>
      <protection/>
    </xf>
    <xf numFmtId="2" fontId="0" fillId="0" borderId="60" xfId="0" applyNumberFormat="1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vertical="center" wrapText="1"/>
    </xf>
    <xf numFmtId="0" fontId="0" fillId="0" borderId="47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vertical="center" wrapText="1"/>
    </xf>
    <xf numFmtId="0" fontId="0" fillId="0" borderId="45" xfId="0" applyFont="1" applyBorder="1" applyAlignment="1">
      <alignment horizontal="center" vertical="center"/>
    </xf>
    <xf numFmtId="2" fontId="0" fillId="0" borderId="55" xfId="0" applyNumberFormat="1" applyFont="1" applyBorder="1" applyAlignment="1">
      <alignment vertical="center"/>
    </xf>
    <xf numFmtId="0" fontId="0" fillId="0" borderId="48" xfId="54" applyFont="1" applyBorder="1" applyAlignment="1">
      <alignment horizontal="center" vertical="center"/>
      <protection/>
    </xf>
    <xf numFmtId="0" fontId="0" fillId="0" borderId="45" xfId="54" applyFont="1" applyBorder="1" applyAlignment="1">
      <alignment vertical="center" wrapText="1"/>
      <protection/>
    </xf>
    <xf numFmtId="2" fontId="0" fillId="0" borderId="45" xfId="0" applyNumberFormat="1" applyFont="1" applyBorder="1" applyAlignment="1">
      <alignment vertical="center" wrapText="1"/>
    </xf>
    <xf numFmtId="2" fontId="61" fillId="0" borderId="55" xfId="0" applyNumberFormat="1" applyFont="1" applyBorder="1" applyAlignment="1">
      <alignment vertical="center"/>
    </xf>
    <xf numFmtId="2" fontId="63" fillId="0" borderId="55" xfId="0" applyNumberFormat="1" applyFont="1" applyBorder="1" applyAlignment="1">
      <alignment vertical="center"/>
    </xf>
    <xf numFmtId="2" fontId="13" fillId="0" borderId="55" xfId="0" applyNumberFormat="1" applyFont="1" applyBorder="1" applyAlignment="1">
      <alignment vertical="center"/>
    </xf>
    <xf numFmtId="49" fontId="0" fillId="0" borderId="45" xfId="0" applyNumberFormat="1" applyFont="1" applyFill="1" applyBorder="1" applyAlignment="1">
      <alignment vertical="center" wrapText="1"/>
    </xf>
    <xf numFmtId="0" fontId="0" fillId="0" borderId="45" xfId="0" applyFont="1" applyFill="1" applyBorder="1" applyAlignment="1">
      <alignment horizontal="center" vertical="center"/>
    </xf>
    <xf numFmtId="2" fontId="0" fillId="0" borderId="55" xfId="0" applyNumberFormat="1" applyFont="1" applyFill="1" applyBorder="1" applyAlignment="1">
      <alignment vertical="center"/>
    </xf>
    <xf numFmtId="49" fontId="1" fillId="0" borderId="45" xfId="0" applyNumberFormat="1" applyFont="1" applyFill="1" applyBorder="1" applyAlignment="1" applyProtection="1">
      <alignment horizontal="left" vertical="center" wrapText="1"/>
      <protection/>
    </xf>
    <xf numFmtId="49" fontId="1" fillId="0" borderId="48" xfId="0" applyNumberFormat="1" applyFont="1" applyFill="1" applyBorder="1" applyAlignment="1" applyProtection="1">
      <alignment horizontal="center" vertical="center"/>
      <protection/>
    </xf>
    <xf numFmtId="49" fontId="1" fillId="0" borderId="45" xfId="0" applyNumberFormat="1" applyFont="1" applyFill="1" applyBorder="1" applyAlignment="1" applyProtection="1">
      <alignment horizontal="left" vertical="center"/>
      <protection/>
    </xf>
    <xf numFmtId="2" fontId="0" fillId="0" borderId="55" xfId="0" applyNumberFormat="1" applyFont="1" applyBorder="1" applyAlignment="1">
      <alignment vertical="center" wrapText="1"/>
    </xf>
    <xf numFmtId="49" fontId="64" fillId="0" borderId="45" xfId="0" applyNumberFormat="1" applyFont="1" applyBorder="1" applyAlignment="1">
      <alignment vertical="center" wrapText="1"/>
    </xf>
    <xf numFmtId="0" fontId="64" fillId="0" borderId="45" xfId="0" applyFont="1" applyBorder="1" applyAlignment="1">
      <alignment horizontal="center" vertical="center"/>
    </xf>
    <xf numFmtId="2" fontId="64" fillId="0" borderId="55" xfId="0" applyNumberFormat="1" applyFont="1" applyBorder="1" applyAlignment="1">
      <alignment vertical="center"/>
    </xf>
    <xf numFmtId="0" fontId="13" fillId="0" borderId="45" xfId="54" applyFont="1" applyBorder="1" applyAlignment="1">
      <alignment vertical="center" wrapText="1"/>
      <protection/>
    </xf>
    <xf numFmtId="49" fontId="13" fillId="0" borderId="45" xfId="0" applyNumberFormat="1" applyFont="1" applyBorder="1" applyAlignment="1">
      <alignment vertical="center" wrapText="1"/>
    </xf>
    <xf numFmtId="2" fontId="62" fillId="0" borderId="55" xfId="0" applyNumberFormat="1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65" fillId="0" borderId="48" xfId="0" applyFont="1" applyBorder="1" applyAlignment="1">
      <alignment horizontal="center" vertical="center"/>
    </xf>
    <xf numFmtId="49" fontId="65" fillId="0" borderId="45" xfId="0" applyNumberFormat="1" applyFont="1" applyBorder="1" applyAlignment="1">
      <alignment vertical="center" wrapText="1"/>
    </xf>
    <xf numFmtId="166" fontId="1" fillId="0" borderId="48" xfId="36" applyNumberFormat="1" applyFont="1" applyBorder="1" applyAlignment="1">
      <alignment horizontal="center" vertical="center"/>
      <protection/>
    </xf>
    <xf numFmtId="2" fontId="1" fillId="0" borderId="55" xfId="36" applyNumberFormat="1" applyFont="1" applyBorder="1" applyAlignment="1">
      <alignment vertical="center"/>
      <protection/>
    </xf>
    <xf numFmtId="0" fontId="3" fillId="0" borderId="48" xfId="36" applyFont="1" applyBorder="1" applyAlignment="1">
      <alignment horizontal="center" vertical="center"/>
      <protection/>
    </xf>
    <xf numFmtId="2" fontId="3" fillId="0" borderId="45" xfId="36" applyNumberFormat="1" applyFont="1" applyBorder="1" applyAlignment="1">
      <alignment vertical="center"/>
      <protection/>
    </xf>
    <xf numFmtId="2" fontId="3" fillId="0" borderId="45" xfId="36" applyNumberFormat="1" applyFont="1" applyBorder="1" applyAlignment="1">
      <alignment horizontal="center" vertical="center"/>
      <protection/>
    </xf>
    <xf numFmtId="2" fontId="3" fillId="0" borderId="55" xfId="36" applyNumberFormat="1" applyFont="1" applyBorder="1" applyAlignment="1">
      <alignment vertical="center"/>
      <protection/>
    </xf>
    <xf numFmtId="2" fontId="1" fillId="0" borderId="45" xfId="36" applyNumberFormat="1" applyFont="1" applyBorder="1" applyAlignment="1">
      <alignment vertical="center"/>
      <protection/>
    </xf>
    <xf numFmtId="4" fontId="1" fillId="0" borderId="55" xfId="36" applyNumberFormat="1" applyFont="1" applyBorder="1" applyAlignment="1">
      <alignment vertical="center"/>
      <protection/>
    </xf>
    <xf numFmtId="0" fontId="1" fillId="0" borderId="48" xfId="0" applyFont="1" applyBorder="1" applyAlignment="1">
      <alignment horizontal="center" vertical="center"/>
    </xf>
    <xf numFmtId="4" fontId="1" fillId="0" borderId="55" xfId="0" applyNumberFormat="1" applyFont="1" applyBorder="1" applyAlignment="1">
      <alignment horizontal="right" vertical="center"/>
    </xf>
    <xf numFmtId="2" fontId="1" fillId="0" borderId="55" xfId="0" applyNumberFormat="1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167" fontId="1" fillId="0" borderId="55" xfId="0" applyNumberFormat="1" applyFont="1" applyBorder="1" applyAlignment="1">
      <alignment vertical="center"/>
    </xf>
    <xf numFmtId="4" fontId="0" fillId="0" borderId="55" xfId="0" applyNumberFormat="1" applyFont="1" applyFill="1" applyBorder="1" applyAlignment="1" applyProtection="1">
      <alignment horizontal="right" vertical="center"/>
      <protection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5" fillId="0" borderId="45" xfId="0" applyNumberFormat="1" applyFont="1" applyFill="1" applyBorder="1" applyAlignment="1" applyProtection="1">
      <alignment horizontal="center" vertical="center"/>
      <protection/>
    </xf>
    <xf numFmtId="49" fontId="4" fillId="33" borderId="45" xfId="0" applyNumberFormat="1" applyFont="1" applyFill="1" applyBorder="1" applyAlignment="1" applyProtection="1">
      <alignment horizontal="center" vertical="center"/>
      <protection/>
    </xf>
    <xf numFmtId="49" fontId="5" fillId="34" borderId="45" xfId="0" applyNumberFormat="1" applyFont="1" applyFill="1" applyBorder="1" applyAlignment="1" applyProtection="1">
      <alignment horizontal="center" vertical="center"/>
      <protection/>
    </xf>
    <xf numFmtId="49" fontId="62" fillId="34" borderId="45" xfId="0" applyNumberFormat="1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49" fontId="5" fillId="0" borderId="50" xfId="0" applyNumberFormat="1" applyFont="1" applyFill="1" applyBorder="1" applyAlignment="1" applyProtection="1">
      <alignment horizontal="center" vertical="center"/>
      <protection/>
    </xf>
    <xf numFmtId="167" fontId="8" fillId="33" borderId="64" xfId="0" applyNumberFormat="1" applyFont="1" applyFill="1" applyBorder="1" applyAlignment="1" applyProtection="1">
      <alignment horizontal="right" vertical="center"/>
      <protection/>
    </xf>
    <xf numFmtId="167" fontId="8" fillId="33" borderId="54" xfId="0" applyNumberFormat="1" applyFont="1" applyFill="1" applyBorder="1" applyAlignment="1" applyProtection="1">
      <alignment horizontal="right" vertical="center"/>
      <protection/>
    </xf>
    <xf numFmtId="167" fontId="5" fillId="0" borderId="65" xfId="0" applyNumberFormat="1" applyFont="1" applyFill="1" applyBorder="1" applyAlignment="1" applyProtection="1">
      <alignment horizontal="right" vertical="center"/>
      <protection/>
    </xf>
    <xf numFmtId="167" fontId="5" fillId="0" borderId="55" xfId="0" applyNumberFormat="1" applyFont="1" applyFill="1" applyBorder="1" applyAlignment="1" applyProtection="1">
      <alignment horizontal="right" vertical="center"/>
      <protection/>
    </xf>
    <xf numFmtId="167" fontId="8" fillId="33" borderId="65" xfId="0" applyNumberFormat="1" applyFont="1" applyFill="1" applyBorder="1" applyAlignment="1" applyProtection="1">
      <alignment horizontal="right" vertical="center"/>
      <protection/>
    </xf>
    <xf numFmtId="167" fontId="8" fillId="33" borderId="55" xfId="0" applyNumberFormat="1" applyFont="1" applyFill="1" applyBorder="1" applyAlignment="1" applyProtection="1">
      <alignment horizontal="right" vertical="center"/>
      <protection/>
    </xf>
    <xf numFmtId="167" fontId="5" fillId="34" borderId="65" xfId="0" applyNumberFormat="1" applyFont="1" applyFill="1" applyBorder="1" applyAlignment="1" applyProtection="1">
      <alignment horizontal="right" vertical="center"/>
      <protection/>
    </xf>
    <xf numFmtId="167" fontId="5" fillId="34" borderId="55" xfId="0" applyNumberFormat="1" applyFont="1" applyFill="1" applyBorder="1" applyAlignment="1" applyProtection="1">
      <alignment horizontal="right" vertical="center"/>
      <protection/>
    </xf>
    <xf numFmtId="167" fontId="6" fillId="0" borderId="65" xfId="0" applyNumberFormat="1" applyFont="1" applyFill="1" applyBorder="1" applyAlignment="1" applyProtection="1">
      <alignment horizontal="right" vertical="center"/>
      <protection/>
    </xf>
    <xf numFmtId="167" fontId="6" fillId="0" borderId="55" xfId="0" applyNumberFormat="1" applyFont="1" applyFill="1" applyBorder="1" applyAlignment="1" applyProtection="1">
      <alignment horizontal="right" vertical="center"/>
      <protection/>
    </xf>
    <xf numFmtId="167" fontId="5" fillId="0" borderId="66" xfId="0" applyNumberFormat="1" applyFont="1" applyFill="1" applyBorder="1" applyAlignment="1" applyProtection="1">
      <alignment horizontal="right" vertical="center"/>
      <protection/>
    </xf>
    <xf numFmtId="167" fontId="5" fillId="0" borderId="56" xfId="0" applyNumberFormat="1" applyFont="1" applyFill="1" applyBorder="1" applyAlignment="1" applyProtection="1">
      <alignment horizontal="right" vertical="center"/>
      <protection/>
    </xf>
    <xf numFmtId="49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68" xfId="0" applyNumberFormat="1" applyFont="1" applyFill="1" applyBorder="1" applyAlignment="1" applyProtection="1">
      <alignment horizontal="center" vertical="center"/>
      <protection/>
    </xf>
    <xf numFmtId="0" fontId="3" fillId="0" borderId="69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70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71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7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2" xfId="0" applyNumberFormat="1" applyFont="1" applyFill="1" applyBorder="1" applyAlignment="1" applyProtection="1">
      <alignment horizontal="left" vertical="center" wrapText="1"/>
      <protection/>
    </xf>
    <xf numFmtId="0" fontId="1" fillId="0" borderId="73" xfId="0" applyNumberFormat="1" applyFont="1" applyFill="1" applyBorder="1" applyAlignment="1" applyProtection="1">
      <alignment horizontal="left" vertical="center"/>
      <protection/>
    </xf>
    <xf numFmtId="0" fontId="3" fillId="0" borderId="73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73" xfId="0" applyNumberFormat="1" applyFont="1" applyFill="1" applyBorder="1" applyAlignment="1" applyProtection="1">
      <alignment horizontal="left" vertical="center"/>
      <protection/>
    </xf>
    <xf numFmtId="0" fontId="1" fillId="0" borderId="73" xfId="0" applyNumberFormat="1" applyFont="1" applyFill="1" applyBorder="1" applyAlignment="1" applyProtection="1">
      <alignment horizontal="left" vertical="center" wrapText="1"/>
      <protection/>
    </xf>
    <xf numFmtId="0" fontId="1" fillId="0" borderId="74" xfId="0" applyNumberFormat="1" applyFont="1" applyFill="1" applyBorder="1" applyAlignment="1" applyProtection="1">
      <alignment horizontal="left" vertical="center"/>
      <protection/>
    </xf>
    <xf numFmtId="2" fontId="56" fillId="0" borderId="75" xfId="36" applyNumberFormat="1" applyFont="1" applyBorder="1" applyAlignment="1">
      <alignment horizontal="center" vertical="center"/>
      <protection/>
    </xf>
    <xf numFmtId="2" fontId="56" fillId="0" borderId="76" xfId="36" applyNumberFormat="1" applyFont="1" applyBorder="1" applyAlignment="1">
      <alignment horizontal="center" vertical="center"/>
      <protection/>
    </xf>
    <xf numFmtId="2" fontId="56" fillId="0" borderId="77" xfId="36" applyNumberFormat="1" applyFont="1" applyBorder="1" applyAlignment="1">
      <alignment horizontal="center" vertical="center"/>
      <protection/>
    </xf>
    <xf numFmtId="2" fontId="56" fillId="0" borderId="78" xfId="36" applyNumberFormat="1" applyFont="1" applyBorder="1" applyAlignment="1">
      <alignment horizontal="center" vertical="center"/>
      <protection/>
    </xf>
    <xf numFmtId="2" fontId="56" fillId="0" borderId="79" xfId="36" applyNumberFormat="1" applyFont="1" applyBorder="1" applyAlignment="1">
      <alignment horizontal="center" vertical="center"/>
      <protection/>
    </xf>
    <xf numFmtId="2" fontId="56" fillId="0" borderId="80" xfId="36" applyNumberFormat="1" applyFont="1" applyBorder="1" applyAlignment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81" xfId="0" applyNumberFormat="1" applyFont="1" applyFill="1" applyBorder="1" applyAlignment="1" applyProtection="1">
      <alignment horizontal="left" vertical="center"/>
      <protection/>
    </xf>
    <xf numFmtId="0" fontId="1" fillId="0" borderId="82" xfId="0" applyNumberFormat="1" applyFont="1" applyFill="1" applyBorder="1" applyAlignment="1" applyProtection="1">
      <alignment horizontal="left" vertical="center"/>
      <protection/>
    </xf>
    <xf numFmtId="0" fontId="1" fillId="0" borderId="8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84" xfId="0" applyNumberFormat="1" applyFont="1" applyFill="1" applyBorder="1" applyAlignment="1" applyProtection="1">
      <alignment horizontal="left" vertical="center"/>
      <protection/>
    </xf>
    <xf numFmtId="49" fontId="2" fillId="0" borderId="85" xfId="0" applyNumberFormat="1" applyFont="1" applyFill="1" applyBorder="1" applyAlignment="1" applyProtection="1">
      <alignment horizontal="center"/>
      <protection/>
    </xf>
    <xf numFmtId="0" fontId="2" fillId="0" borderId="85" xfId="0" applyNumberFormat="1" applyFont="1" applyFill="1" applyBorder="1" applyAlignment="1" applyProtection="1">
      <alignment horizontal="center" vertical="center"/>
      <protection/>
    </xf>
    <xf numFmtId="0" fontId="1" fillId="0" borderId="86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87" xfId="0" applyNumberFormat="1" applyFont="1" applyFill="1" applyBorder="1" applyAlignment="1" applyProtection="1">
      <alignment horizontal="left" vertical="center"/>
      <protection/>
    </xf>
    <xf numFmtId="49" fontId="35" fillId="0" borderId="88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vertical="center"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85" xfId="0" applyNumberFormat="1" applyFont="1" applyFill="1" applyBorder="1" applyAlignment="1" applyProtection="1">
      <alignment vertical="center"/>
      <protection/>
    </xf>
    <xf numFmtId="49" fontId="34" fillId="35" borderId="29" xfId="0" applyNumberFormat="1" applyFont="1" applyFill="1" applyBorder="1" applyAlignment="1" applyProtection="1">
      <alignment horizontal="center" vertical="center"/>
      <protection/>
    </xf>
    <xf numFmtId="49" fontId="10" fillId="0" borderId="89" xfId="0" applyNumberFormat="1" applyFont="1" applyFill="1" applyBorder="1" applyAlignment="1" applyProtection="1">
      <alignment horizontal="left" vertical="center"/>
      <protection/>
    </xf>
    <xf numFmtId="49" fontId="10" fillId="0" borderId="90" xfId="0" applyNumberFormat="1" applyFont="1" applyFill="1" applyBorder="1" applyAlignment="1" applyProtection="1">
      <alignment horizontal="left" vertical="center"/>
      <protection/>
    </xf>
    <xf numFmtId="0" fontId="1" fillId="0" borderId="91" xfId="0" applyNumberFormat="1" applyFont="1" applyFill="1" applyBorder="1" applyAlignment="1" applyProtection="1">
      <alignment vertical="center"/>
      <protection/>
    </xf>
    <xf numFmtId="49" fontId="35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87" xfId="0" applyNumberFormat="1" applyFont="1" applyFill="1" applyBorder="1" applyAlignment="1" applyProtection="1">
      <alignment vertical="center"/>
      <protection/>
    </xf>
    <xf numFmtId="0" fontId="1" fillId="0" borderId="92" xfId="0" applyNumberFormat="1" applyFont="1" applyFill="1" applyBorder="1" applyAlignment="1" applyProtection="1">
      <alignment vertical="center"/>
      <protection/>
    </xf>
    <xf numFmtId="4" fontId="35" fillId="0" borderId="29" xfId="0" applyNumberFormat="1" applyFont="1" applyFill="1" applyBorder="1" applyAlignment="1" applyProtection="1">
      <alignment horizontal="right" vertical="center"/>
      <protection/>
    </xf>
    <xf numFmtId="49" fontId="35" fillId="0" borderId="29" xfId="0" applyNumberFormat="1" applyFont="1" applyFill="1" applyBorder="1" applyAlignment="1" applyProtection="1">
      <alignment horizontal="right" vertical="center"/>
      <protection/>
    </xf>
    <xf numFmtId="4" fontId="35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93" xfId="0" applyNumberFormat="1" applyFont="1" applyFill="1" applyBorder="1" applyAlignment="1" applyProtection="1">
      <alignment vertical="center"/>
      <protection/>
    </xf>
    <xf numFmtId="0" fontId="1" fillId="0" borderId="81" xfId="0" applyNumberFormat="1" applyFont="1" applyFill="1" applyBorder="1" applyAlignment="1" applyProtection="1">
      <alignment vertical="center"/>
      <protection/>
    </xf>
    <xf numFmtId="4" fontId="10" fillId="35" borderId="94" xfId="0" applyNumberFormat="1" applyFont="1" applyFill="1" applyBorder="1" applyAlignment="1" applyProtection="1">
      <alignment horizontal="right" vertical="center"/>
      <protection/>
    </xf>
    <xf numFmtId="0" fontId="1" fillId="0" borderId="85" xfId="0" applyNumberFormat="1" applyFont="1" applyFill="1" applyBorder="1" applyAlignment="1" applyProtection="1">
      <alignment/>
      <protection/>
    </xf>
    <xf numFmtId="0" fontId="35" fillId="0" borderId="83" xfId="0" applyNumberFormat="1" applyFont="1" applyFill="1" applyBorder="1" applyAlignment="1" applyProtection="1">
      <alignment horizontal="left" vertical="center"/>
      <protection/>
    </xf>
    <xf numFmtId="0" fontId="35" fillId="0" borderId="95" xfId="0" applyNumberFormat="1" applyFont="1" applyFill="1" applyBorder="1" applyAlignment="1" applyProtection="1">
      <alignment horizontal="left" vertical="center"/>
      <protection/>
    </xf>
    <xf numFmtId="49" fontId="10" fillId="35" borderId="96" xfId="0" applyNumberFormat="1" applyFont="1" applyFill="1" applyBorder="1" applyAlignment="1" applyProtection="1">
      <alignment horizontal="left" vertical="center"/>
      <protection/>
    </xf>
    <xf numFmtId="0" fontId="10" fillId="35" borderId="97" xfId="0" applyNumberFormat="1" applyFont="1" applyFill="1" applyBorder="1" applyAlignment="1" applyProtection="1">
      <alignment horizontal="left" vertical="center"/>
      <protection/>
    </xf>
    <xf numFmtId="49" fontId="35" fillId="0" borderId="98" xfId="0" applyNumberFormat="1" applyFont="1" applyFill="1" applyBorder="1" applyAlignment="1" applyProtection="1">
      <alignment horizontal="left" vertical="center"/>
      <protection/>
    </xf>
    <xf numFmtId="0" fontId="35" fillId="0" borderId="26" xfId="0" applyNumberFormat="1" applyFont="1" applyFill="1" applyBorder="1" applyAlignment="1" applyProtection="1">
      <alignment horizontal="left" vertical="center"/>
      <protection/>
    </xf>
    <xf numFmtId="0" fontId="35" fillId="0" borderId="99" xfId="0" applyNumberFormat="1" applyFont="1" applyFill="1" applyBorder="1" applyAlignment="1" applyProtection="1">
      <alignment horizontal="left" vertical="center"/>
      <protection/>
    </xf>
    <xf numFmtId="49" fontId="10" fillId="0" borderId="96" xfId="0" applyNumberFormat="1" applyFont="1" applyFill="1" applyBorder="1" applyAlignment="1" applyProtection="1">
      <alignment horizontal="left" vertical="center"/>
      <protection/>
    </xf>
    <xf numFmtId="0" fontId="10" fillId="0" borderId="94" xfId="0" applyNumberFormat="1" applyFont="1" applyFill="1" applyBorder="1" applyAlignment="1" applyProtection="1">
      <alignment horizontal="left" vertical="center"/>
      <protection/>
    </xf>
    <xf numFmtId="49" fontId="35" fillId="0" borderId="96" xfId="0" applyNumberFormat="1" applyFont="1" applyFill="1" applyBorder="1" applyAlignment="1" applyProtection="1">
      <alignment horizontal="left" vertical="center"/>
      <protection/>
    </xf>
    <xf numFmtId="0" fontId="35" fillId="0" borderId="94" xfId="0" applyNumberFormat="1" applyFont="1" applyFill="1" applyBorder="1" applyAlignment="1" applyProtection="1">
      <alignment horizontal="left" vertical="center"/>
      <protection/>
    </xf>
    <xf numFmtId="49" fontId="33" fillId="0" borderId="97" xfId="0" applyNumberFormat="1" applyFont="1" applyFill="1" applyBorder="1" applyAlignment="1" applyProtection="1">
      <alignment horizontal="center" vertical="center"/>
      <protection/>
    </xf>
    <xf numFmtId="0" fontId="33" fillId="0" borderId="97" xfId="0" applyNumberFormat="1" applyFont="1" applyFill="1" applyBorder="1" applyAlignment="1" applyProtection="1">
      <alignment horizontal="center" vertical="center"/>
      <protection/>
    </xf>
    <xf numFmtId="49" fontId="36" fillId="0" borderId="96" xfId="0" applyNumberFormat="1" applyFont="1" applyFill="1" applyBorder="1" applyAlignment="1" applyProtection="1">
      <alignment horizontal="left" vertical="center"/>
      <protection/>
    </xf>
    <xf numFmtId="0" fontId="36" fillId="0" borderId="9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2" xfId="0" applyNumberFormat="1" applyFont="1" applyFill="1" applyBorder="1" applyAlignment="1" applyProtection="1">
      <alignment horizontal="left" vertical="center"/>
      <protection/>
    </xf>
    <xf numFmtId="0" fontId="1" fillId="0" borderId="8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81" xfId="0" applyNumberFormat="1" applyFont="1" applyFill="1" applyBorder="1" applyAlignment="1" applyProtection="1">
      <alignment horizontal="left" vertical="center" wrapText="1"/>
      <protection/>
    </xf>
    <xf numFmtId="0" fontId="1" fillId="0" borderId="10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81" xfId="0" applyNumberFormat="1" applyFont="1" applyFill="1" applyBorder="1" applyAlignment="1" applyProtection="1">
      <alignment horizontal="left" vertical="center"/>
      <protection/>
    </xf>
    <xf numFmtId="0" fontId="1" fillId="0" borderId="81" xfId="0" applyNumberFormat="1" applyFont="1" applyFill="1" applyBorder="1" applyAlignment="1" applyProtection="1">
      <alignment horizontal="left" vertical="center"/>
      <protection/>
    </xf>
    <xf numFmtId="0" fontId="2" fillId="0" borderId="85" xfId="0" applyNumberFormat="1" applyFont="1" applyFill="1" applyBorder="1" applyAlignment="1" applyProtection="1">
      <alignment horizontal="center" vertical="center" wrapText="1"/>
      <protection/>
    </xf>
    <xf numFmtId="0" fontId="2" fillId="0" borderId="85" xfId="0" applyNumberFormat="1" applyFont="1" applyFill="1" applyBorder="1" applyAlignment="1" applyProtection="1">
      <alignment horizontal="center" vertical="center"/>
      <protection/>
    </xf>
    <xf numFmtId="0" fontId="1" fillId="0" borderId="8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87" xfId="0" applyNumberFormat="1" applyFont="1" applyFill="1" applyBorder="1" applyAlignment="1" applyProtection="1">
      <alignment horizontal="left" vertical="center"/>
      <protection/>
    </xf>
    <xf numFmtId="0" fontId="66" fillId="0" borderId="0" xfId="58" applyFont="1" applyAlignment="1">
      <alignment horizontal="left" vertical="top" wrapText="1"/>
      <protection/>
    </xf>
    <xf numFmtId="0" fontId="67" fillId="0" borderId="0" xfId="58" applyFont="1" applyAlignment="1">
      <alignment horizontal="center"/>
      <protection/>
    </xf>
    <xf numFmtId="0" fontId="67" fillId="0" borderId="0" xfId="58" applyFont="1">
      <alignment/>
      <protection/>
    </xf>
    <xf numFmtId="172" fontId="67" fillId="0" borderId="0" xfId="58" applyNumberFormat="1" applyFont="1">
      <alignment/>
      <protection/>
    </xf>
    <xf numFmtId="0" fontId="67" fillId="0" borderId="0" xfId="58" applyFont="1" applyAlignment="1">
      <alignment horizontal="left"/>
      <protection/>
    </xf>
    <xf numFmtId="0" fontId="67" fillId="0" borderId="0" xfId="58" applyFont="1" applyAlignment="1">
      <alignment horizontal="left" vertical="top"/>
      <protection/>
    </xf>
    <xf numFmtId="1" fontId="40" fillId="0" borderId="70" xfId="58" applyNumberFormat="1" applyFont="1" applyFill="1" applyBorder="1" applyAlignment="1">
      <alignment horizontal="center" vertical="center" wrapText="1"/>
      <protection/>
    </xf>
    <xf numFmtId="1" fontId="40" fillId="0" borderId="101" xfId="58" applyNumberFormat="1" applyFont="1" applyFill="1" applyBorder="1" applyAlignment="1">
      <alignment horizontal="center" vertical="center" wrapText="1"/>
      <protection/>
    </xf>
    <xf numFmtId="1" fontId="40" fillId="0" borderId="102" xfId="58" applyNumberFormat="1" applyFont="1" applyFill="1" applyBorder="1" applyAlignment="1">
      <alignment horizontal="center" vertical="center" wrapText="1"/>
      <protection/>
    </xf>
    <xf numFmtId="49" fontId="41" fillId="0" borderId="27" xfId="58" applyNumberFormat="1" applyFont="1" applyFill="1" applyBorder="1" applyAlignment="1">
      <alignment horizontal="center" vertical="center"/>
      <protection/>
    </xf>
    <xf numFmtId="49" fontId="41" fillId="0" borderId="28" xfId="58" applyNumberFormat="1" applyFont="1" applyFill="1" applyBorder="1" applyAlignment="1">
      <alignment horizontal="center" vertical="center"/>
      <protection/>
    </xf>
    <xf numFmtId="0" fontId="68" fillId="0" borderId="25" xfId="58" applyFont="1" applyBorder="1" applyAlignment="1">
      <alignment horizontal="center" vertical="center" wrapText="1"/>
      <protection/>
    </xf>
    <xf numFmtId="49" fontId="41" fillId="0" borderId="0" xfId="58" applyNumberFormat="1" applyFont="1" applyAlignment="1">
      <alignment horizontal="left" indent="2"/>
      <protection/>
    </xf>
    <xf numFmtId="0" fontId="41" fillId="0" borderId="0" xfId="58" applyFont="1" applyBorder="1" applyAlignment="1">
      <alignment horizontal="left" indent="2"/>
      <protection/>
    </xf>
    <xf numFmtId="171" fontId="41" fillId="0" borderId="17" xfId="58" applyNumberFormat="1" applyFont="1" applyFill="1" applyBorder="1" applyAlignment="1">
      <alignment horizontal="right" vertical="center" indent="3"/>
      <protection/>
    </xf>
    <xf numFmtId="171" fontId="29" fillId="0" borderId="71" xfId="58" applyNumberFormat="1" applyFont="1" applyBorder="1" applyAlignment="1">
      <alignment horizontal="right" vertical="center" indent="3"/>
      <protection/>
    </xf>
    <xf numFmtId="171" fontId="29" fillId="0" borderId="21" xfId="58" applyNumberFormat="1" applyFont="1" applyBorder="1" applyAlignment="1">
      <alignment horizontal="right" vertical="center" indent="3"/>
      <protection/>
    </xf>
    <xf numFmtId="49" fontId="41" fillId="0" borderId="0" xfId="58" applyNumberFormat="1" applyFont="1" applyAlignment="1">
      <alignment horizontal="left"/>
      <protection/>
    </xf>
    <xf numFmtId="49" fontId="41" fillId="0" borderId="0" xfId="58" applyNumberFormat="1" applyFont="1" applyAlignment="1">
      <alignment horizontal="left" wrapText="1"/>
      <protection/>
    </xf>
    <xf numFmtId="0" fontId="46" fillId="0" borderId="0" xfId="58" applyFont="1" applyBorder="1" applyAlignment="1">
      <alignment horizontal="left" vertical="center" indent="3"/>
      <protection/>
    </xf>
    <xf numFmtId="171" fontId="29" fillId="0" borderId="0" xfId="58" applyNumberFormat="1" applyFont="1" applyBorder="1" applyAlignment="1">
      <alignment horizontal="right" vertical="center" indent="3"/>
      <protection/>
    </xf>
    <xf numFmtId="49" fontId="41" fillId="0" borderId="12" xfId="58" applyNumberFormat="1" applyFont="1" applyFill="1" applyBorder="1" applyAlignment="1">
      <alignment horizontal="left" vertical="center" indent="3"/>
      <protection/>
    </xf>
    <xf numFmtId="49" fontId="41" fillId="0" borderId="15" xfId="58" applyNumberFormat="1" applyFont="1" applyFill="1" applyBorder="1" applyAlignment="1">
      <alignment horizontal="left" vertical="center" indent="3"/>
      <protection/>
    </xf>
    <xf numFmtId="0" fontId="69" fillId="0" borderId="0" xfId="58" applyFont="1" applyBorder="1" applyAlignment="1">
      <alignment horizontal="center"/>
      <protection/>
    </xf>
    <xf numFmtId="0" fontId="44" fillId="0" borderId="70" xfId="58" applyBorder="1" applyAlignment="1">
      <alignment horizontal="left" vertical="center" indent="3"/>
      <protection/>
    </xf>
    <xf numFmtId="0" fontId="44" fillId="0" borderId="29" xfId="58" applyBorder="1" applyAlignment="1">
      <alignment horizontal="left" vertical="center" indent="3"/>
      <protection/>
    </xf>
    <xf numFmtId="0" fontId="46" fillId="0" borderId="19" xfId="58" applyFont="1" applyBorder="1" applyAlignment="1">
      <alignment horizontal="left" vertical="center" indent="3"/>
      <protection/>
    </xf>
    <xf numFmtId="0" fontId="46" fillId="0" borderId="20" xfId="58" applyFont="1" applyBorder="1" applyAlignment="1">
      <alignment horizontal="left" vertical="center" indent="3"/>
      <protection/>
    </xf>
    <xf numFmtId="49" fontId="41" fillId="0" borderId="0" xfId="58" applyNumberFormat="1" applyFont="1" applyAlignment="1">
      <alignment horizontal="left"/>
      <protection/>
    </xf>
    <xf numFmtId="49" fontId="40" fillId="0" borderId="90" xfId="58" applyNumberFormat="1" applyFont="1" applyFill="1" applyBorder="1" applyAlignment="1">
      <alignment vertical="top" wrapText="1"/>
      <protection/>
    </xf>
    <xf numFmtId="171" fontId="40" fillId="0" borderId="103" xfId="58" applyNumberFormat="1" applyFont="1" applyFill="1" applyBorder="1" applyAlignment="1">
      <alignment horizontal="right" vertical="top"/>
      <protection/>
    </xf>
    <xf numFmtId="49" fontId="40" fillId="0" borderId="29" xfId="58" applyNumberFormat="1" applyFont="1" applyFill="1" applyBorder="1" applyAlignment="1">
      <alignment vertical="top" wrapText="1"/>
      <protection/>
    </xf>
    <xf numFmtId="171" fontId="40" fillId="0" borderId="71" xfId="58" applyNumberFormat="1" applyFont="1" applyFill="1" applyBorder="1" applyAlignment="1">
      <alignment horizontal="right" vertical="top"/>
      <protection/>
    </xf>
    <xf numFmtId="49" fontId="40" fillId="0" borderId="89" xfId="58" applyNumberFormat="1" applyFont="1" applyFill="1" applyBorder="1" applyAlignment="1">
      <alignment vertical="top" wrapText="1"/>
      <protection/>
    </xf>
    <xf numFmtId="171" fontId="40" fillId="0" borderId="104" xfId="58" applyNumberFormat="1" applyFont="1" applyFill="1" applyBorder="1" applyAlignment="1">
      <alignment horizontal="right" vertical="top"/>
      <protection/>
    </xf>
    <xf numFmtId="49" fontId="1" fillId="0" borderId="81" xfId="0" applyNumberFormat="1" applyFont="1" applyFill="1" applyBorder="1" applyAlignment="1" applyProtection="1">
      <alignment horizontal="left" vertical="center" wrapText="1"/>
      <protection/>
    </xf>
    <xf numFmtId="14" fontId="1" fillId="0" borderId="81" xfId="0" applyNumberFormat="1" applyFont="1" applyFill="1" applyBorder="1" applyAlignment="1" applyProtection="1">
      <alignment horizontal="left" vertical="center" wrapText="1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Excel Built-in Normal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Chybně" xfId="44"/>
    <cellStyle name="Kontrolní buňka" xfId="45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ální 2" xfId="54"/>
    <cellStyle name="normální 2 2" xfId="55"/>
    <cellStyle name="normální 3" xfId="56"/>
    <cellStyle name="normální 3 2" xfId="57"/>
    <cellStyle name="normální 4" xfId="58"/>
    <cellStyle name="normální 5" xfId="59"/>
    <cellStyle name="normální 6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&#353;&#357;ov&#225;%20kanalizace%20z%20V&#253;honu%20do%20O&#269;ovsk&#233;ho%20J&#225;rku%20pracov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 prací"/>
      <sheetName val="Výkaz výměr"/>
      <sheetName val="Výkaz kubatur"/>
      <sheetName val="List2"/>
    </sheetNames>
    <sheetDataSet>
      <sheetData sheetId="2">
        <row r="109">
          <cell r="F109">
            <v>390.6418</v>
          </cell>
          <cell r="G109">
            <v>4313.0611</v>
          </cell>
          <cell r="I109">
            <v>928.12414</v>
          </cell>
          <cell r="J109">
            <v>2359.0872850000005</v>
          </cell>
          <cell r="K109">
            <v>65.8177</v>
          </cell>
        </row>
        <row r="110">
          <cell r="K110">
            <v>3353.0291250000005</v>
          </cell>
        </row>
        <row r="164">
          <cell r="K164">
            <v>949.0285200000001</v>
          </cell>
        </row>
        <row r="170">
          <cell r="J170">
            <v>14.734499999999942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05"/>
  <sheetViews>
    <sheetView tabSelected="1" zoomScalePageLayoutView="0" workbookViewId="0" topLeftCell="A1">
      <pane ySplit="11" topLeftCell="A56" activePane="bottomLeft" state="frozen"/>
      <selection pane="topLeft" activeCell="A1" sqref="A1"/>
      <selection pane="bottomLeft" activeCell="E420" sqref="E420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50.7109375" style="0" customWidth="1"/>
    <col min="4" max="4" width="6.8515625" style="0" customWidth="1"/>
    <col min="5" max="5" width="12.8515625" style="0" customWidth="1"/>
    <col min="6" max="6" width="12.00390625" style="0" customWidth="1"/>
    <col min="7" max="9" width="14.28125" style="0" customWidth="1"/>
    <col min="10" max="12" width="11.7109375" style="0" customWidth="1"/>
    <col min="13" max="24" width="11.57421875" style="0" customWidth="1"/>
    <col min="25" max="62" width="12.140625" style="0" hidden="1" customWidth="1"/>
  </cols>
  <sheetData>
    <row r="1" spans="1:12" ht="72.75" customHeight="1" thickBo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3" ht="12.75">
      <c r="A2" s="241" t="s">
        <v>1</v>
      </c>
      <c r="B2" s="242"/>
      <c r="C2" s="243" t="s">
        <v>643</v>
      </c>
      <c r="D2" s="245" t="s">
        <v>999</v>
      </c>
      <c r="E2" s="242"/>
      <c r="F2" s="245" t="s">
        <v>1020</v>
      </c>
      <c r="G2" s="246" t="s">
        <v>1025</v>
      </c>
      <c r="H2" s="245" t="s">
        <v>1846</v>
      </c>
      <c r="I2" s="242"/>
      <c r="J2" s="242"/>
      <c r="K2" s="242"/>
      <c r="L2" s="247"/>
      <c r="M2" s="204"/>
    </row>
    <row r="3" spans="1:13" ht="12.75">
      <c r="A3" s="238"/>
      <c r="B3" s="231"/>
      <c r="C3" s="244"/>
      <c r="D3" s="231"/>
      <c r="E3" s="231"/>
      <c r="F3" s="231"/>
      <c r="G3" s="231"/>
      <c r="H3" s="231"/>
      <c r="I3" s="231"/>
      <c r="J3" s="231"/>
      <c r="K3" s="231"/>
      <c r="L3" s="236"/>
      <c r="M3" s="204"/>
    </row>
    <row r="4" spans="1:13" ht="12.75">
      <c r="A4" s="230" t="s">
        <v>2</v>
      </c>
      <c r="B4" s="231"/>
      <c r="C4" s="234" t="s">
        <v>6</v>
      </c>
      <c r="D4" s="235" t="s">
        <v>1000</v>
      </c>
      <c r="E4" s="231"/>
      <c r="F4" s="235" t="s">
        <v>1021</v>
      </c>
      <c r="G4" s="234" t="s">
        <v>1026</v>
      </c>
      <c r="H4" s="235" t="s">
        <v>1610</v>
      </c>
      <c r="I4" s="231"/>
      <c r="J4" s="231"/>
      <c r="K4" s="231"/>
      <c r="L4" s="236"/>
      <c r="M4" s="204"/>
    </row>
    <row r="5" spans="1:13" ht="12.75">
      <c r="A5" s="238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6"/>
      <c r="M5" s="204"/>
    </row>
    <row r="6" spans="1:13" ht="12.75">
      <c r="A6" s="230" t="s">
        <v>3</v>
      </c>
      <c r="B6" s="231"/>
      <c r="C6" s="234" t="s">
        <v>644</v>
      </c>
      <c r="D6" s="235" t="s">
        <v>1001</v>
      </c>
      <c r="E6" s="231"/>
      <c r="F6" s="235" t="s">
        <v>1022</v>
      </c>
      <c r="G6" s="234" t="s">
        <v>1027</v>
      </c>
      <c r="H6" s="235" t="s">
        <v>1032</v>
      </c>
      <c r="I6" s="231"/>
      <c r="J6" s="231"/>
      <c r="K6" s="231"/>
      <c r="L6" s="236"/>
      <c r="M6" s="204"/>
    </row>
    <row r="7" spans="1:13" ht="12.75">
      <c r="A7" s="238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6"/>
      <c r="M7" s="204"/>
    </row>
    <row r="8" spans="1:13" ht="12.75">
      <c r="A8" s="230" t="s">
        <v>4</v>
      </c>
      <c r="B8" s="231"/>
      <c r="C8" s="234">
        <v>827221</v>
      </c>
      <c r="D8" s="235" t="s">
        <v>1002</v>
      </c>
      <c r="E8" s="231"/>
      <c r="F8" s="235" t="s">
        <v>1609</v>
      </c>
      <c r="G8" s="234" t="s">
        <v>1028</v>
      </c>
      <c r="H8" s="235" t="s">
        <v>1610</v>
      </c>
      <c r="I8" s="231"/>
      <c r="J8" s="231"/>
      <c r="K8" s="231"/>
      <c r="L8" s="236"/>
      <c r="M8" s="204"/>
    </row>
    <row r="9" spans="1:13" ht="13.5" thickBot="1">
      <c r="A9" s="232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7"/>
      <c r="M9" s="204"/>
    </row>
    <row r="10" spans="1:13" ht="12.75">
      <c r="A10" s="4" t="s">
        <v>5</v>
      </c>
      <c r="B10" s="8" t="s">
        <v>320</v>
      </c>
      <c r="C10" s="8" t="s">
        <v>645</v>
      </c>
      <c r="D10" s="8" t="s">
        <v>1003</v>
      </c>
      <c r="E10" s="12" t="s">
        <v>1019</v>
      </c>
      <c r="F10" s="15" t="s">
        <v>1023</v>
      </c>
      <c r="G10" s="223" t="s">
        <v>1029</v>
      </c>
      <c r="H10" s="224"/>
      <c r="I10" s="225"/>
      <c r="J10" s="223" t="s">
        <v>1035</v>
      </c>
      <c r="K10" s="225"/>
      <c r="L10" s="21" t="s">
        <v>1037</v>
      </c>
      <c r="M10" s="26"/>
    </row>
    <row r="11" spans="1:62" ht="13.5" thickBot="1">
      <c r="A11" s="5" t="s">
        <v>6</v>
      </c>
      <c r="B11" s="9" t="s">
        <v>6</v>
      </c>
      <c r="C11" s="10" t="s">
        <v>646</v>
      </c>
      <c r="D11" s="9" t="s">
        <v>6</v>
      </c>
      <c r="E11" s="9" t="s">
        <v>6</v>
      </c>
      <c r="F11" s="16" t="s">
        <v>1024</v>
      </c>
      <c r="G11" s="17" t="s">
        <v>1030</v>
      </c>
      <c r="H11" s="18" t="s">
        <v>1033</v>
      </c>
      <c r="I11" s="19" t="s">
        <v>1034</v>
      </c>
      <c r="J11" s="17" t="s">
        <v>1036</v>
      </c>
      <c r="K11" s="19" t="s">
        <v>1034</v>
      </c>
      <c r="L11" s="22" t="s">
        <v>1038</v>
      </c>
      <c r="M11" s="26"/>
      <c r="Z11" s="20" t="s">
        <v>1041</v>
      </c>
      <c r="AA11" s="20" t="s">
        <v>1042</v>
      </c>
      <c r="AB11" s="20" t="s">
        <v>1043</v>
      </c>
      <c r="AC11" s="20" t="s">
        <v>1044</v>
      </c>
      <c r="AD11" s="20" t="s">
        <v>1045</v>
      </c>
      <c r="AE11" s="20" t="s">
        <v>1046</v>
      </c>
      <c r="AF11" s="20" t="s">
        <v>1047</v>
      </c>
      <c r="AG11" s="20" t="s">
        <v>1048</v>
      </c>
      <c r="AH11" s="20" t="s">
        <v>1049</v>
      </c>
      <c r="BH11" s="20" t="s">
        <v>1107</v>
      </c>
      <c r="BI11" s="20" t="s">
        <v>1108</v>
      </c>
      <c r="BJ11" s="20" t="s">
        <v>1109</v>
      </c>
    </row>
    <row r="12" spans="1:47" ht="12.75">
      <c r="A12" s="103"/>
      <c r="B12" s="104" t="s">
        <v>17</v>
      </c>
      <c r="C12" s="104" t="s">
        <v>647</v>
      </c>
      <c r="D12" s="105" t="s">
        <v>6</v>
      </c>
      <c r="E12" s="105" t="s">
        <v>6</v>
      </c>
      <c r="F12" s="131" t="s">
        <v>6</v>
      </c>
      <c r="G12" s="137">
        <f>SUM(G13:G62)</f>
        <v>0</v>
      </c>
      <c r="H12" s="106">
        <f>SUM(H13:H62)</f>
        <v>0</v>
      </c>
      <c r="I12" s="138">
        <f>SUM(I13:I62)</f>
        <v>0</v>
      </c>
      <c r="J12" s="211"/>
      <c r="K12" s="212">
        <f>SUM(K13:K62)</f>
        <v>220.11883200000003</v>
      </c>
      <c r="L12" s="149"/>
      <c r="AI12" s="20"/>
      <c r="AS12" s="29">
        <f>SUM(AJ13:AJ62)</f>
        <v>0</v>
      </c>
      <c r="AT12" s="29">
        <f>SUM(AK13:AK62)</f>
        <v>0</v>
      </c>
      <c r="AU12" s="29">
        <f>SUM(AL13:AL62)</f>
        <v>0</v>
      </c>
    </row>
    <row r="13" spans="1:62" ht="12.75">
      <c r="A13" s="107" t="s">
        <v>7</v>
      </c>
      <c r="B13" s="108" t="s">
        <v>321</v>
      </c>
      <c r="C13" s="109" t="s">
        <v>648</v>
      </c>
      <c r="D13" s="205" t="s">
        <v>1004</v>
      </c>
      <c r="E13" s="110">
        <f>+E14</f>
        <v>0.0204</v>
      </c>
      <c r="F13" s="132">
        <v>0</v>
      </c>
      <c r="G13" s="139">
        <f>E13*AO13</f>
        <v>0</v>
      </c>
      <c r="H13" s="110">
        <f>E13*AP13</f>
        <v>0</v>
      </c>
      <c r="I13" s="140">
        <f>E13*F13</f>
        <v>0</v>
      </c>
      <c r="J13" s="213">
        <v>0</v>
      </c>
      <c r="K13" s="214">
        <f>E13*J13</f>
        <v>0</v>
      </c>
      <c r="L13" s="150" t="s">
        <v>1039</v>
      </c>
      <c r="Z13" s="27">
        <f>IF(AQ13="5",BJ13,0)</f>
        <v>0</v>
      </c>
      <c r="AB13" s="27">
        <f>IF(AQ13="1",BH13,0)</f>
        <v>0</v>
      </c>
      <c r="AC13" s="27">
        <f>IF(AQ13="1",BI13,0)</f>
        <v>0</v>
      </c>
      <c r="AD13" s="27">
        <f>IF(AQ13="7",BH13,0)</f>
        <v>0</v>
      </c>
      <c r="AE13" s="27">
        <f>IF(AQ13="7",BI13,0)</f>
        <v>0</v>
      </c>
      <c r="AF13" s="27">
        <f>IF(AQ13="2",BH13,0)</f>
        <v>0</v>
      </c>
      <c r="AG13" s="27">
        <f>IF(AQ13="2",BI13,0)</f>
        <v>0</v>
      </c>
      <c r="AH13" s="27">
        <f>IF(AQ13="0",BJ13,0)</f>
        <v>0</v>
      </c>
      <c r="AI13" s="20"/>
      <c r="AJ13" s="13">
        <f>IF(AN13=0,I13,0)</f>
        <v>0</v>
      </c>
      <c r="AK13" s="13">
        <f>IF(AN13=15,I13,0)</f>
        <v>0</v>
      </c>
      <c r="AL13" s="13">
        <f>IF(AN13=21,I13,0)</f>
        <v>0</v>
      </c>
      <c r="AN13" s="27">
        <v>21</v>
      </c>
      <c r="AO13" s="27">
        <f aca="true" t="shared" si="0" ref="AO13:AO25">F13*0</f>
        <v>0</v>
      </c>
      <c r="AP13" s="27">
        <f aca="true" t="shared" si="1" ref="AP13:AP25">F13*(1-0)</f>
        <v>0</v>
      </c>
      <c r="AQ13" s="23" t="s">
        <v>7</v>
      </c>
      <c r="AV13" s="27">
        <f>AW13+AX13</f>
        <v>0</v>
      </c>
      <c r="AW13" s="27">
        <f>E13*AO13</f>
        <v>0</v>
      </c>
      <c r="AX13" s="27">
        <f>E13*AP13</f>
        <v>0</v>
      </c>
      <c r="AY13" s="28" t="s">
        <v>1051</v>
      </c>
      <c r="AZ13" s="28" t="s">
        <v>1093</v>
      </c>
      <c r="BA13" s="20" t="s">
        <v>1106</v>
      </c>
      <c r="BC13" s="27">
        <f>AW13+AX13</f>
        <v>0</v>
      </c>
      <c r="BD13" s="27">
        <f>F13/(100-BE13)*100</f>
        <v>0</v>
      </c>
      <c r="BE13" s="27">
        <v>0</v>
      </c>
      <c r="BF13" s="27">
        <f>K13</f>
        <v>0</v>
      </c>
      <c r="BH13" s="13">
        <f>E13*AO13</f>
        <v>0</v>
      </c>
      <c r="BI13" s="13">
        <f>E13*AP13</f>
        <v>0</v>
      </c>
      <c r="BJ13" s="13">
        <f>E13*F13</f>
        <v>0</v>
      </c>
    </row>
    <row r="14" spans="1:62" ht="12.75">
      <c r="A14" s="107"/>
      <c r="B14" s="108"/>
      <c r="C14" s="99" t="s">
        <v>1611</v>
      </c>
      <c r="D14" s="100" t="s">
        <v>1004</v>
      </c>
      <c r="E14" s="101">
        <f>30*(2.8+2*2)/10000</f>
        <v>0.0204</v>
      </c>
      <c r="F14" s="132"/>
      <c r="G14" s="139"/>
      <c r="H14" s="110"/>
      <c r="I14" s="140"/>
      <c r="J14" s="213"/>
      <c r="K14" s="214"/>
      <c r="L14" s="150"/>
      <c r="Z14" s="27"/>
      <c r="AB14" s="27"/>
      <c r="AC14" s="27"/>
      <c r="AD14" s="27"/>
      <c r="AE14" s="27"/>
      <c r="AF14" s="27"/>
      <c r="AG14" s="27"/>
      <c r="AH14" s="27"/>
      <c r="AI14" s="20"/>
      <c r="AJ14" s="13"/>
      <c r="AK14" s="13"/>
      <c r="AL14" s="13"/>
      <c r="AN14" s="27"/>
      <c r="AO14" s="27"/>
      <c r="AP14" s="27"/>
      <c r="AQ14" s="23"/>
      <c r="AV14" s="27"/>
      <c r="AW14" s="27"/>
      <c r="AX14" s="27"/>
      <c r="AY14" s="28"/>
      <c r="AZ14" s="28"/>
      <c r="BA14" s="20"/>
      <c r="BC14" s="27"/>
      <c r="BD14" s="27"/>
      <c r="BE14" s="27"/>
      <c r="BF14" s="27"/>
      <c r="BH14" s="13"/>
      <c r="BI14" s="13"/>
      <c r="BJ14" s="13"/>
    </row>
    <row r="15" spans="1:62" ht="25.5">
      <c r="A15" s="107" t="s">
        <v>8</v>
      </c>
      <c r="B15" s="108" t="s">
        <v>322</v>
      </c>
      <c r="C15" s="109" t="s">
        <v>649</v>
      </c>
      <c r="D15" s="205" t="s">
        <v>1005</v>
      </c>
      <c r="E15" s="110">
        <f>+E16</f>
        <v>818</v>
      </c>
      <c r="F15" s="132">
        <v>0</v>
      </c>
      <c r="G15" s="139">
        <f>E15*AO15</f>
        <v>0</v>
      </c>
      <c r="H15" s="110">
        <f>E15*AP15</f>
        <v>0</v>
      </c>
      <c r="I15" s="140">
        <f>E15*F15</f>
        <v>0</v>
      </c>
      <c r="J15" s="213">
        <v>0</v>
      </c>
      <c r="K15" s="214">
        <f>E15*J15</f>
        <v>0</v>
      </c>
      <c r="L15" s="150" t="s">
        <v>1039</v>
      </c>
      <c r="Z15" s="27">
        <f>IF(AQ15="5",BJ15,0)</f>
        <v>0</v>
      </c>
      <c r="AB15" s="27">
        <f>IF(AQ15="1",BH15,0)</f>
        <v>0</v>
      </c>
      <c r="AC15" s="27">
        <f>IF(AQ15="1",BI15,0)</f>
        <v>0</v>
      </c>
      <c r="AD15" s="27">
        <f>IF(AQ15="7",BH15,0)</f>
        <v>0</v>
      </c>
      <c r="AE15" s="27">
        <f>IF(AQ15="7",BI15,0)</f>
        <v>0</v>
      </c>
      <c r="AF15" s="27">
        <f>IF(AQ15="2",BH15,0)</f>
        <v>0</v>
      </c>
      <c r="AG15" s="27">
        <f>IF(AQ15="2",BI15,0)</f>
        <v>0</v>
      </c>
      <c r="AH15" s="27">
        <f>IF(AQ15="0",BJ15,0)</f>
        <v>0</v>
      </c>
      <c r="AI15" s="20"/>
      <c r="AJ15" s="13">
        <f>IF(AN15=0,I15,0)</f>
        <v>0</v>
      </c>
      <c r="AK15" s="13">
        <f>IF(AN15=15,I15,0)</f>
        <v>0</v>
      </c>
      <c r="AL15" s="13">
        <f>IF(AN15=21,I15,0)</f>
        <v>0</v>
      </c>
      <c r="AN15" s="27">
        <v>21</v>
      </c>
      <c r="AO15" s="27">
        <f t="shared" si="0"/>
        <v>0</v>
      </c>
      <c r="AP15" s="27">
        <f t="shared" si="1"/>
        <v>0</v>
      </c>
      <c r="AQ15" s="23" t="s">
        <v>7</v>
      </c>
      <c r="AV15" s="27">
        <f>AW15+AX15</f>
        <v>0</v>
      </c>
      <c r="AW15" s="27">
        <f>E15*AO15</f>
        <v>0</v>
      </c>
      <c r="AX15" s="27">
        <f>E15*AP15</f>
        <v>0</v>
      </c>
      <c r="AY15" s="28" t="s">
        <v>1051</v>
      </c>
      <c r="AZ15" s="28" t="s">
        <v>1093</v>
      </c>
      <c r="BA15" s="20" t="s">
        <v>1106</v>
      </c>
      <c r="BC15" s="27">
        <f>AW15+AX15</f>
        <v>0</v>
      </c>
      <c r="BD15" s="27">
        <f>F15/(100-BE15)*100</f>
        <v>0</v>
      </c>
      <c r="BE15" s="27">
        <v>0</v>
      </c>
      <c r="BF15" s="27">
        <f>K15</f>
        <v>0</v>
      </c>
      <c r="BH15" s="13">
        <f>E15*AO15</f>
        <v>0</v>
      </c>
      <c r="BI15" s="13">
        <f>E15*AP15</f>
        <v>0</v>
      </c>
      <c r="BJ15" s="13">
        <f>E15*F15</f>
        <v>0</v>
      </c>
    </row>
    <row r="16" spans="1:62" ht="12.75">
      <c r="A16" s="107"/>
      <c r="B16" s="108"/>
      <c r="C16" s="99" t="s">
        <v>1612</v>
      </c>
      <c r="D16" s="100" t="s">
        <v>1005</v>
      </c>
      <c r="E16" s="101">
        <f>200+618</f>
        <v>818</v>
      </c>
      <c r="F16" s="132"/>
      <c r="G16" s="139"/>
      <c r="H16" s="110"/>
      <c r="I16" s="140"/>
      <c r="J16" s="213"/>
      <c r="K16" s="214"/>
      <c r="L16" s="150"/>
      <c r="Z16" s="27"/>
      <c r="AB16" s="27"/>
      <c r="AC16" s="27"/>
      <c r="AD16" s="27"/>
      <c r="AE16" s="27"/>
      <c r="AF16" s="27"/>
      <c r="AG16" s="27"/>
      <c r="AH16" s="27"/>
      <c r="AI16" s="20"/>
      <c r="AJ16" s="13"/>
      <c r="AK16" s="13"/>
      <c r="AL16" s="13"/>
      <c r="AN16" s="27"/>
      <c r="AO16" s="27"/>
      <c r="AP16" s="27"/>
      <c r="AQ16" s="23"/>
      <c r="AV16" s="27"/>
      <c r="AW16" s="27"/>
      <c r="AX16" s="27"/>
      <c r="AY16" s="28"/>
      <c r="AZ16" s="28"/>
      <c r="BA16" s="20"/>
      <c r="BC16" s="27"/>
      <c r="BD16" s="27"/>
      <c r="BE16" s="27"/>
      <c r="BF16" s="27"/>
      <c r="BH16" s="13"/>
      <c r="BI16" s="13"/>
      <c r="BJ16" s="13"/>
    </row>
    <row r="17" spans="1:62" ht="12.75">
      <c r="A17" s="107" t="s">
        <v>9</v>
      </c>
      <c r="B17" s="108" t="s">
        <v>323</v>
      </c>
      <c r="C17" s="109" t="s">
        <v>650</v>
      </c>
      <c r="D17" s="205" t="s">
        <v>1006</v>
      </c>
      <c r="E17" s="110">
        <f>+E18</f>
        <v>26.089999999999996</v>
      </c>
      <c r="F17" s="132">
        <v>0</v>
      </c>
      <c r="G17" s="139">
        <f>E17*AO17</f>
        <v>0</v>
      </c>
      <c r="H17" s="110">
        <f>E17*AP17</f>
        <v>0</v>
      </c>
      <c r="I17" s="140">
        <f>E17*F17</f>
        <v>0</v>
      </c>
      <c r="J17" s="213">
        <v>0</v>
      </c>
      <c r="K17" s="214">
        <f>E17*J17</f>
        <v>0</v>
      </c>
      <c r="L17" s="150" t="s">
        <v>1039</v>
      </c>
      <c r="Z17" s="27">
        <f>IF(AQ17="5",BJ17,0)</f>
        <v>0</v>
      </c>
      <c r="AB17" s="27">
        <f>IF(AQ17="1",BH17,0)</f>
        <v>0</v>
      </c>
      <c r="AC17" s="27">
        <f>IF(AQ17="1",BI17,0)</f>
        <v>0</v>
      </c>
      <c r="AD17" s="27">
        <f>IF(AQ17="7",BH17,0)</f>
        <v>0</v>
      </c>
      <c r="AE17" s="27">
        <f>IF(AQ17="7",BI17,0)</f>
        <v>0</v>
      </c>
      <c r="AF17" s="27">
        <f>IF(AQ17="2",BH17,0)</f>
        <v>0</v>
      </c>
      <c r="AG17" s="27">
        <f>IF(AQ17="2",BI17,0)</f>
        <v>0</v>
      </c>
      <c r="AH17" s="27">
        <f>IF(AQ17="0",BJ17,0)</f>
        <v>0</v>
      </c>
      <c r="AI17" s="20"/>
      <c r="AJ17" s="13">
        <f>IF(AN17=0,I17,0)</f>
        <v>0</v>
      </c>
      <c r="AK17" s="13">
        <f>IF(AN17=15,I17,0)</f>
        <v>0</v>
      </c>
      <c r="AL17" s="13">
        <f>IF(AN17=21,I17,0)</f>
        <v>0</v>
      </c>
      <c r="AN17" s="27">
        <v>21</v>
      </c>
      <c r="AO17" s="27">
        <f t="shared" si="0"/>
        <v>0</v>
      </c>
      <c r="AP17" s="27">
        <f t="shared" si="1"/>
        <v>0</v>
      </c>
      <c r="AQ17" s="23" t="s">
        <v>7</v>
      </c>
      <c r="AV17" s="27">
        <f>AW17+AX17</f>
        <v>0</v>
      </c>
      <c r="AW17" s="27">
        <f>E17*AO17</f>
        <v>0</v>
      </c>
      <c r="AX17" s="27">
        <f>E17*AP17</f>
        <v>0</v>
      </c>
      <c r="AY17" s="28" t="s">
        <v>1051</v>
      </c>
      <c r="AZ17" s="28" t="s">
        <v>1093</v>
      </c>
      <c r="BA17" s="20" t="s">
        <v>1106</v>
      </c>
      <c r="BC17" s="27">
        <f>AW17+AX17</f>
        <v>0</v>
      </c>
      <c r="BD17" s="27">
        <f>F17/(100-BE17)*100</f>
        <v>0</v>
      </c>
      <c r="BE17" s="27">
        <v>0</v>
      </c>
      <c r="BF17" s="27">
        <f>K17</f>
        <v>0</v>
      </c>
      <c r="BH17" s="13">
        <f>E17*AO17</f>
        <v>0</v>
      </c>
      <c r="BI17" s="13">
        <f>E17*AP17</f>
        <v>0</v>
      </c>
      <c r="BJ17" s="13">
        <f>E17*F17</f>
        <v>0</v>
      </c>
    </row>
    <row r="18" spans="1:62" ht="25.5">
      <c r="A18" s="107"/>
      <c r="B18" s="108"/>
      <c r="C18" s="99" t="s">
        <v>1613</v>
      </c>
      <c r="D18" s="100" t="s">
        <v>1006</v>
      </c>
      <c r="E18" s="101">
        <f>+0.58*19+0.96*7+1.56*4+2.11*1</f>
        <v>26.089999999999996</v>
      </c>
      <c r="F18" s="132"/>
      <c r="G18" s="139"/>
      <c r="H18" s="110"/>
      <c r="I18" s="140"/>
      <c r="J18" s="213"/>
      <c r="K18" s="214"/>
      <c r="L18" s="150"/>
      <c r="Z18" s="27"/>
      <c r="AB18" s="27"/>
      <c r="AC18" s="27"/>
      <c r="AD18" s="27"/>
      <c r="AE18" s="27"/>
      <c r="AF18" s="27"/>
      <c r="AG18" s="27"/>
      <c r="AH18" s="27"/>
      <c r="AI18" s="20"/>
      <c r="AJ18" s="13"/>
      <c r="AK18" s="13"/>
      <c r="AL18" s="13"/>
      <c r="AN18" s="27"/>
      <c r="AO18" s="27"/>
      <c r="AP18" s="27"/>
      <c r="AQ18" s="23"/>
      <c r="AV18" s="27"/>
      <c r="AW18" s="27"/>
      <c r="AX18" s="27"/>
      <c r="AY18" s="28"/>
      <c r="AZ18" s="28"/>
      <c r="BA18" s="20"/>
      <c r="BC18" s="27"/>
      <c r="BD18" s="27"/>
      <c r="BE18" s="27"/>
      <c r="BF18" s="27"/>
      <c r="BH18" s="13"/>
      <c r="BI18" s="13"/>
      <c r="BJ18" s="13"/>
    </row>
    <row r="19" spans="1:62" ht="12.75">
      <c r="A19" s="107" t="s">
        <v>10</v>
      </c>
      <c r="B19" s="108" t="s">
        <v>324</v>
      </c>
      <c r="C19" s="109" t="s">
        <v>651</v>
      </c>
      <c r="D19" s="205" t="s">
        <v>1005</v>
      </c>
      <c r="E19" s="110">
        <f>+E20</f>
        <v>1633</v>
      </c>
      <c r="F19" s="132">
        <v>0</v>
      </c>
      <c r="G19" s="139">
        <f>E19*AO19</f>
        <v>0</v>
      </c>
      <c r="H19" s="110">
        <f>E19*AP19</f>
        <v>0</v>
      </c>
      <c r="I19" s="140">
        <f>E19*F19</f>
        <v>0</v>
      </c>
      <c r="J19" s="213">
        <v>0</v>
      </c>
      <c r="K19" s="214">
        <f>E19*J19</f>
        <v>0</v>
      </c>
      <c r="L19" s="150" t="s">
        <v>1039</v>
      </c>
      <c r="Z19" s="27">
        <f>IF(AQ19="5",BJ19,0)</f>
        <v>0</v>
      </c>
      <c r="AB19" s="27">
        <f>IF(AQ19="1",BH19,0)</f>
        <v>0</v>
      </c>
      <c r="AC19" s="27">
        <f>IF(AQ19="1",BI19,0)</f>
        <v>0</v>
      </c>
      <c r="AD19" s="27">
        <f>IF(AQ19="7",BH19,0)</f>
        <v>0</v>
      </c>
      <c r="AE19" s="27">
        <f>IF(AQ19="7",BI19,0)</f>
        <v>0</v>
      </c>
      <c r="AF19" s="27">
        <f>IF(AQ19="2",BH19,0)</f>
        <v>0</v>
      </c>
      <c r="AG19" s="27">
        <f>IF(AQ19="2",BI19,0)</f>
        <v>0</v>
      </c>
      <c r="AH19" s="27">
        <f>IF(AQ19="0",BJ19,0)</f>
        <v>0</v>
      </c>
      <c r="AI19" s="20"/>
      <c r="AJ19" s="13">
        <f>IF(AN19=0,I19,0)</f>
        <v>0</v>
      </c>
      <c r="AK19" s="13">
        <f>IF(AN19=15,I19,0)</f>
        <v>0</v>
      </c>
      <c r="AL19" s="13">
        <f>IF(AN19=21,I19,0)</f>
        <v>0</v>
      </c>
      <c r="AN19" s="27">
        <v>21</v>
      </c>
      <c r="AO19" s="27">
        <f t="shared" si="0"/>
        <v>0</v>
      </c>
      <c r="AP19" s="27">
        <f t="shared" si="1"/>
        <v>0</v>
      </c>
      <c r="AQ19" s="23" t="s">
        <v>7</v>
      </c>
      <c r="AV19" s="27">
        <f>AW19+AX19</f>
        <v>0</v>
      </c>
      <c r="AW19" s="27">
        <f>E19*AO19</f>
        <v>0</v>
      </c>
      <c r="AX19" s="27">
        <f>E19*AP19</f>
        <v>0</v>
      </c>
      <c r="AY19" s="28" t="s">
        <v>1051</v>
      </c>
      <c r="AZ19" s="28" t="s">
        <v>1093</v>
      </c>
      <c r="BA19" s="20" t="s">
        <v>1106</v>
      </c>
      <c r="BC19" s="27">
        <f>AW19+AX19</f>
        <v>0</v>
      </c>
      <c r="BD19" s="27">
        <f>F19/(100-BE19)*100</f>
        <v>0</v>
      </c>
      <c r="BE19" s="27">
        <v>0</v>
      </c>
      <c r="BF19" s="27">
        <f>K19</f>
        <v>0</v>
      </c>
      <c r="BH19" s="13">
        <f>E19*AO19</f>
        <v>0</v>
      </c>
      <c r="BI19" s="13">
        <f>E19*AP19</f>
        <v>0</v>
      </c>
      <c r="BJ19" s="13">
        <f>E19*F19</f>
        <v>0</v>
      </c>
    </row>
    <row r="20" spans="1:62" ht="12.75">
      <c r="A20" s="107"/>
      <c r="B20" s="108"/>
      <c r="C20" s="99" t="s">
        <v>1614</v>
      </c>
      <c r="D20" s="100" t="s">
        <v>1005</v>
      </c>
      <c r="E20" s="101">
        <f>+Výměry!E7</f>
        <v>1633</v>
      </c>
      <c r="F20" s="132"/>
      <c r="G20" s="139"/>
      <c r="H20" s="110"/>
      <c r="I20" s="140"/>
      <c r="J20" s="213"/>
      <c r="K20" s="214"/>
      <c r="L20" s="150"/>
      <c r="Z20" s="27"/>
      <c r="AB20" s="27"/>
      <c r="AC20" s="27"/>
      <c r="AD20" s="27"/>
      <c r="AE20" s="27"/>
      <c r="AF20" s="27"/>
      <c r="AG20" s="27"/>
      <c r="AH20" s="27"/>
      <c r="AI20" s="20"/>
      <c r="AJ20" s="13"/>
      <c r="AK20" s="13"/>
      <c r="AL20" s="13"/>
      <c r="AN20" s="27"/>
      <c r="AO20" s="27"/>
      <c r="AP20" s="27"/>
      <c r="AQ20" s="23"/>
      <c r="AV20" s="27"/>
      <c r="AW20" s="27"/>
      <c r="AX20" s="27"/>
      <c r="AY20" s="28"/>
      <c r="AZ20" s="28"/>
      <c r="BA20" s="20"/>
      <c r="BC20" s="27"/>
      <c r="BD20" s="27"/>
      <c r="BE20" s="27"/>
      <c r="BF20" s="27"/>
      <c r="BH20" s="13"/>
      <c r="BI20" s="13"/>
      <c r="BJ20" s="13"/>
    </row>
    <row r="21" spans="1:62" ht="25.5">
      <c r="A21" s="107" t="s">
        <v>11</v>
      </c>
      <c r="B21" s="108" t="s">
        <v>325</v>
      </c>
      <c r="C21" s="109" t="s">
        <v>652</v>
      </c>
      <c r="D21" s="205" t="s">
        <v>1007</v>
      </c>
      <c r="E21" s="110">
        <f>+E22</f>
        <v>19</v>
      </c>
      <c r="F21" s="132">
        <v>0</v>
      </c>
      <c r="G21" s="139">
        <f>E21*AO21</f>
        <v>0</v>
      </c>
      <c r="H21" s="110">
        <f>E21*AP21</f>
        <v>0</v>
      </c>
      <c r="I21" s="140">
        <f>E21*F21</f>
        <v>0</v>
      </c>
      <c r="J21" s="213">
        <v>0</v>
      </c>
      <c r="K21" s="214">
        <f>E21*J21</f>
        <v>0</v>
      </c>
      <c r="L21" s="150" t="s">
        <v>1039</v>
      </c>
      <c r="Z21" s="27">
        <f>IF(AQ21="5",BJ21,0)</f>
        <v>0</v>
      </c>
      <c r="AB21" s="27">
        <f>IF(AQ21="1",BH21,0)</f>
        <v>0</v>
      </c>
      <c r="AC21" s="27">
        <f>IF(AQ21="1",BI21,0)</f>
        <v>0</v>
      </c>
      <c r="AD21" s="27">
        <f>IF(AQ21="7",BH21,0)</f>
        <v>0</v>
      </c>
      <c r="AE21" s="27">
        <f>IF(AQ21="7",BI21,0)</f>
        <v>0</v>
      </c>
      <c r="AF21" s="27">
        <f>IF(AQ21="2",BH21,0)</f>
        <v>0</v>
      </c>
      <c r="AG21" s="27">
        <f>IF(AQ21="2",BI21,0)</f>
        <v>0</v>
      </c>
      <c r="AH21" s="27">
        <f>IF(AQ21="0",BJ21,0)</f>
        <v>0</v>
      </c>
      <c r="AI21" s="20"/>
      <c r="AJ21" s="13">
        <f>IF(AN21=0,I21,0)</f>
        <v>0</v>
      </c>
      <c r="AK21" s="13">
        <f>IF(AN21=15,I21,0)</f>
        <v>0</v>
      </c>
      <c r="AL21" s="13">
        <f>IF(AN21=21,I21,0)</f>
        <v>0</v>
      </c>
      <c r="AN21" s="27">
        <v>21</v>
      </c>
      <c r="AO21" s="27">
        <f t="shared" si="0"/>
        <v>0</v>
      </c>
      <c r="AP21" s="27">
        <f t="shared" si="1"/>
        <v>0</v>
      </c>
      <c r="AQ21" s="23" t="s">
        <v>7</v>
      </c>
      <c r="AV21" s="27">
        <f>AW21+AX21</f>
        <v>0</v>
      </c>
      <c r="AW21" s="27">
        <f>E21*AO21</f>
        <v>0</v>
      </c>
      <c r="AX21" s="27">
        <f>E21*AP21</f>
        <v>0</v>
      </c>
      <c r="AY21" s="28" t="s">
        <v>1051</v>
      </c>
      <c r="AZ21" s="28" t="s">
        <v>1093</v>
      </c>
      <c r="BA21" s="20" t="s">
        <v>1106</v>
      </c>
      <c r="BC21" s="27">
        <f>AW21+AX21</f>
        <v>0</v>
      </c>
      <c r="BD21" s="27">
        <f>F21/(100-BE21)*100</f>
        <v>0</v>
      </c>
      <c r="BE21" s="27">
        <v>0</v>
      </c>
      <c r="BF21" s="27">
        <f>K21</f>
        <v>0</v>
      </c>
      <c r="BH21" s="13">
        <f>E21*AO21</f>
        <v>0</v>
      </c>
      <c r="BI21" s="13">
        <f>E21*AP21</f>
        <v>0</v>
      </c>
      <c r="BJ21" s="13">
        <f>E21*F21</f>
        <v>0</v>
      </c>
    </row>
    <row r="22" spans="1:62" ht="12.75">
      <c r="A22" s="107"/>
      <c r="B22" s="108"/>
      <c r="C22" s="99" t="s">
        <v>1615</v>
      </c>
      <c r="D22" s="100" t="s">
        <v>1007</v>
      </c>
      <c r="E22" s="101">
        <f>16+3</f>
        <v>19</v>
      </c>
      <c r="F22" s="132"/>
      <c r="G22" s="139"/>
      <c r="H22" s="110"/>
      <c r="I22" s="140"/>
      <c r="J22" s="213"/>
      <c r="K22" s="214"/>
      <c r="L22" s="150"/>
      <c r="Z22" s="27"/>
      <c r="AB22" s="27"/>
      <c r="AC22" s="27"/>
      <c r="AD22" s="27"/>
      <c r="AE22" s="27"/>
      <c r="AF22" s="27"/>
      <c r="AG22" s="27"/>
      <c r="AH22" s="27"/>
      <c r="AI22" s="20"/>
      <c r="AJ22" s="13"/>
      <c r="AK22" s="13"/>
      <c r="AL22" s="13"/>
      <c r="AN22" s="27"/>
      <c r="AO22" s="27"/>
      <c r="AP22" s="27"/>
      <c r="AQ22" s="23"/>
      <c r="AV22" s="27"/>
      <c r="AW22" s="27"/>
      <c r="AX22" s="27"/>
      <c r="AY22" s="28"/>
      <c r="AZ22" s="28"/>
      <c r="BA22" s="20"/>
      <c r="BC22" s="27"/>
      <c r="BD22" s="27"/>
      <c r="BE22" s="27"/>
      <c r="BF22" s="27"/>
      <c r="BH22" s="13"/>
      <c r="BI22" s="13"/>
      <c r="BJ22" s="13"/>
    </row>
    <row r="23" spans="1:62" ht="25.5">
      <c r="A23" s="107" t="s">
        <v>12</v>
      </c>
      <c r="B23" s="108" t="s">
        <v>326</v>
      </c>
      <c r="C23" s="109" t="s">
        <v>653</v>
      </c>
      <c r="D23" s="205" t="s">
        <v>1007</v>
      </c>
      <c r="E23" s="110">
        <f>+E24</f>
        <v>10</v>
      </c>
      <c r="F23" s="132">
        <v>0</v>
      </c>
      <c r="G23" s="139">
        <f>E23*AO23</f>
        <v>0</v>
      </c>
      <c r="H23" s="110">
        <f>E23*AP23</f>
        <v>0</v>
      </c>
      <c r="I23" s="140">
        <f>E23*F23</f>
        <v>0</v>
      </c>
      <c r="J23" s="213">
        <v>0</v>
      </c>
      <c r="K23" s="214">
        <f>E23*J23</f>
        <v>0</v>
      </c>
      <c r="L23" s="150" t="s">
        <v>1039</v>
      </c>
      <c r="Z23" s="27">
        <f>IF(AQ23="5",BJ23,0)</f>
        <v>0</v>
      </c>
      <c r="AB23" s="27">
        <f>IF(AQ23="1",BH23,0)</f>
        <v>0</v>
      </c>
      <c r="AC23" s="27">
        <f>IF(AQ23="1",BI23,0)</f>
        <v>0</v>
      </c>
      <c r="AD23" s="27">
        <f>IF(AQ23="7",BH23,0)</f>
        <v>0</v>
      </c>
      <c r="AE23" s="27">
        <f>IF(AQ23="7",BI23,0)</f>
        <v>0</v>
      </c>
      <c r="AF23" s="27">
        <f>IF(AQ23="2",BH23,0)</f>
        <v>0</v>
      </c>
      <c r="AG23" s="27">
        <f>IF(AQ23="2",BI23,0)</f>
        <v>0</v>
      </c>
      <c r="AH23" s="27">
        <f>IF(AQ23="0",BJ23,0)</f>
        <v>0</v>
      </c>
      <c r="AI23" s="20"/>
      <c r="AJ23" s="13">
        <f>IF(AN23=0,I23,0)</f>
        <v>0</v>
      </c>
      <c r="AK23" s="13">
        <f>IF(AN23=15,I23,0)</f>
        <v>0</v>
      </c>
      <c r="AL23" s="13">
        <f>IF(AN23=21,I23,0)</f>
        <v>0</v>
      </c>
      <c r="AN23" s="27">
        <v>21</v>
      </c>
      <c r="AO23" s="27">
        <f t="shared" si="0"/>
        <v>0</v>
      </c>
      <c r="AP23" s="27">
        <f t="shared" si="1"/>
        <v>0</v>
      </c>
      <c r="AQ23" s="23" t="s">
        <v>7</v>
      </c>
      <c r="AV23" s="27">
        <f>AW23+AX23</f>
        <v>0</v>
      </c>
      <c r="AW23" s="27">
        <f>E23*AO23</f>
        <v>0</v>
      </c>
      <c r="AX23" s="27">
        <f>E23*AP23</f>
        <v>0</v>
      </c>
      <c r="AY23" s="28" t="s">
        <v>1051</v>
      </c>
      <c r="AZ23" s="28" t="s">
        <v>1093</v>
      </c>
      <c r="BA23" s="20" t="s">
        <v>1106</v>
      </c>
      <c r="BC23" s="27">
        <f>AW23+AX23</f>
        <v>0</v>
      </c>
      <c r="BD23" s="27">
        <f>F23/(100-BE23)*100</f>
        <v>0</v>
      </c>
      <c r="BE23" s="27">
        <v>0</v>
      </c>
      <c r="BF23" s="27">
        <f>K23</f>
        <v>0</v>
      </c>
      <c r="BH23" s="13">
        <f>E23*AO23</f>
        <v>0</v>
      </c>
      <c r="BI23" s="13">
        <f>E23*AP23</f>
        <v>0</v>
      </c>
      <c r="BJ23" s="13">
        <f>E23*F23</f>
        <v>0</v>
      </c>
    </row>
    <row r="24" spans="1:62" ht="12.75">
      <c r="A24" s="107"/>
      <c r="B24" s="108"/>
      <c r="C24" s="99" t="s">
        <v>1616</v>
      </c>
      <c r="D24" s="100" t="s">
        <v>1007</v>
      </c>
      <c r="E24" s="101">
        <f>3+4+3</f>
        <v>10</v>
      </c>
      <c r="F24" s="132"/>
      <c r="G24" s="139"/>
      <c r="H24" s="110"/>
      <c r="I24" s="140"/>
      <c r="J24" s="213"/>
      <c r="K24" s="214"/>
      <c r="L24" s="150"/>
      <c r="Z24" s="27"/>
      <c r="AB24" s="27"/>
      <c r="AC24" s="27"/>
      <c r="AD24" s="27"/>
      <c r="AE24" s="27"/>
      <c r="AF24" s="27"/>
      <c r="AG24" s="27"/>
      <c r="AH24" s="27"/>
      <c r="AI24" s="20"/>
      <c r="AJ24" s="13"/>
      <c r="AK24" s="13"/>
      <c r="AL24" s="13"/>
      <c r="AN24" s="27"/>
      <c r="AO24" s="27"/>
      <c r="AP24" s="27"/>
      <c r="AQ24" s="23"/>
      <c r="AV24" s="27"/>
      <c r="AW24" s="27"/>
      <c r="AX24" s="27"/>
      <c r="AY24" s="28"/>
      <c r="AZ24" s="28"/>
      <c r="BA24" s="20"/>
      <c r="BC24" s="27"/>
      <c r="BD24" s="27"/>
      <c r="BE24" s="27"/>
      <c r="BF24" s="27"/>
      <c r="BH24" s="13"/>
      <c r="BI24" s="13"/>
      <c r="BJ24" s="13"/>
    </row>
    <row r="25" spans="1:62" ht="25.5">
      <c r="A25" s="107" t="s">
        <v>13</v>
      </c>
      <c r="B25" s="108" t="s">
        <v>327</v>
      </c>
      <c r="C25" s="109" t="s">
        <v>654</v>
      </c>
      <c r="D25" s="205" t="s">
        <v>1007</v>
      </c>
      <c r="E25" s="110">
        <f>+E26</f>
        <v>2</v>
      </c>
      <c r="F25" s="132">
        <v>0</v>
      </c>
      <c r="G25" s="139">
        <f>E25*AO25</f>
        <v>0</v>
      </c>
      <c r="H25" s="110">
        <f>E25*AP25</f>
        <v>0</v>
      </c>
      <c r="I25" s="140">
        <f>E25*F25</f>
        <v>0</v>
      </c>
      <c r="J25" s="213">
        <v>0</v>
      </c>
      <c r="K25" s="214">
        <f>E25*J25</f>
        <v>0</v>
      </c>
      <c r="L25" s="150" t="s">
        <v>1039</v>
      </c>
      <c r="Z25" s="27">
        <f>IF(AQ25="5",BJ25,0)</f>
        <v>0</v>
      </c>
      <c r="AB25" s="27">
        <f>IF(AQ25="1",BH25,0)</f>
        <v>0</v>
      </c>
      <c r="AC25" s="27">
        <f>IF(AQ25="1",BI25,0)</f>
        <v>0</v>
      </c>
      <c r="AD25" s="27">
        <f>IF(AQ25="7",BH25,0)</f>
        <v>0</v>
      </c>
      <c r="AE25" s="27">
        <f>IF(AQ25="7",BI25,0)</f>
        <v>0</v>
      </c>
      <c r="AF25" s="27">
        <f>IF(AQ25="2",BH25,0)</f>
        <v>0</v>
      </c>
      <c r="AG25" s="27">
        <f>IF(AQ25="2",BI25,0)</f>
        <v>0</v>
      </c>
      <c r="AH25" s="27">
        <f>IF(AQ25="0",BJ25,0)</f>
        <v>0</v>
      </c>
      <c r="AI25" s="20"/>
      <c r="AJ25" s="13">
        <f>IF(AN25=0,I25,0)</f>
        <v>0</v>
      </c>
      <c r="AK25" s="13">
        <f>IF(AN25=15,I25,0)</f>
        <v>0</v>
      </c>
      <c r="AL25" s="13">
        <f>IF(AN25=21,I25,0)</f>
        <v>0</v>
      </c>
      <c r="AN25" s="27">
        <v>21</v>
      </c>
      <c r="AO25" s="27">
        <f t="shared" si="0"/>
        <v>0</v>
      </c>
      <c r="AP25" s="27">
        <f t="shared" si="1"/>
        <v>0</v>
      </c>
      <c r="AQ25" s="23" t="s">
        <v>7</v>
      </c>
      <c r="AV25" s="27">
        <f>AW25+AX25</f>
        <v>0</v>
      </c>
      <c r="AW25" s="27">
        <f>E25*AO25</f>
        <v>0</v>
      </c>
      <c r="AX25" s="27">
        <f>E25*AP25</f>
        <v>0</v>
      </c>
      <c r="AY25" s="28" t="s">
        <v>1051</v>
      </c>
      <c r="AZ25" s="28" t="s">
        <v>1093</v>
      </c>
      <c r="BA25" s="20" t="s">
        <v>1106</v>
      </c>
      <c r="BC25" s="27">
        <f>AW25+AX25</f>
        <v>0</v>
      </c>
      <c r="BD25" s="27">
        <f>F25/(100-BE25)*100</f>
        <v>0</v>
      </c>
      <c r="BE25" s="27">
        <v>0</v>
      </c>
      <c r="BF25" s="27">
        <f>K25</f>
        <v>0</v>
      </c>
      <c r="BH25" s="13">
        <f>E25*AO25</f>
        <v>0</v>
      </c>
      <c r="BI25" s="13">
        <f>E25*AP25</f>
        <v>0</v>
      </c>
      <c r="BJ25" s="13">
        <f>E25*F25</f>
        <v>0</v>
      </c>
    </row>
    <row r="26" spans="1:62" ht="12.75">
      <c r="A26" s="107"/>
      <c r="B26" s="108"/>
      <c r="C26" s="99" t="s">
        <v>1617</v>
      </c>
      <c r="D26" s="100" t="s">
        <v>1007</v>
      </c>
      <c r="E26" s="101">
        <f>1+1</f>
        <v>2</v>
      </c>
      <c r="F26" s="132"/>
      <c r="G26" s="139"/>
      <c r="H26" s="110"/>
      <c r="I26" s="140"/>
      <c r="J26" s="213"/>
      <c r="K26" s="214"/>
      <c r="L26" s="150"/>
      <c r="Z26" s="27"/>
      <c r="AB26" s="27"/>
      <c r="AC26" s="27"/>
      <c r="AD26" s="27"/>
      <c r="AE26" s="27"/>
      <c r="AF26" s="27"/>
      <c r="AG26" s="27"/>
      <c r="AH26" s="27"/>
      <c r="AI26" s="20"/>
      <c r="AJ26" s="13"/>
      <c r="AK26" s="13"/>
      <c r="AL26" s="13"/>
      <c r="AN26" s="27"/>
      <c r="AO26" s="27"/>
      <c r="AP26" s="27"/>
      <c r="AQ26" s="23"/>
      <c r="AV26" s="27"/>
      <c r="AW26" s="27"/>
      <c r="AX26" s="27"/>
      <c r="AY26" s="28"/>
      <c r="AZ26" s="28"/>
      <c r="BA26" s="20"/>
      <c r="BC26" s="27"/>
      <c r="BD26" s="27"/>
      <c r="BE26" s="27"/>
      <c r="BF26" s="27"/>
      <c r="BH26" s="13"/>
      <c r="BI26" s="13"/>
      <c r="BJ26" s="13"/>
    </row>
    <row r="27" spans="1:62" ht="25.5">
      <c r="A27" s="107" t="s">
        <v>14</v>
      </c>
      <c r="B27" s="108" t="s">
        <v>328</v>
      </c>
      <c r="C27" s="109" t="s">
        <v>655</v>
      </c>
      <c r="D27" s="205" t="s">
        <v>1007</v>
      </c>
      <c r="E27" s="110">
        <f>+E28</f>
        <v>19</v>
      </c>
      <c r="F27" s="132">
        <v>0</v>
      </c>
      <c r="G27" s="139">
        <f>E27*AO27</f>
        <v>0</v>
      </c>
      <c r="H27" s="110">
        <f>E27*AP27</f>
        <v>0</v>
      </c>
      <c r="I27" s="140">
        <f>E27*F27</f>
        <v>0</v>
      </c>
      <c r="J27" s="213">
        <v>5E-05</v>
      </c>
      <c r="K27" s="214">
        <f>E27*J27</f>
        <v>0.00095</v>
      </c>
      <c r="L27" s="150" t="s">
        <v>1039</v>
      </c>
      <c r="Z27" s="27">
        <f>IF(AQ27="5",BJ27,0)</f>
        <v>0</v>
      </c>
      <c r="AB27" s="27">
        <f>IF(AQ27="1",BH27,0)</f>
        <v>0</v>
      </c>
      <c r="AC27" s="27">
        <f>IF(AQ27="1",BI27,0)</f>
        <v>0</v>
      </c>
      <c r="AD27" s="27">
        <f>IF(AQ27="7",BH27,0)</f>
        <v>0</v>
      </c>
      <c r="AE27" s="27">
        <f>IF(AQ27="7",BI27,0)</f>
        <v>0</v>
      </c>
      <c r="AF27" s="27">
        <f>IF(AQ27="2",BH27,0)</f>
        <v>0</v>
      </c>
      <c r="AG27" s="27">
        <f>IF(AQ27="2",BI27,0)</f>
        <v>0</v>
      </c>
      <c r="AH27" s="27">
        <f>IF(AQ27="0",BJ27,0)</f>
        <v>0</v>
      </c>
      <c r="AI27" s="20"/>
      <c r="AJ27" s="13">
        <f>IF(AN27=0,I27,0)</f>
        <v>0</v>
      </c>
      <c r="AK27" s="13">
        <f>IF(AN27=15,I27,0)</f>
        <v>0</v>
      </c>
      <c r="AL27" s="13">
        <f>IF(AN27=21,I27,0)</f>
        <v>0</v>
      </c>
      <c r="AN27" s="27">
        <v>21</v>
      </c>
      <c r="AO27" s="27">
        <f>F27*0.00676567656765677</f>
        <v>0</v>
      </c>
      <c r="AP27" s="27">
        <f>F27*(1-0.00676567656765677)</f>
        <v>0</v>
      </c>
      <c r="AQ27" s="23" t="s">
        <v>7</v>
      </c>
      <c r="AV27" s="27">
        <f>AW27+AX27</f>
        <v>0</v>
      </c>
      <c r="AW27" s="27">
        <f>E27*AO27</f>
        <v>0</v>
      </c>
      <c r="AX27" s="27">
        <f>E27*AP27</f>
        <v>0</v>
      </c>
      <c r="AY27" s="28" t="s">
        <v>1051</v>
      </c>
      <c r="AZ27" s="28" t="s">
        <v>1093</v>
      </c>
      <c r="BA27" s="20" t="s">
        <v>1106</v>
      </c>
      <c r="BC27" s="27">
        <f>AW27+AX27</f>
        <v>0</v>
      </c>
      <c r="BD27" s="27">
        <f>F27/(100-BE27)*100</f>
        <v>0</v>
      </c>
      <c r="BE27" s="27">
        <v>0</v>
      </c>
      <c r="BF27" s="27">
        <f>K27</f>
        <v>0.00095</v>
      </c>
      <c r="BH27" s="13">
        <f>E27*AO27</f>
        <v>0</v>
      </c>
      <c r="BI27" s="13">
        <f>E27*AP27</f>
        <v>0</v>
      </c>
      <c r="BJ27" s="13">
        <f>E27*F27</f>
        <v>0</v>
      </c>
    </row>
    <row r="28" spans="1:62" ht="12.75">
      <c r="A28" s="107"/>
      <c r="B28" s="108"/>
      <c r="C28" s="99" t="s">
        <v>1618</v>
      </c>
      <c r="D28" s="100" t="s">
        <v>1007</v>
      </c>
      <c r="E28" s="101">
        <f>+E21</f>
        <v>19</v>
      </c>
      <c r="F28" s="132"/>
      <c r="G28" s="139"/>
      <c r="H28" s="110"/>
      <c r="I28" s="140"/>
      <c r="J28" s="213"/>
      <c r="K28" s="214"/>
      <c r="L28" s="150"/>
      <c r="Z28" s="27"/>
      <c r="AB28" s="27"/>
      <c r="AC28" s="27"/>
      <c r="AD28" s="27"/>
      <c r="AE28" s="27"/>
      <c r="AF28" s="27"/>
      <c r="AG28" s="27"/>
      <c r="AH28" s="27"/>
      <c r="AI28" s="20"/>
      <c r="AJ28" s="13"/>
      <c r="AK28" s="13"/>
      <c r="AL28" s="13"/>
      <c r="AN28" s="27"/>
      <c r="AO28" s="27"/>
      <c r="AP28" s="27"/>
      <c r="AQ28" s="23"/>
      <c r="AV28" s="27"/>
      <c r="AW28" s="27"/>
      <c r="AX28" s="27"/>
      <c r="AY28" s="28"/>
      <c r="AZ28" s="28"/>
      <c r="BA28" s="20"/>
      <c r="BC28" s="27"/>
      <c r="BD28" s="27"/>
      <c r="BE28" s="27"/>
      <c r="BF28" s="27"/>
      <c r="BH28" s="13"/>
      <c r="BI28" s="13"/>
      <c r="BJ28" s="13"/>
    </row>
    <row r="29" spans="1:62" ht="25.5">
      <c r="A29" s="107" t="s">
        <v>15</v>
      </c>
      <c r="B29" s="108" t="s">
        <v>329</v>
      </c>
      <c r="C29" s="109" t="s">
        <v>656</v>
      </c>
      <c r="D29" s="205" t="s">
        <v>1007</v>
      </c>
      <c r="E29" s="110">
        <f>+E30</f>
        <v>10</v>
      </c>
      <c r="F29" s="132">
        <v>0</v>
      </c>
      <c r="G29" s="139">
        <f>E29*AO29</f>
        <v>0</v>
      </c>
      <c r="H29" s="110">
        <f>E29*AP29</f>
        <v>0</v>
      </c>
      <c r="I29" s="140">
        <f>E29*F29</f>
        <v>0</v>
      </c>
      <c r="J29" s="213">
        <v>5E-05</v>
      </c>
      <c r="K29" s="214">
        <f>E29*J29</f>
        <v>0.0005</v>
      </c>
      <c r="L29" s="150" t="s">
        <v>1039</v>
      </c>
      <c r="Z29" s="27">
        <f>IF(AQ29="5",BJ29,0)</f>
        <v>0</v>
      </c>
      <c r="AB29" s="27">
        <f>IF(AQ29="1",BH29,0)</f>
        <v>0</v>
      </c>
      <c r="AC29" s="27">
        <f>IF(AQ29="1",BI29,0)</f>
        <v>0</v>
      </c>
      <c r="AD29" s="27">
        <f>IF(AQ29="7",BH29,0)</f>
        <v>0</v>
      </c>
      <c r="AE29" s="27">
        <f>IF(AQ29="7",BI29,0)</f>
        <v>0</v>
      </c>
      <c r="AF29" s="27">
        <f>IF(AQ29="2",BH29,0)</f>
        <v>0</v>
      </c>
      <c r="AG29" s="27">
        <f>IF(AQ29="2",BI29,0)</f>
        <v>0</v>
      </c>
      <c r="AH29" s="27">
        <f>IF(AQ29="0",BJ29,0)</f>
        <v>0</v>
      </c>
      <c r="AI29" s="20"/>
      <c r="AJ29" s="13">
        <f>IF(AN29=0,I29,0)</f>
        <v>0</v>
      </c>
      <c r="AK29" s="13">
        <f>IF(AN29=15,I29,0)</f>
        <v>0</v>
      </c>
      <c r="AL29" s="13">
        <f>IF(AN29=21,I29,0)</f>
        <v>0</v>
      </c>
      <c r="AN29" s="27">
        <v>21</v>
      </c>
      <c r="AO29" s="27">
        <f>F29*0.00281593406593407</f>
        <v>0</v>
      </c>
      <c r="AP29" s="27">
        <f>F29*(1-0.00281593406593407)</f>
        <v>0</v>
      </c>
      <c r="AQ29" s="23" t="s">
        <v>7</v>
      </c>
      <c r="AV29" s="27">
        <f>AW29+AX29</f>
        <v>0</v>
      </c>
      <c r="AW29" s="27">
        <f>E29*AO29</f>
        <v>0</v>
      </c>
      <c r="AX29" s="27">
        <f>E29*AP29</f>
        <v>0</v>
      </c>
      <c r="AY29" s="28" t="s">
        <v>1051</v>
      </c>
      <c r="AZ29" s="28" t="s">
        <v>1093</v>
      </c>
      <c r="BA29" s="20" t="s">
        <v>1106</v>
      </c>
      <c r="BC29" s="27">
        <f>AW29+AX29</f>
        <v>0</v>
      </c>
      <c r="BD29" s="27">
        <f>F29/(100-BE29)*100</f>
        <v>0</v>
      </c>
      <c r="BE29" s="27">
        <v>0</v>
      </c>
      <c r="BF29" s="27">
        <f>K29</f>
        <v>0.0005</v>
      </c>
      <c r="BH29" s="13">
        <f>E29*AO29</f>
        <v>0</v>
      </c>
      <c r="BI29" s="13">
        <f>E29*AP29</f>
        <v>0</v>
      </c>
      <c r="BJ29" s="13">
        <f>E29*F29</f>
        <v>0</v>
      </c>
    </row>
    <row r="30" spans="1:62" ht="12.75">
      <c r="A30" s="107"/>
      <c r="B30" s="108"/>
      <c r="C30" s="99" t="s">
        <v>1619</v>
      </c>
      <c r="D30" s="100" t="s">
        <v>1007</v>
      </c>
      <c r="E30" s="101">
        <f>+E23</f>
        <v>10</v>
      </c>
      <c r="F30" s="132"/>
      <c r="G30" s="139"/>
      <c r="H30" s="110"/>
      <c r="I30" s="140"/>
      <c r="J30" s="213"/>
      <c r="K30" s="214"/>
      <c r="L30" s="150"/>
      <c r="Z30" s="27"/>
      <c r="AB30" s="27"/>
      <c r="AC30" s="27"/>
      <c r="AD30" s="27"/>
      <c r="AE30" s="27"/>
      <c r="AF30" s="27"/>
      <c r="AG30" s="27"/>
      <c r="AH30" s="27"/>
      <c r="AI30" s="20"/>
      <c r="AJ30" s="13"/>
      <c r="AK30" s="13"/>
      <c r="AL30" s="13"/>
      <c r="AN30" s="27"/>
      <c r="AO30" s="27"/>
      <c r="AP30" s="27"/>
      <c r="AQ30" s="23"/>
      <c r="AV30" s="27"/>
      <c r="AW30" s="27"/>
      <c r="AX30" s="27"/>
      <c r="AY30" s="28"/>
      <c r="AZ30" s="28"/>
      <c r="BA30" s="20"/>
      <c r="BC30" s="27"/>
      <c r="BD30" s="27"/>
      <c r="BE30" s="27"/>
      <c r="BF30" s="27"/>
      <c r="BH30" s="13"/>
      <c r="BI30" s="13"/>
      <c r="BJ30" s="13"/>
    </row>
    <row r="31" spans="1:62" ht="25.5">
      <c r="A31" s="107" t="s">
        <v>16</v>
      </c>
      <c r="B31" s="108" t="s">
        <v>330</v>
      </c>
      <c r="C31" s="109" t="s">
        <v>657</v>
      </c>
      <c r="D31" s="205" t="s">
        <v>1007</v>
      </c>
      <c r="E31" s="110">
        <f>+E32</f>
        <v>2</v>
      </c>
      <c r="F31" s="132">
        <v>0</v>
      </c>
      <c r="G31" s="139">
        <f>E31*AO31</f>
        <v>0</v>
      </c>
      <c r="H31" s="110">
        <f>E31*AP31</f>
        <v>0</v>
      </c>
      <c r="I31" s="140">
        <f>E31*F31</f>
        <v>0</v>
      </c>
      <c r="J31" s="213">
        <v>0.0001</v>
      </c>
      <c r="K31" s="214">
        <f>E31*J31</f>
        <v>0.0002</v>
      </c>
      <c r="L31" s="150" t="s">
        <v>1039</v>
      </c>
      <c r="Z31" s="27">
        <f>IF(AQ31="5",BJ31,0)</f>
        <v>0</v>
      </c>
      <c r="AB31" s="27">
        <f>IF(AQ31="1",BH31,0)</f>
        <v>0</v>
      </c>
      <c r="AC31" s="27">
        <f>IF(AQ31="1",BI31,0)</f>
        <v>0</v>
      </c>
      <c r="AD31" s="27">
        <f>IF(AQ31="7",BH31,0)</f>
        <v>0</v>
      </c>
      <c r="AE31" s="27">
        <f>IF(AQ31="7",BI31,0)</f>
        <v>0</v>
      </c>
      <c r="AF31" s="27">
        <f>IF(AQ31="2",BH31,0)</f>
        <v>0</v>
      </c>
      <c r="AG31" s="27">
        <f>IF(AQ31="2",BI31,0)</f>
        <v>0</v>
      </c>
      <c r="AH31" s="27">
        <f>IF(AQ31="0",BJ31,0)</f>
        <v>0</v>
      </c>
      <c r="AI31" s="20"/>
      <c r="AJ31" s="13">
        <f>IF(AN31=0,I31,0)</f>
        <v>0</v>
      </c>
      <c r="AK31" s="13">
        <f>IF(AN31=15,I31,0)</f>
        <v>0</v>
      </c>
      <c r="AL31" s="13">
        <f>IF(AN31=21,I31,0)</f>
        <v>0</v>
      </c>
      <c r="AN31" s="27">
        <v>21</v>
      </c>
      <c r="AO31" s="27">
        <f>F31*0.00369607640356478</f>
        <v>0</v>
      </c>
      <c r="AP31" s="27">
        <f>F31*(1-0.00369607640356478)</f>
        <v>0</v>
      </c>
      <c r="AQ31" s="23" t="s">
        <v>7</v>
      </c>
      <c r="AV31" s="27">
        <f>AW31+AX31</f>
        <v>0</v>
      </c>
      <c r="AW31" s="27">
        <f>E31*AO31</f>
        <v>0</v>
      </c>
      <c r="AX31" s="27">
        <f>E31*AP31</f>
        <v>0</v>
      </c>
      <c r="AY31" s="28" t="s">
        <v>1051</v>
      </c>
      <c r="AZ31" s="28" t="s">
        <v>1093</v>
      </c>
      <c r="BA31" s="20" t="s">
        <v>1106</v>
      </c>
      <c r="BC31" s="27">
        <f>AW31+AX31</f>
        <v>0</v>
      </c>
      <c r="BD31" s="27">
        <f>F31/(100-BE31)*100</f>
        <v>0</v>
      </c>
      <c r="BE31" s="27">
        <v>0</v>
      </c>
      <c r="BF31" s="27">
        <f>K31</f>
        <v>0.0002</v>
      </c>
      <c r="BH31" s="13">
        <f>E31*AO31</f>
        <v>0</v>
      </c>
      <c r="BI31" s="13">
        <f>E31*AP31</f>
        <v>0</v>
      </c>
      <c r="BJ31" s="13">
        <f>E31*F31</f>
        <v>0</v>
      </c>
    </row>
    <row r="32" spans="1:62" ht="12.75">
      <c r="A32" s="107"/>
      <c r="B32" s="108"/>
      <c r="C32" s="99" t="s">
        <v>1620</v>
      </c>
      <c r="D32" s="100" t="s">
        <v>1007</v>
      </c>
      <c r="E32" s="101">
        <f>+E25</f>
        <v>2</v>
      </c>
      <c r="F32" s="132"/>
      <c r="G32" s="139"/>
      <c r="H32" s="110"/>
      <c r="I32" s="140"/>
      <c r="J32" s="213"/>
      <c r="K32" s="214"/>
      <c r="L32" s="150"/>
      <c r="Z32" s="27"/>
      <c r="AB32" s="27"/>
      <c r="AC32" s="27"/>
      <c r="AD32" s="27"/>
      <c r="AE32" s="27"/>
      <c r="AF32" s="27"/>
      <c r="AG32" s="27"/>
      <c r="AH32" s="27"/>
      <c r="AI32" s="20"/>
      <c r="AJ32" s="13"/>
      <c r="AK32" s="13"/>
      <c r="AL32" s="13"/>
      <c r="AN32" s="27"/>
      <c r="AO32" s="27"/>
      <c r="AP32" s="27"/>
      <c r="AQ32" s="23"/>
      <c r="AV32" s="27"/>
      <c r="AW32" s="27"/>
      <c r="AX32" s="27"/>
      <c r="AY32" s="28"/>
      <c r="AZ32" s="28"/>
      <c r="BA32" s="20"/>
      <c r="BC32" s="27"/>
      <c r="BD32" s="27"/>
      <c r="BE32" s="27"/>
      <c r="BF32" s="27"/>
      <c r="BH32" s="13"/>
      <c r="BI32" s="13"/>
      <c r="BJ32" s="13"/>
    </row>
    <row r="33" spans="1:62" ht="12.75">
      <c r="A33" s="107" t="s">
        <v>17</v>
      </c>
      <c r="B33" s="108" t="s">
        <v>331</v>
      </c>
      <c r="C33" s="109" t="s">
        <v>658</v>
      </c>
      <c r="D33" s="205" t="s">
        <v>1005</v>
      </c>
      <c r="E33" s="110">
        <f>+E34</f>
        <v>50</v>
      </c>
      <c r="F33" s="132">
        <v>0</v>
      </c>
      <c r="G33" s="139">
        <f>E33*AO33</f>
        <v>0</v>
      </c>
      <c r="H33" s="110">
        <f>E33*AP33</f>
        <v>0</v>
      </c>
      <c r="I33" s="140">
        <f>E33*F33</f>
        <v>0</v>
      </c>
      <c r="J33" s="213">
        <v>0.225</v>
      </c>
      <c r="K33" s="214">
        <f>E33*J33</f>
        <v>11.25</v>
      </c>
      <c r="L33" s="150" t="s">
        <v>1039</v>
      </c>
      <c r="Z33" s="27">
        <f>IF(AQ33="5",BJ33,0)</f>
        <v>0</v>
      </c>
      <c r="AB33" s="27">
        <f>IF(AQ33="1",BH33,0)</f>
        <v>0</v>
      </c>
      <c r="AC33" s="27">
        <f>IF(AQ33="1",BI33,0)</f>
        <v>0</v>
      </c>
      <c r="AD33" s="27">
        <f>IF(AQ33="7",BH33,0)</f>
        <v>0</v>
      </c>
      <c r="AE33" s="27">
        <f>IF(AQ33="7",BI33,0)</f>
        <v>0</v>
      </c>
      <c r="AF33" s="27">
        <f>IF(AQ33="2",BH33,0)</f>
        <v>0</v>
      </c>
      <c r="AG33" s="27">
        <f>IF(AQ33="2",BI33,0)</f>
        <v>0</v>
      </c>
      <c r="AH33" s="27">
        <f>IF(AQ33="0",BJ33,0)</f>
        <v>0</v>
      </c>
      <c r="AI33" s="20"/>
      <c r="AJ33" s="13">
        <f>IF(AN33=0,I33,0)</f>
        <v>0</v>
      </c>
      <c r="AK33" s="13">
        <f>IF(AN33=15,I33,0)</f>
        <v>0</v>
      </c>
      <c r="AL33" s="13">
        <f>IF(AN33=21,I33,0)</f>
        <v>0</v>
      </c>
      <c r="AN33" s="27">
        <v>21</v>
      </c>
      <c r="AO33" s="27">
        <f>F33*0</f>
        <v>0</v>
      </c>
      <c r="AP33" s="27">
        <f>F33*(1-0)</f>
        <v>0</v>
      </c>
      <c r="AQ33" s="23" t="s">
        <v>7</v>
      </c>
      <c r="AV33" s="27">
        <f>AW33+AX33</f>
        <v>0</v>
      </c>
      <c r="AW33" s="27">
        <f>E33*AO33</f>
        <v>0</v>
      </c>
      <c r="AX33" s="27">
        <f>E33*AP33</f>
        <v>0</v>
      </c>
      <c r="AY33" s="28" t="s">
        <v>1051</v>
      </c>
      <c r="AZ33" s="28" t="s">
        <v>1093</v>
      </c>
      <c r="BA33" s="20" t="s">
        <v>1106</v>
      </c>
      <c r="BC33" s="27">
        <f>AW33+AX33</f>
        <v>0</v>
      </c>
      <c r="BD33" s="27">
        <f>F33/(100-BE33)*100</f>
        <v>0</v>
      </c>
      <c r="BE33" s="27">
        <v>0</v>
      </c>
      <c r="BF33" s="27">
        <f>K33</f>
        <v>11.25</v>
      </c>
      <c r="BH33" s="13">
        <f>E33*AO33</f>
        <v>0</v>
      </c>
      <c r="BI33" s="13">
        <f>E33*AP33</f>
        <v>0</v>
      </c>
      <c r="BJ33" s="13">
        <f>E33*F33</f>
        <v>0</v>
      </c>
    </row>
    <row r="34" spans="1:62" ht="25.5">
      <c r="A34" s="107"/>
      <c r="B34" s="108"/>
      <c r="C34" s="99" t="s">
        <v>1621</v>
      </c>
      <c r="D34" s="100" t="s">
        <v>1005</v>
      </c>
      <c r="E34" s="101">
        <f>25*2</f>
        <v>50</v>
      </c>
      <c r="F34" s="132"/>
      <c r="G34" s="139"/>
      <c r="H34" s="110"/>
      <c r="I34" s="140"/>
      <c r="J34" s="213"/>
      <c r="K34" s="214"/>
      <c r="L34" s="150"/>
      <c r="Z34" s="27"/>
      <c r="AB34" s="27"/>
      <c r="AC34" s="27"/>
      <c r="AD34" s="27"/>
      <c r="AE34" s="27"/>
      <c r="AF34" s="27"/>
      <c r="AG34" s="27"/>
      <c r="AH34" s="27"/>
      <c r="AI34" s="20"/>
      <c r="AJ34" s="13"/>
      <c r="AK34" s="13"/>
      <c r="AL34" s="13"/>
      <c r="AN34" s="27"/>
      <c r="AO34" s="27"/>
      <c r="AP34" s="27"/>
      <c r="AQ34" s="23"/>
      <c r="AV34" s="27"/>
      <c r="AW34" s="27"/>
      <c r="AX34" s="27"/>
      <c r="AY34" s="28"/>
      <c r="AZ34" s="28"/>
      <c r="BA34" s="20"/>
      <c r="BC34" s="27"/>
      <c r="BD34" s="27"/>
      <c r="BE34" s="27"/>
      <c r="BF34" s="27"/>
      <c r="BH34" s="13"/>
      <c r="BI34" s="13"/>
      <c r="BJ34" s="13"/>
    </row>
    <row r="35" spans="1:62" ht="12.75">
      <c r="A35" s="107" t="s">
        <v>18</v>
      </c>
      <c r="B35" s="108" t="s">
        <v>332</v>
      </c>
      <c r="C35" s="109" t="s">
        <v>659</v>
      </c>
      <c r="D35" s="205" t="s">
        <v>1005</v>
      </c>
      <c r="E35" s="110">
        <f>+E41</f>
        <v>306.46</v>
      </c>
      <c r="F35" s="132">
        <v>0</v>
      </c>
      <c r="G35" s="139">
        <f>E35*AO35</f>
        <v>0</v>
      </c>
      <c r="H35" s="110">
        <f>E35*AP35</f>
        <v>0</v>
      </c>
      <c r="I35" s="140">
        <f>E35*F35</f>
        <v>0</v>
      </c>
      <c r="J35" s="213">
        <v>0.11</v>
      </c>
      <c r="K35" s="214">
        <f>E35*J35</f>
        <v>33.7106</v>
      </c>
      <c r="L35" s="150" t="s">
        <v>1039</v>
      </c>
      <c r="Z35" s="27">
        <f>IF(AQ35="5",BJ35,0)</f>
        <v>0</v>
      </c>
      <c r="AB35" s="27">
        <f>IF(AQ35="1",BH35,0)</f>
        <v>0</v>
      </c>
      <c r="AC35" s="27">
        <f>IF(AQ35="1",BI35,0)</f>
        <v>0</v>
      </c>
      <c r="AD35" s="27">
        <f>IF(AQ35="7",BH35,0)</f>
        <v>0</v>
      </c>
      <c r="AE35" s="27">
        <f>IF(AQ35="7",BI35,0)</f>
        <v>0</v>
      </c>
      <c r="AF35" s="27">
        <f>IF(AQ35="2",BH35,0)</f>
        <v>0</v>
      </c>
      <c r="AG35" s="27">
        <f>IF(AQ35="2",BI35,0)</f>
        <v>0</v>
      </c>
      <c r="AH35" s="27">
        <f>IF(AQ35="0",BJ35,0)</f>
        <v>0</v>
      </c>
      <c r="AI35" s="20"/>
      <c r="AJ35" s="13">
        <f>IF(AN35=0,I35,0)</f>
        <v>0</v>
      </c>
      <c r="AK35" s="13">
        <f>IF(AN35=15,I35,0)</f>
        <v>0</v>
      </c>
      <c r="AL35" s="13">
        <f>IF(AN35=21,I35,0)</f>
        <v>0</v>
      </c>
      <c r="AN35" s="27">
        <v>21</v>
      </c>
      <c r="AO35" s="27">
        <f>F35*0</f>
        <v>0</v>
      </c>
      <c r="AP35" s="27">
        <f>F35*(1-0)</f>
        <v>0</v>
      </c>
      <c r="AQ35" s="23" t="s">
        <v>7</v>
      </c>
      <c r="AV35" s="27">
        <f>AW35+AX35</f>
        <v>0</v>
      </c>
      <c r="AW35" s="27">
        <f>E35*AO35</f>
        <v>0</v>
      </c>
      <c r="AX35" s="27">
        <f>E35*AP35</f>
        <v>0</v>
      </c>
      <c r="AY35" s="28" t="s">
        <v>1051</v>
      </c>
      <c r="AZ35" s="28" t="s">
        <v>1093</v>
      </c>
      <c r="BA35" s="20" t="s">
        <v>1106</v>
      </c>
      <c r="BC35" s="27">
        <f>AW35+AX35</f>
        <v>0</v>
      </c>
      <c r="BD35" s="27">
        <f>F35/(100-BE35)*100</f>
        <v>0</v>
      </c>
      <c r="BE35" s="27">
        <v>0</v>
      </c>
      <c r="BF35" s="27">
        <f>K35</f>
        <v>33.7106</v>
      </c>
      <c r="BH35" s="13">
        <f>E35*AO35</f>
        <v>0</v>
      </c>
      <c r="BI35" s="13">
        <f>E35*AP35</f>
        <v>0</v>
      </c>
      <c r="BJ35" s="13">
        <f>E35*F35</f>
        <v>0</v>
      </c>
    </row>
    <row r="36" spans="1:62" ht="25.5">
      <c r="A36" s="107"/>
      <c r="B36" s="108"/>
      <c r="C36" s="99" t="s">
        <v>1622</v>
      </c>
      <c r="D36" s="100" t="s">
        <v>1005</v>
      </c>
      <c r="E36" s="101">
        <f>+(26.6+18.4+22+2.6+3.4+2.2)*1.2</f>
        <v>90.24</v>
      </c>
      <c r="F36" s="132"/>
      <c r="G36" s="139"/>
      <c r="H36" s="110"/>
      <c r="I36" s="140"/>
      <c r="J36" s="213"/>
      <c r="K36" s="214"/>
      <c r="L36" s="150"/>
      <c r="Z36" s="27"/>
      <c r="AB36" s="27"/>
      <c r="AC36" s="27"/>
      <c r="AD36" s="27"/>
      <c r="AE36" s="27"/>
      <c r="AF36" s="27"/>
      <c r="AG36" s="27"/>
      <c r="AH36" s="27"/>
      <c r="AI36" s="20"/>
      <c r="AJ36" s="13"/>
      <c r="AK36" s="13"/>
      <c r="AL36" s="13"/>
      <c r="AN36" s="27"/>
      <c r="AO36" s="27"/>
      <c r="AP36" s="27"/>
      <c r="AQ36" s="23"/>
      <c r="AV36" s="27"/>
      <c r="AW36" s="27"/>
      <c r="AX36" s="27"/>
      <c r="AY36" s="28"/>
      <c r="AZ36" s="28"/>
      <c r="BA36" s="20"/>
      <c r="BC36" s="27"/>
      <c r="BD36" s="27"/>
      <c r="BE36" s="27"/>
      <c r="BF36" s="27"/>
      <c r="BH36" s="13"/>
      <c r="BI36" s="13"/>
      <c r="BJ36" s="13"/>
    </row>
    <row r="37" spans="1:62" ht="25.5">
      <c r="A37" s="107"/>
      <c r="B37" s="108"/>
      <c r="C37" s="99" t="s">
        <v>1623</v>
      </c>
      <c r="D37" s="100" t="s">
        <v>1005</v>
      </c>
      <c r="E37" s="101">
        <f>+(4.3+16.8+7.3+69.7+2.6)*1.1</f>
        <v>110.77000000000001</v>
      </c>
      <c r="F37" s="132"/>
      <c r="G37" s="139"/>
      <c r="H37" s="110"/>
      <c r="I37" s="140"/>
      <c r="J37" s="213"/>
      <c r="K37" s="214"/>
      <c r="L37" s="150"/>
      <c r="Z37" s="27"/>
      <c r="AB37" s="27"/>
      <c r="AC37" s="27"/>
      <c r="AD37" s="27"/>
      <c r="AE37" s="27"/>
      <c r="AF37" s="27"/>
      <c r="AG37" s="27"/>
      <c r="AH37" s="27"/>
      <c r="AI37" s="20"/>
      <c r="AJ37" s="13"/>
      <c r="AK37" s="13"/>
      <c r="AL37" s="13"/>
      <c r="AN37" s="27"/>
      <c r="AO37" s="27"/>
      <c r="AP37" s="27"/>
      <c r="AQ37" s="23"/>
      <c r="AV37" s="27"/>
      <c r="AW37" s="27"/>
      <c r="AX37" s="27"/>
      <c r="AY37" s="28"/>
      <c r="AZ37" s="28"/>
      <c r="BA37" s="20"/>
      <c r="BC37" s="27"/>
      <c r="BD37" s="27"/>
      <c r="BE37" s="27"/>
      <c r="BF37" s="27"/>
      <c r="BH37" s="13"/>
      <c r="BI37" s="13"/>
      <c r="BJ37" s="13"/>
    </row>
    <row r="38" spans="1:62" ht="12.75">
      <c r="A38" s="107"/>
      <c r="B38" s="108"/>
      <c r="C38" s="99" t="s">
        <v>1627</v>
      </c>
      <c r="D38" s="100" t="s">
        <v>1005</v>
      </c>
      <c r="E38" s="101">
        <f>+(11.4*1+10.1*0.5)</f>
        <v>16.45</v>
      </c>
      <c r="F38" s="132"/>
      <c r="G38" s="139"/>
      <c r="H38" s="110"/>
      <c r="I38" s="140"/>
      <c r="J38" s="213"/>
      <c r="K38" s="214"/>
      <c r="L38" s="150"/>
      <c r="Z38" s="27"/>
      <c r="AB38" s="27"/>
      <c r="AC38" s="27"/>
      <c r="AD38" s="27"/>
      <c r="AE38" s="27"/>
      <c r="AF38" s="27"/>
      <c r="AG38" s="27"/>
      <c r="AH38" s="27"/>
      <c r="AI38" s="20"/>
      <c r="AJ38" s="13"/>
      <c r="AK38" s="13"/>
      <c r="AL38" s="13"/>
      <c r="AN38" s="27"/>
      <c r="AO38" s="27"/>
      <c r="AP38" s="27"/>
      <c r="AQ38" s="23"/>
      <c r="AV38" s="27"/>
      <c r="AW38" s="27"/>
      <c r="AX38" s="27"/>
      <c r="AY38" s="28"/>
      <c r="AZ38" s="28"/>
      <c r="BA38" s="20"/>
      <c r="BC38" s="27"/>
      <c r="BD38" s="27"/>
      <c r="BE38" s="27"/>
      <c r="BF38" s="27"/>
      <c r="BH38" s="13"/>
      <c r="BI38" s="13"/>
      <c r="BJ38" s="13"/>
    </row>
    <row r="39" spans="1:62" ht="12.75">
      <c r="A39" s="107"/>
      <c r="B39" s="108"/>
      <c r="C39" s="99" t="s">
        <v>1624</v>
      </c>
      <c r="D39" s="100" t="s">
        <v>1005</v>
      </c>
      <c r="E39" s="101">
        <f>2.5*2.5*4</f>
        <v>25</v>
      </c>
      <c r="F39" s="132"/>
      <c r="G39" s="139"/>
      <c r="H39" s="110"/>
      <c r="I39" s="140"/>
      <c r="J39" s="213"/>
      <c r="K39" s="214"/>
      <c r="L39" s="150"/>
      <c r="Z39" s="27"/>
      <c r="AB39" s="27"/>
      <c r="AC39" s="27"/>
      <c r="AD39" s="27"/>
      <c r="AE39" s="27"/>
      <c r="AF39" s="27"/>
      <c r="AG39" s="27"/>
      <c r="AH39" s="27"/>
      <c r="AI39" s="20"/>
      <c r="AJ39" s="13"/>
      <c r="AK39" s="13"/>
      <c r="AL39" s="13"/>
      <c r="AN39" s="27"/>
      <c r="AO39" s="27"/>
      <c r="AP39" s="27"/>
      <c r="AQ39" s="23"/>
      <c r="AV39" s="27"/>
      <c r="AW39" s="27"/>
      <c r="AX39" s="27"/>
      <c r="AY39" s="28"/>
      <c r="AZ39" s="28"/>
      <c r="BA39" s="20"/>
      <c r="BC39" s="27"/>
      <c r="BD39" s="27"/>
      <c r="BE39" s="27"/>
      <c r="BF39" s="27"/>
      <c r="BH39" s="13"/>
      <c r="BI39" s="13"/>
      <c r="BJ39" s="13"/>
    </row>
    <row r="40" spans="1:62" ht="12.75">
      <c r="A40" s="107"/>
      <c r="B40" s="108"/>
      <c r="C40" s="99" t="s">
        <v>1625</v>
      </c>
      <c r="D40" s="100" t="s">
        <v>1005</v>
      </c>
      <c r="E40" s="101">
        <f>6*3.5+5*2.5+3*2*3+5*2.5</f>
        <v>64</v>
      </c>
      <c r="F40" s="132"/>
      <c r="G40" s="139"/>
      <c r="H40" s="110"/>
      <c r="I40" s="140"/>
      <c r="J40" s="213"/>
      <c r="K40" s="214"/>
      <c r="L40" s="150"/>
      <c r="Z40" s="27"/>
      <c r="AB40" s="27"/>
      <c r="AC40" s="27"/>
      <c r="AD40" s="27"/>
      <c r="AE40" s="27"/>
      <c r="AF40" s="27"/>
      <c r="AG40" s="27"/>
      <c r="AH40" s="27"/>
      <c r="AI40" s="20"/>
      <c r="AJ40" s="13"/>
      <c r="AK40" s="13"/>
      <c r="AL40" s="13"/>
      <c r="AN40" s="27"/>
      <c r="AO40" s="27"/>
      <c r="AP40" s="27"/>
      <c r="AQ40" s="23"/>
      <c r="AV40" s="27"/>
      <c r="AW40" s="27"/>
      <c r="AX40" s="27"/>
      <c r="AY40" s="28"/>
      <c r="AZ40" s="28"/>
      <c r="BA40" s="20"/>
      <c r="BC40" s="27"/>
      <c r="BD40" s="27"/>
      <c r="BE40" s="27"/>
      <c r="BF40" s="27"/>
      <c r="BH40" s="13"/>
      <c r="BI40" s="13"/>
      <c r="BJ40" s="13"/>
    </row>
    <row r="41" spans="1:62" ht="12.75">
      <c r="A41" s="107"/>
      <c r="B41" s="108"/>
      <c r="C41" s="99" t="s">
        <v>1034</v>
      </c>
      <c r="D41" s="100" t="s">
        <v>1005</v>
      </c>
      <c r="E41" s="101">
        <f>SUM(E36:E40)</f>
        <v>306.46</v>
      </c>
      <c r="F41" s="132"/>
      <c r="G41" s="139"/>
      <c r="H41" s="110"/>
      <c r="I41" s="140"/>
      <c r="J41" s="213"/>
      <c r="K41" s="214"/>
      <c r="L41" s="150"/>
      <c r="Z41" s="27"/>
      <c r="AB41" s="27"/>
      <c r="AC41" s="27"/>
      <c r="AD41" s="27"/>
      <c r="AE41" s="27"/>
      <c r="AF41" s="27"/>
      <c r="AG41" s="27"/>
      <c r="AH41" s="27"/>
      <c r="AI41" s="20"/>
      <c r="AJ41" s="13"/>
      <c r="AK41" s="13"/>
      <c r="AL41" s="13"/>
      <c r="AN41" s="27"/>
      <c r="AO41" s="27"/>
      <c r="AP41" s="27"/>
      <c r="AQ41" s="23"/>
      <c r="AV41" s="27"/>
      <c r="AW41" s="27"/>
      <c r="AX41" s="27"/>
      <c r="AY41" s="28"/>
      <c r="AZ41" s="28"/>
      <c r="BA41" s="20"/>
      <c r="BC41" s="27"/>
      <c r="BD41" s="27"/>
      <c r="BE41" s="27"/>
      <c r="BF41" s="27"/>
      <c r="BH41" s="13"/>
      <c r="BI41" s="13"/>
      <c r="BJ41" s="13"/>
    </row>
    <row r="42" spans="1:62" ht="12.75">
      <c r="A42" s="107" t="s">
        <v>19</v>
      </c>
      <c r="B42" s="108" t="s">
        <v>333</v>
      </c>
      <c r="C42" s="109" t="s">
        <v>660</v>
      </c>
      <c r="D42" s="205" t="s">
        <v>1005</v>
      </c>
      <c r="E42" s="110">
        <f>+E43</f>
        <v>296.62</v>
      </c>
      <c r="F42" s="132">
        <v>0</v>
      </c>
      <c r="G42" s="139">
        <f>E42*AO42</f>
        <v>0</v>
      </c>
      <c r="H42" s="110">
        <f>E42*AP42</f>
        <v>0</v>
      </c>
      <c r="I42" s="140">
        <f>E42*F42</f>
        <v>0</v>
      </c>
      <c r="J42" s="213">
        <v>0.286</v>
      </c>
      <c r="K42" s="214">
        <f>E42*J42</f>
        <v>84.83332</v>
      </c>
      <c r="L42" s="150" t="s">
        <v>1039</v>
      </c>
      <c r="Z42" s="27">
        <f>IF(AQ42="5",BJ42,0)</f>
        <v>0</v>
      </c>
      <c r="AB42" s="27">
        <f>IF(AQ42="1",BH42,0)</f>
        <v>0</v>
      </c>
      <c r="AC42" s="27">
        <f>IF(AQ42="1",BI42,0)</f>
        <v>0</v>
      </c>
      <c r="AD42" s="27">
        <f>IF(AQ42="7",BH42,0)</f>
        <v>0</v>
      </c>
      <c r="AE42" s="27">
        <f>IF(AQ42="7",BI42,0)</f>
        <v>0</v>
      </c>
      <c r="AF42" s="27">
        <f>IF(AQ42="2",BH42,0)</f>
        <v>0</v>
      </c>
      <c r="AG42" s="27">
        <f>IF(AQ42="2",BI42,0)</f>
        <v>0</v>
      </c>
      <c r="AH42" s="27">
        <f>IF(AQ42="0",BJ42,0)</f>
        <v>0</v>
      </c>
      <c r="AI42" s="20"/>
      <c r="AJ42" s="13">
        <f>IF(AN42=0,I42,0)</f>
        <v>0</v>
      </c>
      <c r="AK42" s="13">
        <f>IF(AN42=15,I42,0)</f>
        <v>0</v>
      </c>
      <c r="AL42" s="13">
        <f>IF(AN42=21,I42,0)</f>
        <v>0</v>
      </c>
      <c r="AN42" s="27">
        <v>21</v>
      </c>
      <c r="AO42" s="27">
        <f>F42*0</f>
        <v>0</v>
      </c>
      <c r="AP42" s="27">
        <f>F42*(1-0)</f>
        <v>0</v>
      </c>
      <c r="AQ42" s="23" t="s">
        <v>7</v>
      </c>
      <c r="AV42" s="27">
        <f>AW42+AX42</f>
        <v>0</v>
      </c>
      <c r="AW42" s="27">
        <f>E42*AO42</f>
        <v>0</v>
      </c>
      <c r="AX42" s="27">
        <f>E42*AP42</f>
        <v>0</v>
      </c>
      <c r="AY42" s="28" t="s">
        <v>1051</v>
      </c>
      <c r="AZ42" s="28" t="s">
        <v>1093</v>
      </c>
      <c r="BA42" s="20" t="s">
        <v>1106</v>
      </c>
      <c r="BC42" s="27">
        <f>AW42+AX42</f>
        <v>0</v>
      </c>
      <c r="BD42" s="27">
        <f>F42/(100-BE42)*100</f>
        <v>0</v>
      </c>
      <c r="BE42" s="27">
        <v>0</v>
      </c>
      <c r="BF42" s="27">
        <f>K42</f>
        <v>84.83332</v>
      </c>
      <c r="BH42" s="13">
        <f>E42*AO42</f>
        <v>0</v>
      </c>
      <c r="BI42" s="13">
        <f>E42*AP42</f>
        <v>0</v>
      </c>
      <c r="BJ42" s="13">
        <f>E42*F42</f>
        <v>0</v>
      </c>
    </row>
    <row r="43" spans="1:62" ht="12.75">
      <c r="A43" s="107"/>
      <c r="B43" s="108"/>
      <c r="C43" s="99" t="s">
        <v>1628</v>
      </c>
      <c r="D43" s="100" t="s">
        <v>1005</v>
      </c>
      <c r="E43" s="101">
        <f>+E35-(2.6+3.4+2.2)*1.2</f>
        <v>296.62</v>
      </c>
      <c r="F43" s="132"/>
      <c r="G43" s="139"/>
      <c r="H43" s="110"/>
      <c r="I43" s="140"/>
      <c r="J43" s="213"/>
      <c r="K43" s="214"/>
      <c r="L43" s="150"/>
      <c r="Z43" s="27"/>
      <c r="AB43" s="27"/>
      <c r="AC43" s="27"/>
      <c r="AD43" s="27"/>
      <c r="AE43" s="27"/>
      <c r="AF43" s="27"/>
      <c r="AG43" s="27"/>
      <c r="AH43" s="27"/>
      <c r="AI43" s="20"/>
      <c r="AJ43" s="13"/>
      <c r="AK43" s="13"/>
      <c r="AL43" s="13"/>
      <c r="AN43" s="27"/>
      <c r="AO43" s="27"/>
      <c r="AP43" s="27"/>
      <c r="AQ43" s="23"/>
      <c r="AV43" s="27"/>
      <c r="AW43" s="27"/>
      <c r="AX43" s="27"/>
      <c r="AY43" s="28"/>
      <c r="AZ43" s="28"/>
      <c r="BA43" s="20"/>
      <c r="BC43" s="27"/>
      <c r="BD43" s="27"/>
      <c r="BE43" s="27"/>
      <c r="BF43" s="27"/>
      <c r="BH43" s="13"/>
      <c r="BI43" s="13"/>
      <c r="BJ43" s="13"/>
    </row>
    <row r="44" spans="1:62" ht="12.75">
      <c r="A44" s="107" t="s">
        <v>20</v>
      </c>
      <c r="B44" s="108" t="s">
        <v>334</v>
      </c>
      <c r="C44" s="109" t="s">
        <v>661</v>
      </c>
      <c r="D44" s="205" t="s">
        <v>1005</v>
      </c>
      <c r="E44" s="110">
        <f>+E45</f>
        <v>645.25</v>
      </c>
      <c r="F44" s="132">
        <v>0</v>
      </c>
      <c r="G44" s="139">
        <f>E44*AO44</f>
        <v>0</v>
      </c>
      <c r="H44" s="110">
        <f>E44*AP44</f>
        <v>0</v>
      </c>
      <c r="I44" s="140">
        <f>E44*F44</f>
        <v>0</v>
      </c>
      <c r="J44" s="213">
        <v>0.11</v>
      </c>
      <c r="K44" s="214">
        <f>E44*J44</f>
        <v>70.9775</v>
      </c>
      <c r="L44" s="150" t="s">
        <v>1039</v>
      </c>
      <c r="Z44" s="27">
        <f>IF(AQ44="5",BJ44,0)</f>
        <v>0</v>
      </c>
      <c r="AB44" s="27">
        <f>IF(AQ44="1",BH44,0)</f>
        <v>0</v>
      </c>
      <c r="AC44" s="27">
        <f>IF(AQ44="1",BI44,0)</f>
        <v>0</v>
      </c>
      <c r="AD44" s="27">
        <f>IF(AQ44="7",BH44,0)</f>
        <v>0</v>
      </c>
      <c r="AE44" s="27">
        <f>IF(AQ44="7",BI44,0)</f>
        <v>0</v>
      </c>
      <c r="AF44" s="27">
        <f>IF(AQ44="2",BH44,0)</f>
        <v>0</v>
      </c>
      <c r="AG44" s="27">
        <f>IF(AQ44="2",BI44,0)</f>
        <v>0</v>
      </c>
      <c r="AH44" s="27">
        <f>IF(AQ44="0",BJ44,0)</f>
        <v>0</v>
      </c>
      <c r="AI44" s="20"/>
      <c r="AJ44" s="13">
        <f>IF(AN44=0,I44,0)</f>
        <v>0</v>
      </c>
      <c r="AK44" s="13">
        <f>IF(AN44=15,I44,0)</f>
        <v>0</v>
      </c>
      <c r="AL44" s="13">
        <f>IF(AN44=21,I44,0)</f>
        <v>0</v>
      </c>
      <c r="AN44" s="27">
        <v>21</v>
      </c>
      <c r="AO44" s="27">
        <f>F44*0</f>
        <v>0</v>
      </c>
      <c r="AP44" s="27">
        <f>F44*(1-0)</f>
        <v>0</v>
      </c>
      <c r="AQ44" s="23" t="s">
        <v>7</v>
      </c>
      <c r="AV44" s="27">
        <f>AW44+AX44</f>
        <v>0</v>
      </c>
      <c r="AW44" s="27">
        <f>E44*AO44</f>
        <v>0</v>
      </c>
      <c r="AX44" s="27">
        <f>E44*AP44</f>
        <v>0</v>
      </c>
      <c r="AY44" s="28" t="s">
        <v>1051</v>
      </c>
      <c r="AZ44" s="28" t="s">
        <v>1093</v>
      </c>
      <c r="BA44" s="20" t="s">
        <v>1106</v>
      </c>
      <c r="BC44" s="27">
        <f>AW44+AX44</f>
        <v>0</v>
      </c>
      <c r="BD44" s="27">
        <f>F44/(100-BE44)*100</f>
        <v>0</v>
      </c>
      <c r="BE44" s="27">
        <v>0</v>
      </c>
      <c r="BF44" s="27">
        <f>K44</f>
        <v>70.9775</v>
      </c>
      <c r="BH44" s="13">
        <f>E44*AO44</f>
        <v>0</v>
      </c>
      <c r="BI44" s="13">
        <f>E44*AP44</f>
        <v>0</v>
      </c>
      <c r="BJ44" s="13">
        <f>E44*F44</f>
        <v>0</v>
      </c>
    </row>
    <row r="45" spans="1:62" ht="12.75">
      <c r="A45" s="107"/>
      <c r="B45" s="108"/>
      <c r="C45" s="99" t="s">
        <v>1626</v>
      </c>
      <c r="D45" s="100" t="s">
        <v>1005</v>
      </c>
      <c r="E45" s="101">
        <v>645.25</v>
      </c>
      <c r="F45" s="132"/>
      <c r="G45" s="139"/>
      <c r="H45" s="110"/>
      <c r="I45" s="140"/>
      <c r="J45" s="213"/>
      <c r="K45" s="214"/>
      <c r="L45" s="150"/>
      <c r="Z45" s="27"/>
      <c r="AB45" s="27"/>
      <c r="AC45" s="27"/>
      <c r="AD45" s="27"/>
      <c r="AE45" s="27"/>
      <c r="AF45" s="27"/>
      <c r="AG45" s="27"/>
      <c r="AH45" s="27"/>
      <c r="AI45" s="20"/>
      <c r="AJ45" s="13"/>
      <c r="AK45" s="13"/>
      <c r="AL45" s="13"/>
      <c r="AN45" s="27"/>
      <c r="AO45" s="27"/>
      <c r="AP45" s="27"/>
      <c r="AQ45" s="23"/>
      <c r="AV45" s="27"/>
      <c r="AW45" s="27"/>
      <c r="AX45" s="27"/>
      <c r="AY45" s="28"/>
      <c r="AZ45" s="28"/>
      <c r="BA45" s="20"/>
      <c r="BC45" s="27"/>
      <c r="BD45" s="27"/>
      <c r="BE45" s="27"/>
      <c r="BF45" s="27"/>
      <c r="BH45" s="13"/>
      <c r="BI45" s="13"/>
      <c r="BJ45" s="13"/>
    </row>
    <row r="46" spans="1:62" ht="12.75">
      <c r="A46" s="107" t="s">
        <v>21</v>
      </c>
      <c r="B46" s="108" t="s">
        <v>335</v>
      </c>
      <c r="C46" s="109" t="s">
        <v>662</v>
      </c>
      <c r="D46" s="205" t="s">
        <v>1008</v>
      </c>
      <c r="E46" s="110">
        <f>+E47</f>
        <v>41</v>
      </c>
      <c r="F46" s="132">
        <v>0</v>
      </c>
      <c r="G46" s="139">
        <f>E46*AO46</f>
        <v>0</v>
      </c>
      <c r="H46" s="110">
        <f>E46*AP46</f>
        <v>0</v>
      </c>
      <c r="I46" s="140">
        <f>E46*F46</f>
        <v>0</v>
      </c>
      <c r="J46" s="213">
        <v>0.27</v>
      </c>
      <c r="K46" s="214">
        <f>E46*J46</f>
        <v>11.07</v>
      </c>
      <c r="L46" s="150" t="s">
        <v>1039</v>
      </c>
      <c r="Z46" s="27">
        <f>IF(AQ46="5",BJ46,0)</f>
        <v>0</v>
      </c>
      <c r="AB46" s="27">
        <f>IF(AQ46="1",BH46,0)</f>
        <v>0</v>
      </c>
      <c r="AC46" s="27">
        <f>IF(AQ46="1",BI46,0)</f>
        <v>0</v>
      </c>
      <c r="AD46" s="27">
        <f>IF(AQ46="7",BH46,0)</f>
        <v>0</v>
      </c>
      <c r="AE46" s="27">
        <f>IF(AQ46="7",BI46,0)</f>
        <v>0</v>
      </c>
      <c r="AF46" s="27">
        <f>IF(AQ46="2",BH46,0)</f>
        <v>0</v>
      </c>
      <c r="AG46" s="27">
        <f>IF(AQ46="2",BI46,0)</f>
        <v>0</v>
      </c>
      <c r="AH46" s="27">
        <f>IF(AQ46="0",BJ46,0)</f>
        <v>0</v>
      </c>
      <c r="AI46" s="20"/>
      <c r="AJ46" s="13">
        <f>IF(AN46=0,I46,0)</f>
        <v>0</v>
      </c>
      <c r="AK46" s="13">
        <f>IF(AN46=15,I46,0)</f>
        <v>0</v>
      </c>
      <c r="AL46" s="13">
        <f>IF(AN46=21,I46,0)</f>
        <v>0</v>
      </c>
      <c r="AN46" s="27">
        <v>21</v>
      </c>
      <c r="AO46" s="27">
        <f>F46*0</f>
        <v>0</v>
      </c>
      <c r="AP46" s="27">
        <f>F46*(1-0)</f>
        <v>0</v>
      </c>
      <c r="AQ46" s="23" t="s">
        <v>7</v>
      </c>
      <c r="AV46" s="27">
        <f>AW46+AX46</f>
        <v>0</v>
      </c>
      <c r="AW46" s="27">
        <f>E46*AO46</f>
        <v>0</v>
      </c>
      <c r="AX46" s="27">
        <f>E46*AP46</f>
        <v>0</v>
      </c>
      <c r="AY46" s="28" t="s">
        <v>1051</v>
      </c>
      <c r="AZ46" s="28" t="s">
        <v>1093</v>
      </c>
      <c r="BA46" s="20" t="s">
        <v>1106</v>
      </c>
      <c r="BC46" s="27">
        <f>AW46+AX46</f>
        <v>0</v>
      </c>
      <c r="BD46" s="27">
        <f>F46/(100-BE46)*100</f>
        <v>0</v>
      </c>
      <c r="BE46" s="27">
        <v>0</v>
      </c>
      <c r="BF46" s="27">
        <f>K46</f>
        <v>11.07</v>
      </c>
      <c r="BH46" s="13">
        <f>E46*AO46</f>
        <v>0</v>
      </c>
      <c r="BI46" s="13">
        <f>E46*AP46</f>
        <v>0</v>
      </c>
      <c r="BJ46" s="13">
        <f>E46*F46</f>
        <v>0</v>
      </c>
    </row>
    <row r="47" spans="1:62" ht="12.75">
      <c r="A47" s="107"/>
      <c r="B47" s="108"/>
      <c r="C47" s="99" t="s">
        <v>1629</v>
      </c>
      <c r="D47" s="100" t="s">
        <v>1008</v>
      </c>
      <c r="E47" s="101">
        <f>8*2+25</f>
        <v>41</v>
      </c>
      <c r="F47" s="132"/>
      <c r="G47" s="139"/>
      <c r="H47" s="110"/>
      <c r="I47" s="140"/>
      <c r="J47" s="213"/>
      <c r="K47" s="214"/>
      <c r="L47" s="150"/>
      <c r="Z47" s="27"/>
      <c r="AB47" s="27"/>
      <c r="AC47" s="27"/>
      <c r="AD47" s="27"/>
      <c r="AE47" s="27"/>
      <c r="AF47" s="27"/>
      <c r="AG47" s="27"/>
      <c r="AH47" s="27"/>
      <c r="AI47" s="20"/>
      <c r="AJ47" s="13"/>
      <c r="AK47" s="13"/>
      <c r="AL47" s="13"/>
      <c r="AN47" s="27"/>
      <c r="AO47" s="27"/>
      <c r="AP47" s="27"/>
      <c r="AQ47" s="23"/>
      <c r="AV47" s="27"/>
      <c r="AW47" s="27"/>
      <c r="AX47" s="27"/>
      <c r="AY47" s="28"/>
      <c r="AZ47" s="28"/>
      <c r="BA47" s="20"/>
      <c r="BC47" s="27"/>
      <c r="BD47" s="27"/>
      <c r="BE47" s="27"/>
      <c r="BF47" s="27"/>
      <c r="BH47" s="13"/>
      <c r="BI47" s="13"/>
      <c r="BJ47" s="13"/>
    </row>
    <row r="48" spans="1:62" ht="12.75">
      <c r="A48" s="107" t="s">
        <v>22</v>
      </c>
      <c r="B48" s="108" t="s">
        <v>336</v>
      </c>
      <c r="C48" s="109" t="s">
        <v>663</v>
      </c>
      <c r="D48" s="205" t="s">
        <v>1008</v>
      </c>
      <c r="E48" s="110">
        <f>+E49+E50</f>
        <v>15</v>
      </c>
      <c r="F48" s="132">
        <v>0</v>
      </c>
      <c r="G48" s="139">
        <f>E48*AO48</f>
        <v>0</v>
      </c>
      <c r="H48" s="110">
        <f>E48*AP48</f>
        <v>0</v>
      </c>
      <c r="I48" s="140">
        <f>E48*F48</f>
        <v>0</v>
      </c>
      <c r="J48" s="213">
        <v>0.115</v>
      </c>
      <c r="K48" s="214">
        <f>E48*J48</f>
        <v>1.725</v>
      </c>
      <c r="L48" s="150" t="s">
        <v>1039</v>
      </c>
      <c r="Z48" s="27">
        <f>IF(AQ48="5",BJ48,0)</f>
        <v>0</v>
      </c>
      <c r="AB48" s="27">
        <f>IF(AQ48="1",BH48,0)</f>
        <v>0</v>
      </c>
      <c r="AC48" s="27">
        <f>IF(AQ48="1",BI48,0)</f>
        <v>0</v>
      </c>
      <c r="AD48" s="27">
        <f>IF(AQ48="7",BH48,0)</f>
        <v>0</v>
      </c>
      <c r="AE48" s="27">
        <f>IF(AQ48="7",BI48,0)</f>
        <v>0</v>
      </c>
      <c r="AF48" s="27">
        <f>IF(AQ48="2",BH48,0)</f>
        <v>0</v>
      </c>
      <c r="AG48" s="27">
        <f>IF(AQ48="2",BI48,0)</f>
        <v>0</v>
      </c>
      <c r="AH48" s="27">
        <f>IF(AQ48="0",BJ48,0)</f>
        <v>0</v>
      </c>
      <c r="AI48" s="20"/>
      <c r="AJ48" s="13">
        <f>IF(AN48=0,I48,0)</f>
        <v>0</v>
      </c>
      <c r="AK48" s="13">
        <f>IF(AN48=15,I48,0)</f>
        <v>0</v>
      </c>
      <c r="AL48" s="13">
        <f>IF(AN48=21,I48,0)</f>
        <v>0</v>
      </c>
      <c r="AN48" s="27">
        <v>21</v>
      </c>
      <c r="AO48" s="27">
        <f>F48*0</f>
        <v>0</v>
      </c>
      <c r="AP48" s="27">
        <f>F48*(1-0)</f>
        <v>0</v>
      </c>
      <c r="AQ48" s="23" t="s">
        <v>7</v>
      </c>
      <c r="AV48" s="27">
        <f>AW48+AX48</f>
        <v>0</v>
      </c>
      <c r="AW48" s="27">
        <f>E48*AO48</f>
        <v>0</v>
      </c>
      <c r="AX48" s="27">
        <f>E48*AP48</f>
        <v>0</v>
      </c>
      <c r="AY48" s="28" t="s">
        <v>1051</v>
      </c>
      <c r="AZ48" s="28" t="s">
        <v>1093</v>
      </c>
      <c r="BA48" s="20" t="s">
        <v>1106</v>
      </c>
      <c r="BC48" s="27">
        <f>AW48+AX48</f>
        <v>0</v>
      </c>
      <c r="BD48" s="27">
        <f>F48/(100-BE48)*100</f>
        <v>0</v>
      </c>
      <c r="BE48" s="27">
        <v>0</v>
      </c>
      <c r="BF48" s="27">
        <f>K48</f>
        <v>1.725</v>
      </c>
      <c r="BH48" s="13">
        <f>E48*AO48</f>
        <v>0</v>
      </c>
      <c r="BI48" s="13">
        <f>E48*AP48</f>
        <v>0</v>
      </c>
      <c r="BJ48" s="13">
        <f>E48*F48</f>
        <v>0</v>
      </c>
    </row>
    <row r="49" spans="1:62" ht="12.75">
      <c r="A49" s="107"/>
      <c r="B49" s="108"/>
      <c r="C49" s="99" t="s">
        <v>1631</v>
      </c>
      <c r="D49" s="100" t="s">
        <v>1008</v>
      </c>
      <c r="E49" s="101">
        <f>1.5*2*2</f>
        <v>6</v>
      </c>
      <c r="F49" s="132"/>
      <c r="G49" s="139"/>
      <c r="H49" s="110"/>
      <c r="I49" s="140"/>
      <c r="J49" s="213"/>
      <c r="K49" s="214"/>
      <c r="L49" s="150"/>
      <c r="Z49" s="27"/>
      <c r="AB49" s="27"/>
      <c r="AC49" s="27"/>
      <c r="AD49" s="27"/>
      <c r="AE49" s="27"/>
      <c r="AF49" s="27"/>
      <c r="AG49" s="27"/>
      <c r="AH49" s="27"/>
      <c r="AI49" s="20"/>
      <c r="AJ49" s="13"/>
      <c r="AK49" s="13"/>
      <c r="AL49" s="13"/>
      <c r="AN49" s="27"/>
      <c r="AO49" s="27"/>
      <c r="AP49" s="27"/>
      <c r="AQ49" s="23"/>
      <c r="AV49" s="27"/>
      <c r="AW49" s="27"/>
      <c r="AX49" s="27"/>
      <c r="AY49" s="28"/>
      <c r="AZ49" s="28"/>
      <c r="BA49" s="20"/>
      <c r="BC49" s="27"/>
      <c r="BD49" s="27"/>
      <c r="BE49" s="27"/>
      <c r="BF49" s="27"/>
      <c r="BH49" s="13"/>
      <c r="BI49" s="13"/>
      <c r="BJ49" s="13"/>
    </row>
    <row r="50" spans="1:62" ht="12.75">
      <c r="A50" s="107"/>
      <c r="B50" s="108"/>
      <c r="C50" s="99" t="s">
        <v>1632</v>
      </c>
      <c r="D50" s="100" t="s">
        <v>1008</v>
      </c>
      <c r="E50" s="101">
        <f>1.5*2*3</f>
        <v>9</v>
      </c>
      <c r="F50" s="132"/>
      <c r="G50" s="139"/>
      <c r="H50" s="110"/>
      <c r="I50" s="140"/>
      <c r="J50" s="213"/>
      <c r="K50" s="214"/>
      <c r="L50" s="150"/>
      <c r="Z50" s="27"/>
      <c r="AB50" s="27"/>
      <c r="AC50" s="27"/>
      <c r="AD50" s="27"/>
      <c r="AE50" s="27"/>
      <c r="AF50" s="27"/>
      <c r="AG50" s="27"/>
      <c r="AH50" s="27"/>
      <c r="AI50" s="20"/>
      <c r="AJ50" s="13"/>
      <c r="AK50" s="13"/>
      <c r="AL50" s="13"/>
      <c r="AN50" s="27"/>
      <c r="AO50" s="27"/>
      <c r="AP50" s="27"/>
      <c r="AQ50" s="23"/>
      <c r="AV50" s="27"/>
      <c r="AW50" s="27"/>
      <c r="AX50" s="27"/>
      <c r="AY50" s="28"/>
      <c r="AZ50" s="28"/>
      <c r="BA50" s="20"/>
      <c r="BC50" s="27"/>
      <c r="BD50" s="27"/>
      <c r="BE50" s="27"/>
      <c r="BF50" s="27"/>
      <c r="BH50" s="13"/>
      <c r="BI50" s="13"/>
      <c r="BJ50" s="13"/>
    </row>
    <row r="51" spans="1:62" ht="12.75">
      <c r="A51" s="107" t="s">
        <v>23</v>
      </c>
      <c r="B51" s="108" t="s">
        <v>337</v>
      </c>
      <c r="C51" s="109" t="s">
        <v>664</v>
      </c>
      <c r="D51" s="205" t="s">
        <v>1008</v>
      </c>
      <c r="E51" s="110">
        <f>+E52</f>
        <v>37</v>
      </c>
      <c r="F51" s="132">
        <v>0</v>
      </c>
      <c r="G51" s="139">
        <f>E51*AO51</f>
        <v>0</v>
      </c>
      <c r="H51" s="110">
        <f>E51*AP51</f>
        <v>0</v>
      </c>
      <c r="I51" s="140">
        <f>E51*F51</f>
        <v>0</v>
      </c>
      <c r="J51" s="213">
        <v>0.125</v>
      </c>
      <c r="K51" s="214">
        <f>E51*J51</f>
        <v>4.625</v>
      </c>
      <c r="L51" s="150" t="s">
        <v>1039</v>
      </c>
      <c r="Z51" s="27">
        <f>IF(AQ51="5",BJ51,0)</f>
        <v>0</v>
      </c>
      <c r="AB51" s="27">
        <f>IF(AQ51="1",BH51,0)</f>
        <v>0</v>
      </c>
      <c r="AC51" s="27">
        <f>IF(AQ51="1",BI51,0)</f>
        <v>0</v>
      </c>
      <c r="AD51" s="27">
        <f>IF(AQ51="7",BH51,0)</f>
        <v>0</v>
      </c>
      <c r="AE51" s="27">
        <f>IF(AQ51="7",BI51,0)</f>
        <v>0</v>
      </c>
      <c r="AF51" s="27">
        <f>IF(AQ51="2",BH51,0)</f>
        <v>0</v>
      </c>
      <c r="AG51" s="27">
        <f>IF(AQ51="2",BI51,0)</f>
        <v>0</v>
      </c>
      <c r="AH51" s="27">
        <f>IF(AQ51="0",BJ51,0)</f>
        <v>0</v>
      </c>
      <c r="AI51" s="20"/>
      <c r="AJ51" s="13">
        <f>IF(AN51=0,I51,0)</f>
        <v>0</v>
      </c>
      <c r="AK51" s="13">
        <f>IF(AN51=15,I51,0)</f>
        <v>0</v>
      </c>
      <c r="AL51" s="13">
        <f>IF(AN51=21,I51,0)</f>
        <v>0</v>
      </c>
      <c r="AN51" s="27">
        <v>21</v>
      </c>
      <c r="AO51" s="27">
        <f>F51*0</f>
        <v>0</v>
      </c>
      <c r="AP51" s="27">
        <f>F51*(1-0)</f>
        <v>0</v>
      </c>
      <c r="AQ51" s="23" t="s">
        <v>7</v>
      </c>
      <c r="AV51" s="27">
        <f>AW51+AX51</f>
        <v>0</v>
      </c>
      <c r="AW51" s="27">
        <f>E51*AO51</f>
        <v>0</v>
      </c>
      <c r="AX51" s="27">
        <f>E51*AP51</f>
        <v>0</v>
      </c>
      <c r="AY51" s="28" t="s">
        <v>1051</v>
      </c>
      <c r="AZ51" s="28" t="s">
        <v>1093</v>
      </c>
      <c r="BA51" s="20" t="s">
        <v>1106</v>
      </c>
      <c r="BC51" s="27">
        <f>AW51+AX51</f>
        <v>0</v>
      </c>
      <c r="BD51" s="27">
        <f>F51/(100-BE51)*100</f>
        <v>0</v>
      </c>
      <c r="BE51" s="27">
        <v>0</v>
      </c>
      <c r="BF51" s="27">
        <f>K51</f>
        <v>4.625</v>
      </c>
      <c r="BH51" s="13">
        <f>E51*AO51</f>
        <v>0</v>
      </c>
      <c r="BI51" s="13">
        <f>E51*AP51</f>
        <v>0</v>
      </c>
      <c r="BJ51" s="13">
        <f>E51*F51</f>
        <v>0</v>
      </c>
    </row>
    <row r="52" spans="1:62" ht="12.75">
      <c r="A52" s="107"/>
      <c r="B52" s="108"/>
      <c r="C52" s="99" t="s">
        <v>1630</v>
      </c>
      <c r="D52" s="100" t="s">
        <v>1008</v>
      </c>
      <c r="E52" s="101">
        <f>6*2+25</f>
        <v>37</v>
      </c>
      <c r="F52" s="132"/>
      <c r="G52" s="139"/>
      <c r="H52" s="110"/>
      <c r="I52" s="140"/>
      <c r="J52" s="213"/>
      <c r="K52" s="214"/>
      <c r="L52" s="150"/>
      <c r="Z52" s="27"/>
      <c r="AB52" s="27"/>
      <c r="AC52" s="27"/>
      <c r="AD52" s="27"/>
      <c r="AE52" s="27"/>
      <c r="AF52" s="27"/>
      <c r="AG52" s="27"/>
      <c r="AH52" s="27"/>
      <c r="AI52" s="20"/>
      <c r="AJ52" s="13"/>
      <c r="AK52" s="13"/>
      <c r="AL52" s="13"/>
      <c r="AN52" s="27"/>
      <c r="AO52" s="27"/>
      <c r="AP52" s="27"/>
      <c r="AQ52" s="23"/>
      <c r="AV52" s="27"/>
      <c r="AW52" s="27"/>
      <c r="AX52" s="27"/>
      <c r="AY52" s="28"/>
      <c r="AZ52" s="28"/>
      <c r="BA52" s="20"/>
      <c r="BC52" s="27"/>
      <c r="BD52" s="27"/>
      <c r="BE52" s="27"/>
      <c r="BF52" s="27"/>
      <c r="BH52" s="13"/>
      <c r="BI52" s="13"/>
      <c r="BJ52" s="13"/>
    </row>
    <row r="53" spans="1:62" ht="12.75">
      <c r="A53" s="107" t="s">
        <v>24</v>
      </c>
      <c r="B53" s="108" t="s">
        <v>338</v>
      </c>
      <c r="C53" s="109" t="s">
        <v>665</v>
      </c>
      <c r="D53" s="205" t="s">
        <v>1008</v>
      </c>
      <c r="E53" s="110">
        <v>12</v>
      </c>
      <c r="F53" s="132">
        <v>0</v>
      </c>
      <c r="G53" s="139">
        <f>E53*AO53</f>
        <v>0</v>
      </c>
      <c r="H53" s="110">
        <f>E53*AP53</f>
        <v>0</v>
      </c>
      <c r="I53" s="140">
        <f>E53*F53</f>
        <v>0</v>
      </c>
      <c r="J53" s="213">
        <v>0.01721</v>
      </c>
      <c r="K53" s="214">
        <f>E53*J53</f>
        <v>0.20651999999999998</v>
      </c>
      <c r="L53" s="150" t="s">
        <v>1039</v>
      </c>
      <c r="Z53" s="27">
        <f>IF(AQ53="5",BJ53,0)</f>
        <v>0</v>
      </c>
      <c r="AB53" s="27">
        <f>IF(AQ53="1",BH53,0)</f>
        <v>0</v>
      </c>
      <c r="AC53" s="27">
        <f>IF(AQ53="1",BI53,0)</f>
        <v>0</v>
      </c>
      <c r="AD53" s="27">
        <f>IF(AQ53="7",BH53,0)</f>
        <v>0</v>
      </c>
      <c r="AE53" s="27">
        <f>IF(AQ53="7",BI53,0)</f>
        <v>0</v>
      </c>
      <c r="AF53" s="27">
        <f>IF(AQ53="2",BH53,0)</f>
        <v>0</v>
      </c>
      <c r="AG53" s="27">
        <f>IF(AQ53="2",BI53,0)</f>
        <v>0</v>
      </c>
      <c r="AH53" s="27">
        <f>IF(AQ53="0",BJ53,0)</f>
        <v>0</v>
      </c>
      <c r="AI53" s="20"/>
      <c r="AJ53" s="13">
        <f>IF(AN53=0,I53,0)</f>
        <v>0</v>
      </c>
      <c r="AK53" s="13">
        <f>IF(AN53=15,I53,0)</f>
        <v>0</v>
      </c>
      <c r="AL53" s="13">
        <f>IF(AN53=21,I53,0)</f>
        <v>0</v>
      </c>
      <c r="AN53" s="27">
        <v>21</v>
      </c>
      <c r="AO53" s="27">
        <f>F53*0.379270320643743</f>
        <v>0</v>
      </c>
      <c r="AP53" s="27">
        <f>F53*(1-0.379270320643743)</f>
        <v>0</v>
      </c>
      <c r="AQ53" s="23" t="s">
        <v>7</v>
      </c>
      <c r="AV53" s="27">
        <f>AW53+AX53</f>
        <v>0</v>
      </c>
      <c r="AW53" s="27">
        <f>E53*AO53</f>
        <v>0</v>
      </c>
      <c r="AX53" s="27">
        <f>E53*AP53</f>
        <v>0</v>
      </c>
      <c r="AY53" s="28" t="s">
        <v>1051</v>
      </c>
      <c r="AZ53" s="28" t="s">
        <v>1093</v>
      </c>
      <c r="BA53" s="20" t="s">
        <v>1106</v>
      </c>
      <c r="BC53" s="27">
        <f>AW53+AX53</f>
        <v>0</v>
      </c>
      <c r="BD53" s="27">
        <f>F53/(100-BE53)*100</f>
        <v>0</v>
      </c>
      <c r="BE53" s="27">
        <v>0</v>
      </c>
      <c r="BF53" s="27">
        <f>K53</f>
        <v>0.20651999999999998</v>
      </c>
      <c r="BH53" s="13">
        <f>E53*AO53</f>
        <v>0</v>
      </c>
      <c r="BI53" s="13">
        <f>E53*AP53</f>
        <v>0</v>
      </c>
      <c r="BJ53" s="13">
        <f>E53*F53</f>
        <v>0</v>
      </c>
    </row>
    <row r="54" spans="1:62" ht="12.75">
      <c r="A54" s="107" t="s">
        <v>25</v>
      </c>
      <c r="B54" s="108" t="s">
        <v>339</v>
      </c>
      <c r="C54" s="109" t="s">
        <v>666</v>
      </c>
      <c r="D54" s="205" t="s">
        <v>1009</v>
      </c>
      <c r="E54" s="110">
        <v>300</v>
      </c>
      <c r="F54" s="132">
        <v>0</v>
      </c>
      <c r="G54" s="139">
        <f>E54*AO54</f>
        <v>0</v>
      </c>
      <c r="H54" s="110">
        <f>E54*AP54</f>
        <v>0</v>
      </c>
      <c r="I54" s="140">
        <f>E54*F54</f>
        <v>0</v>
      </c>
      <c r="J54" s="213">
        <v>0</v>
      </c>
      <c r="K54" s="214">
        <f>E54*J54</f>
        <v>0</v>
      </c>
      <c r="L54" s="150" t="s">
        <v>1039</v>
      </c>
      <c r="Z54" s="27">
        <f>IF(AQ54="5",BJ54,0)</f>
        <v>0</v>
      </c>
      <c r="AB54" s="27">
        <f>IF(AQ54="1",BH54,0)</f>
        <v>0</v>
      </c>
      <c r="AC54" s="27">
        <f>IF(AQ54="1",BI54,0)</f>
        <v>0</v>
      </c>
      <c r="AD54" s="27">
        <f>IF(AQ54="7",BH54,0)</f>
        <v>0</v>
      </c>
      <c r="AE54" s="27">
        <f>IF(AQ54="7",BI54,0)</f>
        <v>0</v>
      </c>
      <c r="AF54" s="27">
        <f>IF(AQ54="2",BH54,0)</f>
        <v>0</v>
      </c>
      <c r="AG54" s="27">
        <f>IF(AQ54="2",BI54,0)</f>
        <v>0</v>
      </c>
      <c r="AH54" s="27">
        <f>IF(AQ54="0",BJ54,0)</f>
        <v>0</v>
      </c>
      <c r="AI54" s="20"/>
      <c r="AJ54" s="13">
        <f>IF(AN54=0,I54,0)</f>
        <v>0</v>
      </c>
      <c r="AK54" s="13">
        <f>IF(AN54=15,I54,0)</f>
        <v>0</v>
      </c>
      <c r="AL54" s="13">
        <f>IF(AN54=21,I54,0)</f>
        <v>0</v>
      </c>
      <c r="AN54" s="27">
        <v>21</v>
      </c>
      <c r="AO54" s="27">
        <f>F54*0</f>
        <v>0</v>
      </c>
      <c r="AP54" s="27">
        <f>F54*(1-0)</f>
        <v>0</v>
      </c>
      <c r="AQ54" s="23" t="s">
        <v>7</v>
      </c>
      <c r="AV54" s="27">
        <f>AW54+AX54</f>
        <v>0</v>
      </c>
      <c r="AW54" s="27">
        <f>E54*AO54</f>
        <v>0</v>
      </c>
      <c r="AX54" s="27">
        <f>E54*AP54</f>
        <v>0</v>
      </c>
      <c r="AY54" s="28" t="s">
        <v>1051</v>
      </c>
      <c r="AZ54" s="28" t="s">
        <v>1093</v>
      </c>
      <c r="BA54" s="20" t="s">
        <v>1106</v>
      </c>
      <c r="BC54" s="27">
        <f>AW54+AX54</f>
        <v>0</v>
      </c>
      <c r="BD54" s="27">
        <f>F54/(100-BE54)*100</f>
        <v>0</v>
      </c>
      <c r="BE54" s="27">
        <v>0</v>
      </c>
      <c r="BF54" s="27">
        <f>K54</f>
        <v>0</v>
      </c>
      <c r="BH54" s="13">
        <f>E54*AO54</f>
        <v>0</v>
      </c>
      <c r="BI54" s="13">
        <f>E54*AP54</f>
        <v>0</v>
      </c>
      <c r="BJ54" s="13">
        <f>E54*F54</f>
        <v>0</v>
      </c>
    </row>
    <row r="55" spans="1:62" ht="12.75">
      <c r="A55" s="107" t="s">
        <v>26</v>
      </c>
      <c r="B55" s="108" t="s">
        <v>340</v>
      </c>
      <c r="C55" s="109" t="s">
        <v>667</v>
      </c>
      <c r="D55" s="205" t="s">
        <v>1010</v>
      </c>
      <c r="E55" s="110">
        <v>90</v>
      </c>
      <c r="F55" s="132">
        <v>0</v>
      </c>
      <c r="G55" s="139">
        <f>E55*AO55</f>
        <v>0</v>
      </c>
      <c r="H55" s="110">
        <f>E55*AP55</f>
        <v>0</v>
      </c>
      <c r="I55" s="140">
        <f>E55*F55</f>
        <v>0</v>
      </c>
      <c r="J55" s="213">
        <v>0</v>
      </c>
      <c r="K55" s="214">
        <f>E55*J55</f>
        <v>0</v>
      </c>
      <c r="L55" s="150" t="s">
        <v>1039</v>
      </c>
      <c r="Z55" s="27">
        <f>IF(AQ55="5",BJ55,0)</f>
        <v>0</v>
      </c>
      <c r="AB55" s="27">
        <f>IF(AQ55="1",BH55,0)</f>
        <v>0</v>
      </c>
      <c r="AC55" s="27">
        <f>IF(AQ55="1",BI55,0)</f>
        <v>0</v>
      </c>
      <c r="AD55" s="27">
        <f>IF(AQ55="7",BH55,0)</f>
        <v>0</v>
      </c>
      <c r="AE55" s="27">
        <f>IF(AQ55="7",BI55,0)</f>
        <v>0</v>
      </c>
      <c r="AF55" s="27">
        <f>IF(AQ55="2",BH55,0)</f>
        <v>0</v>
      </c>
      <c r="AG55" s="27">
        <f>IF(AQ55="2",BI55,0)</f>
        <v>0</v>
      </c>
      <c r="AH55" s="27">
        <f>IF(AQ55="0",BJ55,0)</f>
        <v>0</v>
      </c>
      <c r="AI55" s="20"/>
      <c r="AJ55" s="13">
        <f>IF(AN55=0,I55,0)</f>
        <v>0</v>
      </c>
      <c r="AK55" s="13">
        <f>IF(AN55=15,I55,0)</f>
        <v>0</v>
      </c>
      <c r="AL55" s="13">
        <f>IF(AN55=21,I55,0)</f>
        <v>0</v>
      </c>
      <c r="AN55" s="27">
        <v>21</v>
      </c>
      <c r="AO55" s="27">
        <f>F55*0</f>
        <v>0</v>
      </c>
      <c r="AP55" s="27">
        <f>F55*(1-0)</f>
        <v>0</v>
      </c>
      <c r="AQ55" s="23" t="s">
        <v>7</v>
      </c>
      <c r="AV55" s="27">
        <f>AW55+AX55</f>
        <v>0</v>
      </c>
      <c r="AW55" s="27">
        <f>E55*AO55</f>
        <v>0</v>
      </c>
      <c r="AX55" s="27">
        <f>E55*AP55</f>
        <v>0</v>
      </c>
      <c r="AY55" s="28" t="s">
        <v>1051</v>
      </c>
      <c r="AZ55" s="28" t="s">
        <v>1093</v>
      </c>
      <c r="BA55" s="20" t="s">
        <v>1106</v>
      </c>
      <c r="BC55" s="27">
        <f>AW55+AX55</f>
        <v>0</v>
      </c>
      <c r="BD55" s="27">
        <f>F55/(100-BE55)*100</f>
        <v>0</v>
      </c>
      <c r="BE55" s="27">
        <v>0</v>
      </c>
      <c r="BF55" s="27">
        <f>K55</f>
        <v>0</v>
      </c>
      <c r="BH55" s="13">
        <f>E55*AO55</f>
        <v>0</v>
      </c>
      <c r="BI55" s="13">
        <f>E55*AP55</f>
        <v>0</v>
      </c>
      <c r="BJ55" s="13">
        <f>E55*F55</f>
        <v>0</v>
      </c>
    </row>
    <row r="56" spans="1:62" ht="12.75">
      <c r="A56" s="107" t="s">
        <v>27</v>
      </c>
      <c r="B56" s="108" t="s">
        <v>341</v>
      </c>
      <c r="C56" s="109" t="s">
        <v>668</v>
      </c>
      <c r="D56" s="205" t="s">
        <v>1008</v>
      </c>
      <c r="E56" s="110">
        <f>+E57</f>
        <v>5.5</v>
      </c>
      <c r="F56" s="132">
        <v>0</v>
      </c>
      <c r="G56" s="139">
        <f>E56*AO56</f>
        <v>0</v>
      </c>
      <c r="H56" s="110">
        <f>E56*AP56</f>
        <v>0</v>
      </c>
      <c r="I56" s="140">
        <f>E56*F56</f>
        <v>0</v>
      </c>
      <c r="J56" s="213">
        <v>0.00869</v>
      </c>
      <c r="K56" s="214">
        <f>E56*J56</f>
        <v>0.047795</v>
      </c>
      <c r="L56" s="150" t="s">
        <v>1039</v>
      </c>
      <c r="Z56" s="27">
        <f>IF(AQ56="5",BJ56,0)</f>
        <v>0</v>
      </c>
      <c r="AB56" s="27">
        <f>IF(AQ56="1",BH56,0)</f>
        <v>0</v>
      </c>
      <c r="AC56" s="27">
        <f>IF(AQ56="1",BI56,0)</f>
        <v>0</v>
      </c>
      <c r="AD56" s="27">
        <f>IF(AQ56="7",BH56,0)</f>
        <v>0</v>
      </c>
      <c r="AE56" s="27">
        <f>IF(AQ56="7",BI56,0)</f>
        <v>0</v>
      </c>
      <c r="AF56" s="27">
        <f>IF(AQ56="2",BH56,0)</f>
        <v>0</v>
      </c>
      <c r="AG56" s="27">
        <f>IF(AQ56="2",BI56,0)</f>
        <v>0</v>
      </c>
      <c r="AH56" s="27">
        <f>IF(AQ56="0",BJ56,0)</f>
        <v>0</v>
      </c>
      <c r="AI56" s="20"/>
      <c r="AJ56" s="13">
        <f>IF(AN56=0,I56,0)</f>
        <v>0</v>
      </c>
      <c r="AK56" s="13">
        <f>IF(AN56=15,I56,0)</f>
        <v>0</v>
      </c>
      <c r="AL56" s="13">
        <f>IF(AN56=21,I56,0)</f>
        <v>0</v>
      </c>
      <c r="AN56" s="27">
        <v>21</v>
      </c>
      <c r="AO56" s="27">
        <f>F56*0.272807957666287</f>
        <v>0</v>
      </c>
      <c r="AP56" s="27">
        <f>F56*(1-0.272807957666287)</f>
        <v>0</v>
      </c>
      <c r="AQ56" s="23" t="s">
        <v>7</v>
      </c>
      <c r="AV56" s="27">
        <f>AW56+AX56</f>
        <v>0</v>
      </c>
      <c r="AW56" s="27">
        <f>E56*AO56</f>
        <v>0</v>
      </c>
      <c r="AX56" s="27">
        <f>E56*AP56</f>
        <v>0</v>
      </c>
      <c r="AY56" s="28" t="s">
        <v>1051</v>
      </c>
      <c r="AZ56" s="28" t="s">
        <v>1093</v>
      </c>
      <c r="BA56" s="20" t="s">
        <v>1106</v>
      </c>
      <c r="BC56" s="27">
        <f>AW56+AX56</f>
        <v>0</v>
      </c>
      <c r="BD56" s="27">
        <f>F56/(100-BE56)*100</f>
        <v>0</v>
      </c>
      <c r="BE56" s="27">
        <v>0</v>
      </c>
      <c r="BF56" s="27">
        <f>K56</f>
        <v>0.047795</v>
      </c>
      <c r="BH56" s="13">
        <f>E56*AO56</f>
        <v>0</v>
      </c>
      <c r="BI56" s="13">
        <f>E56*AP56</f>
        <v>0</v>
      </c>
      <c r="BJ56" s="13">
        <f>E56*F56</f>
        <v>0</v>
      </c>
    </row>
    <row r="57" spans="1:62" ht="12.75">
      <c r="A57" s="107"/>
      <c r="B57" s="108"/>
      <c r="C57" s="99" t="s">
        <v>1633</v>
      </c>
      <c r="D57" s="100" t="s">
        <v>1008</v>
      </c>
      <c r="E57" s="101">
        <f>+Výměry!E10</f>
        <v>5.5</v>
      </c>
      <c r="F57" s="132"/>
      <c r="G57" s="139"/>
      <c r="H57" s="110"/>
      <c r="I57" s="140"/>
      <c r="J57" s="213"/>
      <c r="K57" s="214"/>
      <c r="L57" s="150"/>
      <c r="Z57" s="27"/>
      <c r="AB57" s="27"/>
      <c r="AC57" s="27"/>
      <c r="AD57" s="27"/>
      <c r="AE57" s="27"/>
      <c r="AF57" s="27"/>
      <c r="AG57" s="27"/>
      <c r="AH57" s="27"/>
      <c r="AI57" s="20"/>
      <c r="AJ57" s="13"/>
      <c r="AK57" s="13"/>
      <c r="AL57" s="13"/>
      <c r="AN57" s="27"/>
      <c r="AO57" s="27"/>
      <c r="AP57" s="27"/>
      <c r="AQ57" s="23"/>
      <c r="AV57" s="27"/>
      <c r="AW57" s="27"/>
      <c r="AX57" s="27"/>
      <c r="AY57" s="28"/>
      <c r="AZ57" s="28"/>
      <c r="BA57" s="20"/>
      <c r="BC57" s="27"/>
      <c r="BD57" s="27"/>
      <c r="BE57" s="27"/>
      <c r="BF57" s="27"/>
      <c r="BH57" s="13"/>
      <c r="BI57" s="13"/>
      <c r="BJ57" s="13"/>
    </row>
    <row r="58" spans="1:62" ht="12.75">
      <c r="A58" s="107" t="s">
        <v>28</v>
      </c>
      <c r="B58" s="108" t="s">
        <v>342</v>
      </c>
      <c r="C58" s="109" t="s">
        <v>669</v>
      </c>
      <c r="D58" s="205" t="s">
        <v>1008</v>
      </c>
      <c r="E58" s="110">
        <f>+E59</f>
        <v>36.300000000000004</v>
      </c>
      <c r="F58" s="132">
        <v>0</v>
      </c>
      <c r="G58" s="139">
        <f>E58*AO58</f>
        <v>0</v>
      </c>
      <c r="H58" s="110">
        <f>E58*AP58</f>
        <v>0</v>
      </c>
      <c r="I58" s="140">
        <f>E58*F58</f>
        <v>0</v>
      </c>
      <c r="J58" s="213">
        <v>0.0107</v>
      </c>
      <c r="K58" s="214">
        <f>E58*J58</f>
        <v>0.38841000000000003</v>
      </c>
      <c r="L58" s="150" t="s">
        <v>1039</v>
      </c>
      <c r="Z58" s="27">
        <f>IF(AQ58="5",BJ58,0)</f>
        <v>0</v>
      </c>
      <c r="AB58" s="27">
        <f>IF(AQ58="1",BH58,0)</f>
        <v>0</v>
      </c>
      <c r="AC58" s="27">
        <f>IF(AQ58="1",BI58,0)</f>
        <v>0</v>
      </c>
      <c r="AD58" s="27">
        <f>IF(AQ58="7",BH58,0)</f>
        <v>0</v>
      </c>
      <c r="AE58" s="27">
        <f>IF(AQ58="7",BI58,0)</f>
        <v>0</v>
      </c>
      <c r="AF58" s="27">
        <f>IF(AQ58="2",BH58,0)</f>
        <v>0</v>
      </c>
      <c r="AG58" s="27">
        <f>IF(AQ58="2",BI58,0)</f>
        <v>0</v>
      </c>
      <c r="AH58" s="27">
        <f>IF(AQ58="0",BJ58,0)</f>
        <v>0</v>
      </c>
      <c r="AI58" s="20"/>
      <c r="AJ58" s="13">
        <f>IF(AN58=0,I58,0)</f>
        <v>0</v>
      </c>
      <c r="AK58" s="13">
        <f>IF(AN58=15,I58,0)</f>
        <v>0</v>
      </c>
      <c r="AL58" s="13">
        <f>IF(AN58=21,I58,0)</f>
        <v>0</v>
      </c>
      <c r="AN58" s="27">
        <v>21</v>
      </c>
      <c r="AO58" s="27">
        <f>F58*0.251259160237445</f>
        <v>0</v>
      </c>
      <c r="AP58" s="27">
        <f>F58*(1-0.251259160237445)</f>
        <v>0</v>
      </c>
      <c r="AQ58" s="23" t="s">
        <v>7</v>
      </c>
      <c r="AV58" s="27">
        <f>AW58+AX58</f>
        <v>0</v>
      </c>
      <c r="AW58" s="27">
        <f>E58*AO58</f>
        <v>0</v>
      </c>
      <c r="AX58" s="27">
        <f>E58*AP58</f>
        <v>0</v>
      </c>
      <c r="AY58" s="28" t="s">
        <v>1051</v>
      </c>
      <c r="AZ58" s="28" t="s">
        <v>1093</v>
      </c>
      <c r="BA58" s="20" t="s">
        <v>1106</v>
      </c>
      <c r="BC58" s="27">
        <f>AW58+AX58</f>
        <v>0</v>
      </c>
      <c r="BD58" s="27">
        <f>F58/(100-BE58)*100</f>
        <v>0</v>
      </c>
      <c r="BE58" s="27">
        <v>0</v>
      </c>
      <c r="BF58" s="27">
        <f>K58</f>
        <v>0.38841000000000003</v>
      </c>
      <c r="BH58" s="13">
        <f>E58*AO58</f>
        <v>0</v>
      </c>
      <c r="BI58" s="13">
        <f>E58*AP58</f>
        <v>0</v>
      </c>
      <c r="BJ58" s="13">
        <f>E58*F58</f>
        <v>0</v>
      </c>
    </row>
    <row r="59" spans="1:62" ht="12.75">
      <c r="A59" s="107"/>
      <c r="B59" s="108"/>
      <c r="C59" s="99" t="s">
        <v>1634</v>
      </c>
      <c r="D59" s="100" t="s">
        <v>1008</v>
      </c>
      <c r="E59" s="101">
        <f>+Výměry!E15</f>
        <v>36.300000000000004</v>
      </c>
      <c r="F59" s="132"/>
      <c r="G59" s="139"/>
      <c r="H59" s="110"/>
      <c r="I59" s="140"/>
      <c r="J59" s="213"/>
      <c r="K59" s="214"/>
      <c r="L59" s="150"/>
      <c r="Z59" s="27"/>
      <c r="AB59" s="27"/>
      <c r="AC59" s="27"/>
      <c r="AD59" s="27"/>
      <c r="AE59" s="27"/>
      <c r="AF59" s="27"/>
      <c r="AG59" s="27"/>
      <c r="AH59" s="27"/>
      <c r="AI59" s="20"/>
      <c r="AJ59" s="13"/>
      <c r="AK59" s="13"/>
      <c r="AL59" s="13"/>
      <c r="AN59" s="27"/>
      <c r="AO59" s="27"/>
      <c r="AP59" s="27"/>
      <c r="AQ59" s="23"/>
      <c r="AV59" s="27"/>
      <c r="AW59" s="27"/>
      <c r="AX59" s="27"/>
      <c r="AY59" s="28"/>
      <c r="AZ59" s="28"/>
      <c r="BA59" s="20"/>
      <c r="BC59" s="27"/>
      <c r="BD59" s="27"/>
      <c r="BE59" s="27"/>
      <c r="BF59" s="27"/>
      <c r="BH59" s="13"/>
      <c r="BI59" s="13"/>
      <c r="BJ59" s="13"/>
    </row>
    <row r="60" spans="1:62" ht="12.75">
      <c r="A60" s="107" t="s">
        <v>29</v>
      </c>
      <c r="B60" s="108" t="s">
        <v>343</v>
      </c>
      <c r="C60" s="109" t="s">
        <v>670</v>
      </c>
      <c r="D60" s="205" t="s">
        <v>1008</v>
      </c>
      <c r="E60" s="110">
        <f>+E61</f>
        <v>2.1</v>
      </c>
      <c r="F60" s="132">
        <v>0</v>
      </c>
      <c r="G60" s="139">
        <f>E60*AO60</f>
        <v>0</v>
      </c>
      <c r="H60" s="110">
        <f>E60*AP60</f>
        <v>0</v>
      </c>
      <c r="I60" s="140">
        <f>E60*F60</f>
        <v>0</v>
      </c>
      <c r="J60" s="213">
        <v>0.01271</v>
      </c>
      <c r="K60" s="214">
        <f>E60*J60</f>
        <v>0.026691000000000003</v>
      </c>
      <c r="L60" s="150" t="s">
        <v>1039</v>
      </c>
      <c r="Z60" s="27">
        <f>IF(AQ60="5",BJ60,0)</f>
        <v>0</v>
      </c>
      <c r="AB60" s="27">
        <f>IF(AQ60="1",BH60,0)</f>
        <v>0</v>
      </c>
      <c r="AC60" s="27">
        <f>IF(AQ60="1",BI60,0)</f>
        <v>0</v>
      </c>
      <c r="AD60" s="27">
        <f>IF(AQ60="7",BH60,0)</f>
        <v>0</v>
      </c>
      <c r="AE60" s="27">
        <f>IF(AQ60="7",BI60,0)</f>
        <v>0</v>
      </c>
      <c r="AF60" s="27">
        <f>IF(AQ60="2",BH60,0)</f>
        <v>0</v>
      </c>
      <c r="AG60" s="27">
        <f>IF(AQ60="2",BI60,0)</f>
        <v>0</v>
      </c>
      <c r="AH60" s="27">
        <f>IF(AQ60="0",BJ60,0)</f>
        <v>0</v>
      </c>
      <c r="AI60" s="20"/>
      <c r="AJ60" s="13">
        <f>IF(AN60=0,I60,0)</f>
        <v>0</v>
      </c>
      <c r="AK60" s="13">
        <f>IF(AN60=15,I60,0)</f>
        <v>0</v>
      </c>
      <c r="AL60" s="13">
        <f>IF(AN60=21,I60,0)</f>
        <v>0</v>
      </c>
      <c r="AN60" s="27">
        <v>21</v>
      </c>
      <c r="AO60" s="27">
        <f>F60*0.23866220735786</f>
        <v>0</v>
      </c>
      <c r="AP60" s="27">
        <f>F60*(1-0.23866220735786)</f>
        <v>0</v>
      </c>
      <c r="AQ60" s="23" t="s">
        <v>7</v>
      </c>
      <c r="AV60" s="27">
        <f>AW60+AX60</f>
        <v>0</v>
      </c>
      <c r="AW60" s="27">
        <f>E60*AO60</f>
        <v>0</v>
      </c>
      <c r="AX60" s="27">
        <f>E60*AP60</f>
        <v>0</v>
      </c>
      <c r="AY60" s="28" t="s">
        <v>1051</v>
      </c>
      <c r="AZ60" s="28" t="s">
        <v>1093</v>
      </c>
      <c r="BA60" s="20" t="s">
        <v>1106</v>
      </c>
      <c r="BC60" s="27">
        <f>AW60+AX60</f>
        <v>0</v>
      </c>
      <c r="BD60" s="27">
        <f>F60/(100-BE60)*100</f>
        <v>0</v>
      </c>
      <c r="BE60" s="27">
        <v>0</v>
      </c>
      <c r="BF60" s="27">
        <f>K60</f>
        <v>0.026691000000000003</v>
      </c>
      <c r="BH60" s="13">
        <f>E60*AO60</f>
        <v>0</v>
      </c>
      <c r="BI60" s="13">
        <f>E60*AP60</f>
        <v>0</v>
      </c>
      <c r="BJ60" s="13">
        <f>E60*F60</f>
        <v>0</v>
      </c>
    </row>
    <row r="61" spans="1:62" ht="12.75">
      <c r="A61" s="107"/>
      <c r="B61" s="108"/>
      <c r="C61" s="99" t="s">
        <v>1635</v>
      </c>
      <c r="D61" s="100" t="s">
        <v>1008</v>
      </c>
      <c r="E61" s="101">
        <f>+Výměry!E20</f>
        <v>2.1</v>
      </c>
      <c r="F61" s="132"/>
      <c r="G61" s="139"/>
      <c r="H61" s="110"/>
      <c r="I61" s="140"/>
      <c r="J61" s="213"/>
      <c r="K61" s="214"/>
      <c r="L61" s="150"/>
      <c r="Z61" s="27"/>
      <c r="AB61" s="27"/>
      <c r="AC61" s="27"/>
      <c r="AD61" s="27"/>
      <c r="AE61" s="27"/>
      <c r="AF61" s="27"/>
      <c r="AG61" s="27"/>
      <c r="AH61" s="27"/>
      <c r="AI61" s="20"/>
      <c r="AJ61" s="13"/>
      <c r="AK61" s="13"/>
      <c r="AL61" s="13"/>
      <c r="AN61" s="27"/>
      <c r="AO61" s="27"/>
      <c r="AP61" s="27"/>
      <c r="AQ61" s="23"/>
      <c r="AV61" s="27"/>
      <c r="AW61" s="27"/>
      <c r="AX61" s="27"/>
      <c r="AY61" s="28"/>
      <c r="AZ61" s="28"/>
      <c r="BA61" s="20"/>
      <c r="BC61" s="27"/>
      <c r="BD61" s="27"/>
      <c r="BE61" s="27"/>
      <c r="BF61" s="27"/>
      <c r="BH61" s="13"/>
      <c r="BI61" s="13"/>
      <c r="BJ61" s="13"/>
    </row>
    <row r="62" spans="1:62" ht="12.75">
      <c r="A62" s="107" t="s">
        <v>30</v>
      </c>
      <c r="B62" s="108" t="s">
        <v>344</v>
      </c>
      <c r="C62" s="109" t="s">
        <v>671</v>
      </c>
      <c r="D62" s="205" t="s">
        <v>1008</v>
      </c>
      <c r="E62" s="110">
        <f>+E63</f>
        <v>50.7</v>
      </c>
      <c r="F62" s="132">
        <v>0</v>
      </c>
      <c r="G62" s="139">
        <f>E62*AO62</f>
        <v>0</v>
      </c>
      <c r="H62" s="110">
        <f>E62*AP62</f>
        <v>0</v>
      </c>
      <c r="I62" s="140">
        <f>E62*F62</f>
        <v>0</v>
      </c>
      <c r="J62" s="213">
        <v>0.02478</v>
      </c>
      <c r="K62" s="214">
        <f>E62*J62</f>
        <v>1.256346</v>
      </c>
      <c r="L62" s="150" t="s">
        <v>1039</v>
      </c>
      <c r="Z62" s="27">
        <f>IF(AQ62="5",BJ62,0)</f>
        <v>0</v>
      </c>
      <c r="AB62" s="27">
        <f>IF(AQ62="1",BH62,0)</f>
        <v>0</v>
      </c>
      <c r="AC62" s="27">
        <f>IF(AQ62="1",BI62,0)</f>
        <v>0</v>
      </c>
      <c r="AD62" s="27">
        <f>IF(AQ62="7",BH62,0)</f>
        <v>0</v>
      </c>
      <c r="AE62" s="27">
        <f>IF(AQ62="7",BI62,0)</f>
        <v>0</v>
      </c>
      <c r="AF62" s="27">
        <f>IF(AQ62="2",BH62,0)</f>
        <v>0</v>
      </c>
      <c r="AG62" s="27">
        <f>IF(AQ62="2",BI62,0)</f>
        <v>0</v>
      </c>
      <c r="AH62" s="27">
        <f>IF(AQ62="0",BJ62,0)</f>
        <v>0</v>
      </c>
      <c r="AI62" s="20"/>
      <c r="AJ62" s="13">
        <f>IF(AN62=0,I62,0)</f>
        <v>0</v>
      </c>
      <c r="AK62" s="13">
        <f>IF(AN62=15,I62,0)</f>
        <v>0</v>
      </c>
      <c r="AL62" s="13">
        <f>IF(AN62=21,I62,0)</f>
        <v>0</v>
      </c>
      <c r="AN62" s="27">
        <v>21</v>
      </c>
      <c r="AO62" s="27">
        <f>F62*0.274010152284264</f>
        <v>0</v>
      </c>
      <c r="AP62" s="27">
        <f>F62*(1-0.274010152284264)</f>
        <v>0</v>
      </c>
      <c r="AQ62" s="23" t="s">
        <v>7</v>
      </c>
      <c r="AV62" s="27">
        <f>AW62+AX62</f>
        <v>0</v>
      </c>
      <c r="AW62" s="27">
        <f>E62*AO62</f>
        <v>0</v>
      </c>
      <c r="AX62" s="27">
        <f>E62*AP62</f>
        <v>0</v>
      </c>
      <c r="AY62" s="28" t="s">
        <v>1051</v>
      </c>
      <c r="AZ62" s="28" t="s">
        <v>1093</v>
      </c>
      <c r="BA62" s="20" t="s">
        <v>1106</v>
      </c>
      <c r="BC62" s="27">
        <f>AW62+AX62</f>
        <v>0</v>
      </c>
      <c r="BD62" s="27">
        <f>F62/(100-BE62)*100</f>
        <v>0</v>
      </c>
      <c r="BE62" s="27">
        <v>0</v>
      </c>
      <c r="BF62" s="27">
        <f>K62</f>
        <v>1.256346</v>
      </c>
      <c r="BH62" s="13">
        <f>E62*AO62</f>
        <v>0</v>
      </c>
      <c r="BI62" s="13">
        <f>E62*AP62</f>
        <v>0</v>
      </c>
      <c r="BJ62" s="13">
        <f>E62*F62</f>
        <v>0</v>
      </c>
    </row>
    <row r="63" spans="1:62" ht="12.75">
      <c r="A63" s="107"/>
      <c r="B63" s="108"/>
      <c r="C63" s="99" t="s">
        <v>1636</v>
      </c>
      <c r="D63" s="100" t="s">
        <v>1008</v>
      </c>
      <c r="E63" s="101">
        <f>+Výměry!E26</f>
        <v>50.7</v>
      </c>
      <c r="F63" s="132"/>
      <c r="G63" s="139"/>
      <c r="H63" s="110"/>
      <c r="I63" s="140"/>
      <c r="J63" s="213"/>
      <c r="K63" s="214"/>
      <c r="L63" s="150"/>
      <c r="Z63" s="27"/>
      <c r="AB63" s="27"/>
      <c r="AC63" s="27"/>
      <c r="AD63" s="27"/>
      <c r="AE63" s="27"/>
      <c r="AF63" s="27"/>
      <c r="AG63" s="27"/>
      <c r="AH63" s="27"/>
      <c r="AI63" s="20"/>
      <c r="AJ63" s="13"/>
      <c r="AK63" s="13"/>
      <c r="AL63" s="13"/>
      <c r="AN63" s="27"/>
      <c r="AO63" s="27"/>
      <c r="AP63" s="27"/>
      <c r="AQ63" s="23"/>
      <c r="AV63" s="27"/>
      <c r="AW63" s="27"/>
      <c r="AX63" s="27"/>
      <c r="AY63" s="28"/>
      <c r="AZ63" s="28"/>
      <c r="BA63" s="20"/>
      <c r="BC63" s="27"/>
      <c r="BD63" s="27"/>
      <c r="BE63" s="27"/>
      <c r="BF63" s="27"/>
      <c r="BH63" s="13"/>
      <c r="BI63" s="13"/>
      <c r="BJ63" s="13"/>
    </row>
    <row r="64" spans="1:47" ht="12.75">
      <c r="A64" s="111"/>
      <c r="B64" s="112" t="s">
        <v>18</v>
      </c>
      <c r="C64" s="113" t="s">
        <v>672</v>
      </c>
      <c r="D64" s="206" t="s">
        <v>6</v>
      </c>
      <c r="E64" s="114" t="s">
        <v>6</v>
      </c>
      <c r="F64" s="133" t="s">
        <v>6</v>
      </c>
      <c r="G64" s="141">
        <f>SUM(G65:G75)</f>
        <v>0</v>
      </c>
      <c r="H64" s="115">
        <f>SUM(H65:H75)</f>
        <v>0</v>
      </c>
      <c r="I64" s="142">
        <f>SUM(I65:I75)</f>
        <v>0</v>
      </c>
      <c r="J64" s="215"/>
      <c r="K64" s="216">
        <f>SUM(K65:K75)</f>
        <v>0</v>
      </c>
      <c r="L64" s="151"/>
      <c r="AI64" s="20"/>
      <c r="AS64" s="29">
        <f>SUM(AJ65:AJ75)</f>
        <v>0</v>
      </c>
      <c r="AT64" s="29">
        <f>SUM(AK65:AK75)</f>
        <v>0</v>
      </c>
      <c r="AU64" s="29">
        <f>SUM(AL65:AL75)</f>
        <v>0</v>
      </c>
    </row>
    <row r="65" spans="1:62" ht="12.75">
      <c r="A65" s="107" t="s">
        <v>31</v>
      </c>
      <c r="B65" s="108" t="s">
        <v>345</v>
      </c>
      <c r="C65" s="109" t="s">
        <v>673</v>
      </c>
      <c r="D65" s="205" t="s">
        <v>1006</v>
      </c>
      <c r="E65" s="110">
        <f>+E66</f>
        <v>173.64598</v>
      </c>
      <c r="F65" s="132">
        <v>0</v>
      </c>
      <c r="G65" s="139">
        <f>E65*AO65</f>
        <v>0</v>
      </c>
      <c r="H65" s="110">
        <f>E65*AP65</f>
        <v>0</v>
      </c>
      <c r="I65" s="140">
        <f>E65*F65</f>
        <v>0</v>
      </c>
      <c r="J65" s="213">
        <v>0</v>
      </c>
      <c r="K65" s="214">
        <f>E65*J65</f>
        <v>0</v>
      </c>
      <c r="L65" s="150" t="s">
        <v>1039</v>
      </c>
      <c r="Z65" s="27">
        <f>IF(AQ65="5",BJ65,0)</f>
        <v>0</v>
      </c>
      <c r="AB65" s="27">
        <f>IF(AQ65="1",BH65,0)</f>
        <v>0</v>
      </c>
      <c r="AC65" s="27">
        <f>IF(AQ65="1",BI65,0)</f>
        <v>0</v>
      </c>
      <c r="AD65" s="27">
        <f>IF(AQ65="7",BH65,0)</f>
        <v>0</v>
      </c>
      <c r="AE65" s="27">
        <f>IF(AQ65="7",BI65,0)</f>
        <v>0</v>
      </c>
      <c r="AF65" s="27">
        <f>IF(AQ65="2",BH65,0)</f>
        <v>0</v>
      </c>
      <c r="AG65" s="27">
        <f>IF(AQ65="2",BI65,0)</f>
        <v>0</v>
      </c>
      <c r="AH65" s="27">
        <f>IF(AQ65="0",BJ65,0)</f>
        <v>0</v>
      </c>
      <c r="AI65" s="20"/>
      <c r="AJ65" s="13">
        <f>IF(AN65=0,I65,0)</f>
        <v>0</v>
      </c>
      <c r="AK65" s="13">
        <f>IF(AN65=15,I65,0)</f>
        <v>0</v>
      </c>
      <c r="AL65" s="13">
        <f>IF(AN65=21,I65,0)</f>
        <v>0</v>
      </c>
      <c r="AN65" s="27">
        <v>21</v>
      </c>
      <c r="AO65" s="27">
        <f>F65*0</f>
        <v>0</v>
      </c>
      <c r="AP65" s="27">
        <f>F65*(1-0)</f>
        <v>0</v>
      </c>
      <c r="AQ65" s="23" t="s">
        <v>7</v>
      </c>
      <c r="AV65" s="27">
        <f>AW65+AX65</f>
        <v>0</v>
      </c>
      <c r="AW65" s="27">
        <f>E65*AO65</f>
        <v>0</v>
      </c>
      <c r="AX65" s="27">
        <f>E65*AP65</f>
        <v>0</v>
      </c>
      <c r="AY65" s="28" t="s">
        <v>1052</v>
      </c>
      <c r="AZ65" s="28" t="s">
        <v>1093</v>
      </c>
      <c r="BA65" s="20" t="s">
        <v>1106</v>
      </c>
      <c r="BC65" s="27">
        <f>AW65+AX65</f>
        <v>0</v>
      </c>
      <c r="BD65" s="27">
        <f>F65/(100-BE65)*100</f>
        <v>0</v>
      </c>
      <c r="BE65" s="27">
        <v>0</v>
      </c>
      <c r="BF65" s="27">
        <f>K65</f>
        <v>0</v>
      </c>
      <c r="BH65" s="13">
        <f>E65*AO65</f>
        <v>0</v>
      </c>
      <c r="BI65" s="13">
        <f>E65*AP65</f>
        <v>0</v>
      </c>
      <c r="BJ65" s="13">
        <f>E65*F65</f>
        <v>0</v>
      </c>
    </row>
    <row r="66" spans="1:62" ht="12.75">
      <c r="A66" s="107"/>
      <c r="B66" s="108"/>
      <c r="C66" s="99" t="s">
        <v>1637</v>
      </c>
      <c r="D66" s="100" t="s">
        <v>1006</v>
      </c>
      <c r="E66" s="101">
        <f>+Výměry!E45</f>
        <v>173.64598</v>
      </c>
      <c r="F66" s="132"/>
      <c r="G66" s="139"/>
      <c r="H66" s="110"/>
      <c r="I66" s="140"/>
      <c r="J66" s="213"/>
      <c r="K66" s="214"/>
      <c r="L66" s="150"/>
      <c r="Z66" s="27"/>
      <c r="AB66" s="27"/>
      <c r="AC66" s="27"/>
      <c r="AD66" s="27"/>
      <c r="AE66" s="27"/>
      <c r="AF66" s="27"/>
      <c r="AG66" s="27"/>
      <c r="AH66" s="27"/>
      <c r="AI66" s="20"/>
      <c r="AJ66" s="13"/>
      <c r="AK66" s="13"/>
      <c r="AL66" s="13"/>
      <c r="AN66" s="27"/>
      <c r="AO66" s="27"/>
      <c r="AP66" s="27"/>
      <c r="AQ66" s="23"/>
      <c r="AV66" s="27"/>
      <c r="AW66" s="27"/>
      <c r="AX66" s="27"/>
      <c r="AY66" s="28"/>
      <c r="AZ66" s="28"/>
      <c r="BA66" s="20"/>
      <c r="BC66" s="27"/>
      <c r="BD66" s="27"/>
      <c r="BE66" s="27"/>
      <c r="BF66" s="27"/>
      <c r="BH66" s="13"/>
      <c r="BI66" s="13"/>
      <c r="BJ66" s="13"/>
    </row>
    <row r="67" spans="1:62" ht="12.75">
      <c r="A67" s="107" t="s">
        <v>32</v>
      </c>
      <c r="B67" s="108" t="s">
        <v>346</v>
      </c>
      <c r="C67" s="109" t="s">
        <v>674</v>
      </c>
      <c r="D67" s="205" t="s">
        <v>1006</v>
      </c>
      <c r="E67" s="110">
        <f>+E68+E69</f>
        <v>4.5</v>
      </c>
      <c r="F67" s="132">
        <v>0</v>
      </c>
      <c r="G67" s="139">
        <f>E67*AO67</f>
        <v>0</v>
      </c>
      <c r="H67" s="110">
        <f>E67*AP67</f>
        <v>0</v>
      </c>
      <c r="I67" s="140">
        <f>E67*F67</f>
        <v>0</v>
      </c>
      <c r="J67" s="213">
        <v>0</v>
      </c>
      <c r="K67" s="214">
        <f>E67*J67</f>
        <v>0</v>
      </c>
      <c r="L67" s="150" t="s">
        <v>1039</v>
      </c>
      <c r="Z67" s="27">
        <f>IF(AQ67="5",BJ67,0)</f>
        <v>0</v>
      </c>
      <c r="AB67" s="27">
        <f>IF(AQ67="1",BH67,0)</f>
        <v>0</v>
      </c>
      <c r="AC67" s="27">
        <f>IF(AQ67="1",BI67,0)</f>
        <v>0</v>
      </c>
      <c r="AD67" s="27">
        <f>IF(AQ67="7",BH67,0)</f>
        <v>0</v>
      </c>
      <c r="AE67" s="27">
        <f>IF(AQ67="7",BI67,0)</f>
        <v>0</v>
      </c>
      <c r="AF67" s="27">
        <f>IF(AQ67="2",BH67,0)</f>
        <v>0</v>
      </c>
      <c r="AG67" s="27">
        <f>IF(AQ67="2",BI67,0)</f>
        <v>0</v>
      </c>
      <c r="AH67" s="27">
        <f>IF(AQ67="0",BJ67,0)</f>
        <v>0</v>
      </c>
      <c r="AI67" s="20"/>
      <c r="AJ67" s="13">
        <f>IF(AN67=0,I67,0)</f>
        <v>0</v>
      </c>
      <c r="AK67" s="13">
        <f>IF(AN67=15,I67,0)</f>
        <v>0</v>
      </c>
      <c r="AL67" s="13">
        <f>IF(AN67=21,I67,0)</f>
        <v>0</v>
      </c>
      <c r="AN67" s="27">
        <v>21</v>
      </c>
      <c r="AO67" s="27">
        <f>F67*0</f>
        <v>0</v>
      </c>
      <c r="AP67" s="27">
        <f>F67*(1-0)</f>
        <v>0</v>
      </c>
      <c r="AQ67" s="23" t="s">
        <v>7</v>
      </c>
      <c r="AV67" s="27">
        <f>AW67+AX67</f>
        <v>0</v>
      </c>
      <c r="AW67" s="27">
        <f>E67*AO67</f>
        <v>0</v>
      </c>
      <c r="AX67" s="27">
        <f>E67*AP67</f>
        <v>0</v>
      </c>
      <c r="AY67" s="28" t="s">
        <v>1052</v>
      </c>
      <c r="AZ67" s="28" t="s">
        <v>1093</v>
      </c>
      <c r="BA67" s="20" t="s">
        <v>1106</v>
      </c>
      <c r="BC67" s="27">
        <f>AW67+AX67</f>
        <v>0</v>
      </c>
      <c r="BD67" s="27">
        <f>F67/(100-BE67)*100</f>
        <v>0</v>
      </c>
      <c r="BE67" s="27">
        <v>0</v>
      </c>
      <c r="BF67" s="27">
        <f>K67</f>
        <v>0</v>
      </c>
      <c r="BH67" s="13">
        <f>E67*AO67</f>
        <v>0</v>
      </c>
      <c r="BI67" s="13">
        <f>E67*AP67</f>
        <v>0</v>
      </c>
      <c r="BJ67" s="13">
        <f>E67*F67</f>
        <v>0</v>
      </c>
    </row>
    <row r="68" spans="1:62" ht="12.75">
      <c r="A68" s="107"/>
      <c r="B68" s="108"/>
      <c r="C68" s="102" t="s">
        <v>1638</v>
      </c>
      <c r="D68" s="100" t="s">
        <v>1006</v>
      </c>
      <c r="E68" s="101">
        <v>0.30000000000000004</v>
      </c>
      <c r="F68" s="132"/>
      <c r="G68" s="139"/>
      <c r="H68" s="110"/>
      <c r="I68" s="140"/>
      <c r="J68" s="213"/>
      <c r="K68" s="214"/>
      <c r="L68" s="150"/>
      <c r="Z68" s="27"/>
      <c r="AB68" s="27"/>
      <c r="AC68" s="27"/>
      <c r="AD68" s="27"/>
      <c r="AE68" s="27"/>
      <c r="AF68" s="27"/>
      <c r="AG68" s="27"/>
      <c r="AH68" s="27"/>
      <c r="AI68" s="20"/>
      <c r="AJ68" s="13"/>
      <c r="AK68" s="13"/>
      <c r="AL68" s="13"/>
      <c r="AN68" s="27"/>
      <c r="AO68" s="27"/>
      <c r="AP68" s="27"/>
      <c r="AQ68" s="23"/>
      <c r="AV68" s="27"/>
      <c r="AW68" s="27"/>
      <c r="AX68" s="27"/>
      <c r="AY68" s="28"/>
      <c r="AZ68" s="28"/>
      <c r="BA68" s="20"/>
      <c r="BC68" s="27"/>
      <c r="BD68" s="27"/>
      <c r="BE68" s="27"/>
      <c r="BF68" s="27"/>
      <c r="BH68" s="13"/>
      <c r="BI68" s="13"/>
      <c r="BJ68" s="13"/>
    </row>
    <row r="69" spans="1:62" ht="12.75">
      <c r="A69" s="107"/>
      <c r="B69" s="108"/>
      <c r="C69" s="102" t="s">
        <v>1639</v>
      </c>
      <c r="D69" s="100" t="s">
        <v>1006</v>
      </c>
      <c r="E69" s="101">
        <v>4.2</v>
      </c>
      <c r="F69" s="132"/>
      <c r="G69" s="139"/>
      <c r="H69" s="110"/>
      <c r="I69" s="140"/>
      <c r="J69" s="213"/>
      <c r="K69" s="214"/>
      <c r="L69" s="150"/>
      <c r="Z69" s="27"/>
      <c r="AB69" s="27"/>
      <c r="AC69" s="27"/>
      <c r="AD69" s="27"/>
      <c r="AE69" s="27"/>
      <c r="AF69" s="27"/>
      <c r="AG69" s="27"/>
      <c r="AH69" s="27"/>
      <c r="AI69" s="20"/>
      <c r="AJ69" s="13"/>
      <c r="AK69" s="13"/>
      <c r="AL69" s="13"/>
      <c r="AN69" s="27"/>
      <c r="AO69" s="27"/>
      <c r="AP69" s="27"/>
      <c r="AQ69" s="23"/>
      <c r="AV69" s="27"/>
      <c r="AW69" s="27"/>
      <c r="AX69" s="27"/>
      <c r="AY69" s="28"/>
      <c r="AZ69" s="28"/>
      <c r="BA69" s="20"/>
      <c r="BC69" s="27"/>
      <c r="BD69" s="27"/>
      <c r="BE69" s="27"/>
      <c r="BF69" s="27"/>
      <c r="BH69" s="13"/>
      <c r="BI69" s="13"/>
      <c r="BJ69" s="13"/>
    </row>
    <row r="70" spans="1:62" ht="12.75">
      <c r="A70" s="107" t="s">
        <v>33</v>
      </c>
      <c r="B70" s="108" t="s">
        <v>347</v>
      </c>
      <c r="C70" s="109" t="s">
        <v>675</v>
      </c>
      <c r="D70" s="205" t="s">
        <v>1006</v>
      </c>
      <c r="E70" s="110">
        <f>+E72</f>
        <v>3.79</v>
      </c>
      <c r="F70" s="132">
        <v>0</v>
      </c>
      <c r="G70" s="139">
        <f>E70*AO70</f>
        <v>0</v>
      </c>
      <c r="H70" s="110">
        <f>E70*AP70</f>
        <v>0</v>
      </c>
      <c r="I70" s="140">
        <f>E70*F70</f>
        <v>0</v>
      </c>
      <c r="J70" s="213">
        <v>0</v>
      </c>
      <c r="K70" s="214">
        <f>E70*J70</f>
        <v>0</v>
      </c>
      <c r="L70" s="150" t="s">
        <v>1039</v>
      </c>
      <c r="Z70" s="27">
        <f>IF(AQ70="5",BJ70,0)</f>
        <v>0</v>
      </c>
      <c r="AB70" s="27">
        <f>IF(AQ70="1",BH70,0)</f>
        <v>0</v>
      </c>
      <c r="AC70" s="27">
        <f>IF(AQ70="1",BI70,0)</f>
        <v>0</v>
      </c>
      <c r="AD70" s="27">
        <f>IF(AQ70="7",BH70,0)</f>
        <v>0</v>
      </c>
      <c r="AE70" s="27">
        <f>IF(AQ70="7",BI70,0)</f>
        <v>0</v>
      </c>
      <c r="AF70" s="27">
        <f>IF(AQ70="2",BH70,0)</f>
        <v>0</v>
      </c>
      <c r="AG70" s="27">
        <f>IF(AQ70="2",BI70,0)</f>
        <v>0</v>
      </c>
      <c r="AH70" s="27">
        <f>IF(AQ70="0",BJ70,0)</f>
        <v>0</v>
      </c>
      <c r="AI70" s="20"/>
      <c r="AJ70" s="13">
        <f>IF(AN70=0,I70,0)</f>
        <v>0</v>
      </c>
      <c r="AK70" s="13">
        <f>IF(AN70=15,I70,0)</f>
        <v>0</v>
      </c>
      <c r="AL70" s="13">
        <f>IF(AN70=21,I70,0)</f>
        <v>0</v>
      </c>
      <c r="AN70" s="27">
        <v>21</v>
      </c>
      <c r="AO70" s="27">
        <f>F70*0</f>
        <v>0</v>
      </c>
      <c r="AP70" s="27">
        <f>F70*(1-0)</f>
        <v>0</v>
      </c>
      <c r="AQ70" s="23" t="s">
        <v>7</v>
      </c>
      <c r="AV70" s="27">
        <f>AW70+AX70</f>
        <v>0</v>
      </c>
      <c r="AW70" s="27">
        <f>E70*AO70</f>
        <v>0</v>
      </c>
      <c r="AX70" s="27">
        <f>E70*AP70</f>
        <v>0</v>
      </c>
      <c r="AY70" s="28" t="s">
        <v>1052</v>
      </c>
      <c r="AZ70" s="28" t="s">
        <v>1093</v>
      </c>
      <c r="BA70" s="20" t="s">
        <v>1106</v>
      </c>
      <c r="BC70" s="27">
        <f>AW70+AX70</f>
        <v>0</v>
      </c>
      <c r="BD70" s="27">
        <f>F70/(100-BE70)*100</f>
        <v>0</v>
      </c>
      <c r="BE70" s="27">
        <v>0</v>
      </c>
      <c r="BF70" s="27">
        <f>K70</f>
        <v>0</v>
      </c>
      <c r="BH70" s="13">
        <f>E70*AO70</f>
        <v>0</v>
      </c>
      <c r="BI70" s="13">
        <f>E70*AP70</f>
        <v>0</v>
      </c>
      <c r="BJ70" s="13">
        <f>E70*F70</f>
        <v>0</v>
      </c>
    </row>
    <row r="71" spans="1:62" ht="12.75">
      <c r="A71" s="107"/>
      <c r="B71" s="108"/>
      <c r="C71" s="102" t="s">
        <v>1640</v>
      </c>
      <c r="D71" s="100"/>
      <c r="E71" s="101"/>
      <c r="F71" s="132"/>
      <c r="G71" s="139"/>
      <c r="H71" s="110"/>
      <c r="I71" s="140"/>
      <c r="J71" s="213"/>
      <c r="K71" s="214"/>
      <c r="L71" s="150"/>
      <c r="Z71" s="27"/>
      <c r="AB71" s="27"/>
      <c r="AC71" s="27"/>
      <c r="AD71" s="27"/>
      <c r="AE71" s="27"/>
      <c r="AF71" s="27"/>
      <c r="AG71" s="27"/>
      <c r="AH71" s="27"/>
      <c r="AI71" s="20"/>
      <c r="AJ71" s="13"/>
      <c r="AK71" s="13"/>
      <c r="AL71" s="13"/>
      <c r="AN71" s="27"/>
      <c r="AO71" s="27"/>
      <c r="AP71" s="27"/>
      <c r="AQ71" s="23"/>
      <c r="AV71" s="27"/>
      <c r="AW71" s="27"/>
      <c r="AX71" s="27"/>
      <c r="AY71" s="28"/>
      <c r="AZ71" s="28"/>
      <c r="BA71" s="20"/>
      <c r="BC71" s="27"/>
      <c r="BD71" s="27"/>
      <c r="BE71" s="27"/>
      <c r="BF71" s="27"/>
      <c r="BH71" s="13"/>
      <c r="BI71" s="13"/>
      <c r="BJ71" s="13"/>
    </row>
    <row r="72" spans="1:62" ht="25.5">
      <c r="A72" s="107"/>
      <c r="B72" s="108"/>
      <c r="C72" s="99" t="s">
        <v>1641</v>
      </c>
      <c r="D72" s="100" t="s">
        <v>1006</v>
      </c>
      <c r="E72" s="101">
        <f>+(1.4*1.7*0.25+(1.2+1.4)*2*1.95*0.25+(1.4*1.7-0.6*0.6)*0.2+(1*1-0.6*0.6)*0.4)</f>
        <v>3.79</v>
      </c>
      <c r="F72" s="132"/>
      <c r="G72" s="139"/>
      <c r="H72" s="110"/>
      <c r="I72" s="140"/>
      <c r="J72" s="213"/>
      <c r="K72" s="214"/>
      <c r="L72" s="150"/>
      <c r="Z72" s="27"/>
      <c r="AB72" s="27"/>
      <c r="AC72" s="27"/>
      <c r="AD72" s="27"/>
      <c r="AE72" s="27"/>
      <c r="AF72" s="27"/>
      <c r="AG72" s="27"/>
      <c r="AH72" s="27"/>
      <c r="AI72" s="20"/>
      <c r="AJ72" s="13"/>
      <c r="AK72" s="13"/>
      <c r="AL72" s="13"/>
      <c r="AN72" s="27"/>
      <c r="AO72" s="27"/>
      <c r="AP72" s="27"/>
      <c r="AQ72" s="23"/>
      <c r="AV72" s="27"/>
      <c r="AW72" s="27"/>
      <c r="AX72" s="27"/>
      <c r="AY72" s="28"/>
      <c r="AZ72" s="28"/>
      <c r="BA72" s="20"/>
      <c r="BC72" s="27"/>
      <c r="BD72" s="27"/>
      <c r="BE72" s="27"/>
      <c r="BF72" s="27"/>
      <c r="BH72" s="13"/>
      <c r="BI72" s="13"/>
      <c r="BJ72" s="13"/>
    </row>
    <row r="73" spans="1:62" ht="12.75">
      <c r="A73" s="107" t="s">
        <v>34</v>
      </c>
      <c r="B73" s="108" t="s">
        <v>348</v>
      </c>
      <c r="C73" s="109" t="s">
        <v>676</v>
      </c>
      <c r="D73" s="205" t="s">
        <v>1006</v>
      </c>
      <c r="E73" s="110">
        <f>+E74</f>
        <v>890</v>
      </c>
      <c r="F73" s="132">
        <v>0</v>
      </c>
      <c r="G73" s="139">
        <f>E73*AO73</f>
        <v>0</v>
      </c>
      <c r="H73" s="110">
        <f>E73*AP73</f>
        <v>0</v>
      </c>
      <c r="I73" s="140">
        <f>E73*F73</f>
        <v>0</v>
      </c>
      <c r="J73" s="213">
        <v>0</v>
      </c>
      <c r="K73" s="214">
        <f>E73*J73</f>
        <v>0</v>
      </c>
      <c r="L73" s="150" t="s">
        <v>1039</v>
      </c>
      <c r="Z73" s="27">
        <f>IF(AQ73="5",BJ73,0)</f>
        <v>0</v>
      </c>
      <c r="AB73" s="27">
        <f>IF(AQ73="1",BH73,0)</f>
        <v>0</v>
      </c>
      <c r="AC73" s="27">
        <f>IF(AQ73="1",BI73,0)</f>
        <v>0</v>
      </c>
      <c r="AD73" s="27">
        <f>IF(AQ73="7",BH73,0)</f>
        <v>0</v>
      </c>
      <c r="AE73" s="27">
        <f>IF(AQ73="7",BI73,0)</f>
        <v>0</v>
      </c>
      <c r="AF73" s="27">
        <f>IF(AQ73="2",BH73,0)</f>
        <v>0</v>
      </c>
      <c r="AG73" s="27">
        <f>IF(AQ73="2",BI73,0)</f>
        <v>0</v>
      </c>
      <c r="AH73" s="27">
        <f>IF(AQ73="0",BJ73,0)</f>
        <v>0</v>
      </c>
      <c r="AI73" s="20"/>
      <c r="AJ73" s="13">
        <f>IF(AN73=0,I73,0)</f>
        <v>0</v>
      </c>
      <c r="AK73" s="13">
        <f>IF(AN73=15,I73,0)</f>
        <v>0</v>
      </c>
      <c r="AL73" s="13">
        <f>IF(AN73=21,I73,0)</f>
        <v>0</v>
      </c>
      <c r="AN73" s="27">
        <v>21</v>
      </c>
      <c r="AO73" s="27">
        <f>F73*0</f>
        <v>0</v>
      </c>
      <c r="AP73" s="27">
        <f>F73*(1-0)</f>
        <v>0</v>
      </c>
      <c r="AQ73" s="23" t="s">
        <v>7</v>
      </c>
      <c r="AV73" s="27">
        <f>AW73+AX73</f>
        <v>0</v>
      </c>
      <c r="AW73" s="27">
        <f>E73*AO73</f>
        <v>0</v>
      </c>
      <c r="AX73" s="27">
        <f>E73*AP73</f>
        <v>0</v>
      </c>
      <c r="AY73" s="28" t="s">
        <v>1052</v>
      </c>
      <c r="AZ73" s="28" t="s">
        <v>1093</v>
      </c>
      <c r="BA73" s="20" t="s">
        <v>1106</v>
      </c>
      <c r="BC73" s="27">
        <f>AW73+AX73</f>
        <v>0</v>
      </c>
      <c r="BD73" s="27">
        <f>F73/(100-BE73)*100</f>
        <v>0</v>
      </c>
      <c r="BE73" s="27">
        <v>0</v>
      </c>
      <c r="BF73" s="27">
        <f>K73</f>
        <v>0</v>
      </c>
      <c r="BH73" s="13">
        <f>E73*AO73</f>
        <v>0</v>
      </c>
      <c r="BI73" s="13">
        <f>E73*AP73</f>
        <v>0</v>
      </c>
      <c r="BJ73" s="13">
        <f>E73*F73</f>
        <v>0</v>
      </c>
    </row>
    <row r="74" spans="1:62" ht="12.75">
      <c r="A74" s="107"/>
      <c r="B74" s="108"/>
      <c r="C74" s="99" t="s">
        <v>1642</v>
      </c>
      <c r="D74" s="100" t="s">
        <v>1006</v>
      </c>
      <c r="E74" s="101">
        <f>+Výměry!E50</f>
        <v>890</v>
      </c>
      <c r="F74" s="132"/>
      <c r="G74" s="139"/>
      <c r="H74" s="110"/>
      <c r="I74" s="140"/>
      <c r="J74" s="213"/>
      <c r="K74" s="214"/>
      <c r="L74" s="150"/>
      <c r="Z74" s="27"/>
      <c r="AB74" s="27"/>
      <c r="AC74" s="27"/>
      <c r="AD74" s="27"/>
      <c r="AE74" s="27"/>
      <c r="AF74" s="27"/>
      <c r="AG74" s="27"/>
      <c r="AH74" s="27"/>
      <c r="AI74" s="20"/>
      <c r="AJ74" s="13"/>
      <c r="AK74" s="13"/>
      <c r="AL74" s="13"/>
      <c r="AN74" s="27"/>
      <c r="AO74" s="27"/>
      <c r="AP74" s="27"/>
      <c r="AQ74" s="23"/>
      <c r="AV74" s="27"/>
      <c r="AW74" s="27"/>
      <c r="AX74" s="27"/>
      <c r="AY74" s="28"/>
      <c r="AZ74" s="28"/>
      <c r="BA74" s="20"/>
      <c r="BC74" s="27"/>
      <c r="BD74" s="27"/>
      <c r="BE74" s="27"/>
      <c r="BF74" s="27"/>
      <c r="BH74" s="13"/>
      <c r="BI74" s="13"/>
      <c r="BJ74" s="13"/>
    </row>
    <row r="75" spans="1:62" ht="12.75">
      <c r="A75" s="107" t="s">
        <v>35</v>
      </c>
      <c r="B75" s="108" t="s">
        <v>349</v>
      </c>
      <c r="C75" s="109" t="s">
        <v>677</v>
      </c>
      <c r="D75" s="205" t="s">
        <v>1006</v>
      </c>
      <c r="E75" s="110">
        <f>+E77</f>
        <v>22.787699999999997</v>
      </c>
      <c r="F75" s="132">
        <v>0</v>
      </c>
      <c r="G75" s="139">
        <f>E75*AO75</f>
        <v>0</v>
      </c>
      <c r="H75" s="110">
        <f>E75*AP75</f>
        <v>0</v>
      </c>
      <c r="I75" s="140">
        <f>E75*F75</f>
        <v>0</v>
      </c>
      <c r="J75" s="213">
        <v>0</v>
      </c>
      <c r="K75" s="214">
        <f>E75*J75</f>
        <v>0</v>
      </c>
      <c r="L75" s="150" t="s">
        <v>1039</v>
      </c>
      <c r="Z75" s="27">
        <f>IF(AQ75="5",BJ75,0)</f>
        <v>0</v>
      </c>
      <c r="AB75" s="27">
        <f>IF(AQ75="1",BH75,0)</f>
        <v>0</v>
      </c>
      <c r="AC75" s="27">
        <f>IF(AQ75="1",BI75,0)</f>
        <v>0</v>
      </c>
      <c r="AD75" s="27">
        <f>IF(AQ75="7",BH75,0)</f>
        <v>0</v>
      </c>
      <c r="AE75" s="27">
        <f>IF(AQ75="7",BI75,0)</f>
        <v>0</v>
      </c>
      <c r="AF75" s="27">
        <f>IF(AQ75="2",BH75,0)</f>
        <v>0</v>
      </c>
      <c r="AG75" s="27">
        <f>IF(AQ75="2",BI75,0)</f>
        <v>0</v>
      </c>
      <c r="AH75" s="27">
        <f>IF(AQ75="0",BJ75,0)</f>
        <v>0</v>
      </c>
      <c r="AI75" s="20"/>
      <c r="AJ75" s="13">
        <f>IF(AN75=0,I75,0)</f>
        <v>0</v>
      </c>
      <c r="AK75" s="13">
        <f>IF(AN75=15,I75,0)</f>
        <v>0</v>
      </c>
      <c r="AL75" s="13">
        <f>IF(AN75=21,I75,0)</f>
        <v>0</v>
      </c>
      <c r="AN75" s="27">
        <v>21</v>
      </c>
      <c r="AO75" s="27">
        <f>F75*0</f>
        <v>0</v>
      </c>
      <c r="AP75" s="27">
        <f>F75*(1-0)</f>
        <v>0</v>
      </c>
      <c r="AQ75" s="23" t="s">
        <v>7</v>
      </c>
      <c r="AV75" s="27">
        <f>AW75+AX75</f>
        <v>0</v>
      </c>
      <c r="AW75" s="27">
        <f>E75*AO75</f>
        <v>0</v>
      </c>
      <c r="AX75" s="27">
        <f>E75*AP75</f>
        <v>0</v>
      </c>
      <c r="AY75" s="28" t="s">
        <v>1052</v>
      </c>
      <c r="AZ75" s="28" t="s">
        <v>1093</v>
      </c>
      <c r="BA75" s="20" t="s">
        <v>1106</v>
      </c>
      <c r="BC75" s="27">
        <f>AW75+AX75</f>
        <v>0</v>
      </c>
      <c r="BD75" s="27">
        <f>F75/(100-BE75)*100</f>
        <v>0</v>
      </c>
      <c r="BE75" s="27">
        <v>0</v>
      </c>
      <c r="BF75" s="27">
        <f>K75</f>
        <v>0</v>
      </c>
      <c r="BH75" s="13">
        <f>E75*AO75</f>
        <v>0</v>
      </c>
      <c r="BI75" s="13">
        <f>E75*AP75</f>
        <v>0</v>
      </c>
      <c r="BJ75" s="13">
        <f>E75*F75</f>
        <v>0</v>
      </c>
    </row>
    <row r="76" spans="1:62" ht="12.75">
      <c r="A76" s="107"/>
      <c r="B76" s="108"/>
      <c r="C76" s="99" t="s">
        <v>1643</v>
      </c>
      <c r="D76" s="100"/>
      <c r="E76" s="101"/>
      <c r="F76" s="132"/>
      <c r="G76" s="139"/>
      <c r="H76" s="110"/>
      <c r="I76" s="140"/>
      <c r="J76" s="213"/>
      <c r="K76" s="214"/>
      <c r="L76" s="150"/>
      <c r="Z76" s="27"/>
      <c r="AB76" s="27"/>
      <c r="AC76" s="27"/>
      <c r="AD76" s="27"/>
      <c r="AE76" s="27"/>
      <c r="AF76" s="27"/>
      <c r="AG76" s="27"/>
      <c r="AH76" s="27"/>
      <c r="AI76" s="20"/>
      <c r="AJ76" s="13"/>
      <c r="AK76" s="13"/>
      <c r="AL76" s="13"/>
      <c r="AN76" s="27"/>
      <c r="AO76" s="27"/>
      <c r="AP76" s="27"/>
      <c r="AQ76" s="23"/>
      <c r="AV76" s="27"/>
      <c r="AW76" s="27"/>
      <c r="AX76" s="27"/>
      <c r="AY76" s="28"/>
      <c r="AZ76" s="28"/>
      <c r="BA76" s="20"/>
      <c r="BC76" s="27"/>
      <c r="BD76" s="27"/>
      <c r="BE76" s="27"/>
      <c r="BF76" s="27"/>
      <c r="BH76" s="13"/>
      <c r="BI76" s="13"/>
      <c r="BJ76" s="13"/>
    </row>
    <row r="77" spans="1:62" ht="25.5">
      <c r="A77" s="107"/>
      <c r="B77" s="108"/>
      <c r="C77" s="99" t="s">
        <v>1403</v>
      </c>
      <c r="D77" s="100"/>
      <c r="E77" s="101">
        <f>+((2+1.37)*11+2*(11-2.14))*0.35+1.6*(0.79*0.35+2.33*(0.35+1.35)/2)</f>
        <v>22.787699999999997</v>
      </c>
      <c r="F77" s="132"/>
      <c r="G77" s="139"/>
      <c r="H77" s="110"/>
      <c r="I77" s="140"/>
      <c r="J77" s="213"/>
      <c r="K77" s="214"/>
      <c r="L77" s="150"/>
      <c r="Z77" s="27"/>
      <c r="AB77" s="27"/>
      <c r="AC77" s="27"/>
      <c r="AD77" s="27"/>
      <c r="AE77" s="27"/>
      <c r="AF77" s="27"/>
      <c r="AG77" s="27"/>
      <c r="AH77" s="27"/>
      <c r="AI77" s="20"/>
      <c r="AJ77" s="13"/>
      <c r="AK77" s="13"/>
      <c r="AL77" s="13"/>
      <c r="AN77" s="27"/>
      <c r="AO77" s="27"/>
      <c r="AP77" s="27"/>
      <c r="AQ77" s="23"/>
      <c r="AV77" s="27"/>
      <c r="AW77" s="27"/>
      <c r="AX77" s="27"/>
      <c r="AY77" s="28"/>
      <c r="AZ77" s="28"/>
      <c r="BA77" s="20"/>
      <c r="BC77" s="27"/>
      <c r="BD77" s="27"/>
      <c r="BE77" s="27"/>
      <c r="BF77" s="27"/>
      <c r="BH77" s="13"/>
      <c r="BI77" s="13"/>
      <c r="BJ77" s="13"/>
    </row>
    <row r="78" spans="1:47" ht="12.75">
      <c r="A78" s="111"/>
      <c r="B78" s="112" t="s">
        <v>19</v>
      </c>
      <c r="C78" s="113" t="s">
        <v>678</v>
      </c>
      <c r="D78" s="206" t="s">
        <v>6</v>
      </c>
      <c r="E78" s="114" t="s">
        <v>6</v>
      </c>
      <c r="F78" s="133" t="s">
        <v>6</v>
      </c>
      <c r="G78" s="141">
        <f>SUM(G79:G92)</f>
        <v>0</v>
      </c>
      <c r="H78" s="115">
        <f>SUM(H79:H92)</f>
        <v>0</v>
      </c>
      <c r="I78" s="142">
        <f>SUM(I79:I92)</f>
        <v>0</v>
      </c>
      <c r="J78" s="215"/>
      <c r="K78" s="216">
        <f>SUM(K79:K92)</f>
        <v>0</v>
      </c>
      <c r="L78" s="151"/>
      <c r="AI78" s="20"/>
      <c r="AS78" s="29">
        <f>SUM(AJ79:AJ92)</f>
        <v>0</v>
      </c>
      <c r="AT78" s="29">
        <f>SUM(AK79:AK92)</f>
        <v>0</v>
      </c>
      <c r="AU78" s="29">
        <f>SUM(AL79:AL92)</f>
        <v>0</v>
      </c>
    </row>
    <row r="79" spans="1:62" ht="25.5">
      <c r="A79" s="107" t="s">
        <v>36</v>
      </c>
      <c r="B79" s="108" t="s">
        <v>350</v>
      </c>
      <c r="C79" s="109" t="s">
        <v>679</v>
      </c>
      <c r="D79" s="205" t="s">
        <v>1006</v>
      </c>
      <c r="E79" s="110">
        <f>+E80</f>
        <v>4.553999999999999</v>
      </c>
      <c r="F79" s="132">
        <v>0</v>
      </c>
      <c r="G79" s="139">
        <f aca="true" t="shared" si="2" ref="G79:G92">E79*AO79</f>
        <v>0</v>
      </c>
      <c r="H79" s="110">
        <f aca="true" t="shared" si="3" ref="H79:H92">E79*AP79</f>
        <v>0</v>
      </c>
      <c r="I79" s="140">
        <f aca="true" t="shared" si="4" ref="I79:I92">E79*F79</f>
        <v>0</v>
      </c>
      <c r="J79" s="213">
        <v>0</v>
      </c>
      <c r="K79" s="214">
        <f aca="true" t="shared" si="5" ref="K79:K92">E79*J79</f>
        <v>0</v>
      </c>
      <c r="L79" s="150" t="s">
        <v>1039</v>
      </c>
      <c r="Z79" s="27">
        <f aca="true" t="shared" si="6" ref="Z79:Z92">IF(AQ79="5",BJ79,0)</f>
        <v>0</v>
      </c>
      <c r="AB79" s="27">
        <f aca="true" t="shared" si="7" ref="AB79:AB92">IF(AQ79="1",BH79,0)</f>
        <v>0</v>
      </c>
      <c r="AC79" s="27">
        <f aca="true" t="shared" si="8" ref="AC79:AC92">IF(AQ79="1",BI79,0)</f>
        <v>0</v>
      </c>
      <c r="AD79" s="27">
        <f aca="true" t="shared" si="9" ref="AD79:AD92">IF(AQ79="7",BH79,0)</f>
        <v>0</v>
      </c>
      <c r="AE79" s="27">
        <f aca="true" t="shared" si="10" ref="AE79:AE92">IF(AQ79="7",BI79,0)</f>
        <v>0</v>
      </c>
      <c r="AF79" s="27">
        <f aca="true" t="shared" si="11" ref="AF79:AF92">IF(AQ79="2",BH79,0)</f>
        <v>0</v>
      </c>
      <c r="AG79" s="27">
        <f aca="true" t="shared" si="12" ref="AG79:AG92">IF(AQ79="2",BI79,0)</f>
        <v>0</v>
      </c>
      <c r="AH79" s="27">
        <f aca="true" t="shared" si="13" ref="AH79:AH92">IF(AQ79="0",BJ79,0)</f>
        <v>0</v>
      </c>
      <c r="AI79" s="20"/>
      <c r="AJ79" s="13">
        <f aca="true" t="shared" si="14" ref="AJ79:AJ92">IF(AN79=0,I79,0)</f>
        <v>0</v>
      </c>
      <c r="AK79" s="13">
        <f aca="true" t="shared" si="15" ref="AK79:AK92">IF(AN79=15,I79,0)</f>
        <v>0</v>
      </c>
      <c r="AL79" s="13">
        <f aca="true" t="shared" si="16" ref="AL79:AL92">IF(AN79=21,I79,0)</f>
        <v>0</v>
      </c>
      <c r="AN79" s="27">
        <v>21</v>
      </c>
      <c r="AO79" s="27">
        <f aca="true" t="shared" si="17" ref="AO79:AO92">F79*0</f>
        <v>0</v>
      </c>
      <c r="AP79" s="27">
        <f aca="true" t="shared" si="18" ref="AP79:AP92">F79*(1-0)</f>
        <v>0</v>
      </c>
      <c r="AQ79" s="23" t="s">
        <v>7</v>
      </c>
      <c r="AV79" s="27">
        <f aca="true" t="shared" si="19" ref="AV79:AV92">AW79+AX79</f>
        <v>0</v>
      </c>
      <c r="AW79" s="27">
        <f aca="true" t="shared" si="20" ref="AW79:AW92">E79*AO79</f>
        <v>0</v>
      </c>
      <c r="AX79" s="27">
        <f aca="true" t="shared" si="21" ref="AX79:AX92">E79*AP79</f>
        <v>0</v>
      </c>
      <c r="AY79" s="28" t="s">
        <v>1053</v>
      </c>
      <c r="AZ79" s="28" t="s">
        <v>1093</v>
      </c>
      <c r="BA79" s="20" t="s">
        <v>1106</v>
      </c>
      <c r="BC79" s="27">
        <f aca="true" t="shared" si="22" ref="BC79:BC92">AW79+AX79</f>
        <v>0</v>
      </c>
      <c r="BD79" s="27">
        <f aca="true" t="shared" si="23" ref="BD79:BD92">F79/(100-BE79)*100</f>
        <v>0</v>
      </c>
      <c r="BE79" s="27">
        <v>0</v>
      </c>
      <c r="BF79" s="27">
        <f aca="true" t="shared" si="24" ref="BF79:BF92">K79</f>
        <v>0</v>
      </c>
      <c r="BH79" s="13">
        <f aca="true" t="shared" si="25" ref="BH79:BH92">E79*AO79</f>
        <v>0</v>
      </c>
      <c r="BI79" s="13">
        <f aca="true" t="shared" si="26" ref="BI79:BI92">E79*AP79</f>
        <v>0</v>
      </c>
      <c r="BJ79" s="13">
        <f aca="true" t="shared" si="27" ref="BJ79:BJ92">E79*F79</f>
        <v>0</v>
      </c>
    </row>
    <row r="80" spans="1:62" ht="12.75">
      <c r="A80" s="107"/>
      <c r="B80" s="108"/>
      <c r="C80" s="99" t="s">
        <v>1644</v>
      </c>
      <c r="D80" s="100" t="s">
        <v>1006</v>
      </c>
      <c r="E80" s="101">
        <f>+((4.1+2.5)*2*(0.6+0.55))*0.3</f>
        <v>4.553999999999999</v>
      </c>
      <c r="F80" s="132"/>
      <c r="G80" s="139"/>
      <c r="H80" s="110"/>
      <c r="I80" s="140"/>
      <c r="J80" s="213"/>
      <c r="K80" s="214"/>
      <c r="L80" s="150"/>
      <c r="Z80" s="27"/>
      <c r="AB80" s="27"/>
      <c r="AC80" s="27"/>
      <c r="AD80" s="27"/>
      <c r="AE80" s="27"/>
      <c r="AF80" s="27"/>
      <c r="AG80" s="27"/>
      <c r="AH80" s="27"/>
      <c r="AI80" s="20"/>
      <c r="AJ80" s="13"/>
      <c r="AK80" s="13"/>
      <c r="AL80" s="13"/>
      <c r="AN80" s="27"/>
      <c r="AO80" s="27"/>
      <c r="AP80" s="27"/>
      <c r="AQ80" s="23"/>
      <c r="AV80" s="27"/>
      <c r="AW80" s="27"/>
      <c r="AX80" s="27"/>
      <c r="AY80" s="28"/>
      <c r="AZ80" s="28"/>
      <c r="BA80" s="20"/>
      <c r="BC80" s="27"/>
      <c r="BD80" s="27"/>
      <c r="BE80" s="27"/>
      <c r="BF80" s="27"/>
      <c r="BH80" s="13"/>
      <c r="BI80" s="13"/>
      <c r="BJ80" s="13"/>
    </row>
    <row r="81" spans="1:62" ht="12.75">
      <c r="A81" s="107" t="s">
        <v>37</v>
      </c>
      <c r="B81" s="108" t="s">
        <v>351</v>
      </c>
      <c r="C81" s="109" t="s">
        <v>680</v>
      </c>
      <c r="D81" s="205" t="s">
        <v>1006</v>
      </c>
      <c r="E81" s="110">
        <v>1129.95</v>
      </c>
      <c r="F81" s="132">
        <v>0</v>
      </c>
      <c r="G81" s="139">
        <f t="shared" si="2"/>
        <v>0</v>
      </c>
      <c r="H81" s="110">
        <f t="shared" si="3"/>
        <v>0</v>
      </c>
      <c r="I81" s="140">
        <f t="shared" si="4"/>
        <v>0</v>
      </c>
      <c r="J81" s="213">
        <v>0</v>
      </c>
      <c r="K81" s="214">
        <f t="shared" si="5"/>
        <v>0</v>
      </c>
      <c r="L81" s="150" t="s">
        <v>1039</v>
      </c>
      <c r="Z81" s="27">
        <f t="shared" si="6"/>
        <v>0</v>
      </c>
      <c r="AB81" s="27">
        <f t="shared" si="7"/>
        <v>0</v>
      </c>
      <c r="AC81" s="27">
        <f t="shared" si="8"/>
        <v>0</v>
      </c>
      <c r="AD81" s="27">
        <f t="shared" si="9"/>
        <v>0</v>
      </c>
      <c r="AE81" s="27">
        <f t="shared" si="10"/>
        <v>0</v>
      </c>
      <c r="AF81" s="27">
        <f t="shared" si="11"/>
        <v>0</v>
      </c>
      <c r="AG81" s="27">
        <f t="shared" si="12"/>
        <v>0</v>
      </c>
      <c r="AH81" s="27">
        <f t="shared" si="13"/>
        <v>0</v>
      </c>
      <c r="AI81" s="20"/>
      <c r="AJ81" s="13">
        <f t="shared" si="14"/>
        <v>0</v>
      </c>
      <c r="AK81" s="13">
        <f t="shared" si="15"/>
        <v>0</v>
      </c>
      <c r="AL81" s="13">
        <f t="shared" si="16"/>
        <v>0</v>
      </c>
      <c r="AN81" s="27">
        <v>21</v>
      </c>
      <c r="AO81" s="27">
        <f t="shared" si="17"/>
        <v>0</v>
      </c>
      <c r="AP81" s="27">
        <f t="shared" si="18"/>
        <v>0</v>
      </c>
      <c r="AQ81" s="23" t="s">
        <v>7</v>
      </c>
      <c r="AV81" s="27">
        <f t="shared" si="19"/>
        <v>0</v>
      </c>
      <c r="AW81" s="27">
        <f t="shared" si="20"/>
        <v>0</v>
      </c>
      <c r="AX81" s="27">
        <f t="shared" si="21"/>
        <v>0</v>
      </c>
      <c r="AY81" s="28" t="s">
        <v>1053</v>
      </c>
      <c r="AZ81" s="28" t="s">
        <v>1093</v>
      </c>
      <c r="BA81" s="20" t="s">
        <v>1106</v>
      </c>
      <c r="BC81" s="27">
        <f t="shared" si="22"/>
        <v>0</v>
      </c>
      <c r="BD81" s="27">
        <f t="shared" si="23"/>
        <v>0</v>
      </c>
      <c r="BE81" s="27">
        <v>0</v>
      </c>
      <c r="BF81" s="27">
        <f t="shared" si="24"/>
        <v>0</v>
      </c>
      <c r="BH81" s="13">
        <f t="shared" si="25"/>
        <v>0</v>
      </c>
      <c r="BI81" s="13">
        <f t="shared" si="26"/>
        <v>0</v>
      </c>
      <c r="BJ81" s="13">
        <f t="shared" si="27"/>
        <v>0</v>
      </c>
    </row>
    <row r="82" spans="1:62" ht="12.75">
      <c r="A82" s="107"/>
      <c r="B82" s="108"/>
      <c r="C82" s="99" t="s">
        <v>1645</v>
      </c>
      <c r="D82" s="100" t="s">
        <v>1006</v>
      </c>
      <c r="E82" s="101">
        <f>+Výměry!E70</f>
        <v>1129.94554</v>
      </c>
      <c r="F82" s="132"/>
      <c r="G82" s="139"/>
      <c r="H82" s="110"/>
      <c r="I82" s="140"/>
      <c r="J82" s="213"/>
      <c r="K82" s="214"/>
      <c r="L82" s="150"/>
      <c r="Z82" s="27"/>
      <c r="AB82" s="27"/>
      <c r="AC82" s="27"/>
      <c r="AD82" s="27"/>
      <c r="AE82" s="27"/>
      <c r="AF82" s="27"/>
      <c r="AG82" s="27"/>
      <c r="AH82" s="27"/>
      <c r="AI82" s="20"/>
      <c r="AJ82" s="13"/>
      <c r="AK82" s="13"/>
      <c r="AL82" s="13"/>
      <c r="AN82" s="27"/>
      <c r="AO82" s="27"/>
      <c r="AP82" s="27"/>
      <c r="AQ82" s="23"/>
      <c r="AV82" s="27"/>
      <c r="AW82" s="27"/>
      <c r="AX82" s="27"/>
      <c r="AY82" s="28"/>
      <c r="AZ82" s="28"/>
      <c r="BA82" s="20"/>
      <c r="BC82" s="27"/>
      <c r="BD82" s="27"/>
      <c r="BE82" s="27"/>
      <c r="BF82" s="27"/>
      <c r="BH82" s="13"/>
      <c r="BI82" s="13"/>
      <c r="BJ82" s="13"/>
    </row>
    <row r="83" spans="1:62" ht="12.75">
      <c r="A83" s="107" t="s">
        <v>38</v>
      </c>
      <c r="B83" s="108" t="s">
        <v>352</v>
      </c>
      <c r="C83" s="109" t="s">
        <v>681</v>
      </c>
      <c r="D83" s="205" t="s">
        <v>1006</v>
      </c>
      <c r="E83" s="110">
        <v>1129.95</v>
      </c>
      <c r="F83" s="132">
        <v>0</v>
      </c>
      <c r="G83" s="139">
        <f t="shared" si="2"/>
        <v>0</v>
      </c>
      <c r="H83" s="110">
        <f t="shared" si="3"/>
        <v>0</v>
      </c>
      <c r="I83" s="140">
        <f t="shared" si="4"/>
        <v>0</v>
      </c>
      <c r="J83" s="213">
        <v>0</v>
      </c>
      <c r="K83" s="214">
        <f t="shared" si="5"/>
        <v>0</v>
      </c>
      <c r="L83" s="150" t="s">
        <v>1039</v>
      </c>
      <c r="Z83" s="27">
        <f t="shared" si="6"/>
        <v>0</v>
      </c>
      <c r="AB83" s="27">
        <f t="shared" si="7"/>
        <v>0</v>
      </c>
      <c r="AC83" s="27">
        <f t="shared" si="8"/>
        <v>0</v>
      </c>
      <c r="AD83" s="27">
        <f t="shared" si="9"/>
        <v>0</v>
      </c>
      <c r="AE83" s="27">
        <f t="shared" si="10"/>
        <v>0</v>
      </c>
      <c r="AF83" s="27">
        <f t="shared" si="11"/>
        <v>0</v>
      </c>
      <c r="AG83" s="27">
        <f t="shared" si="12"/>
        <v>0</v>
      </c>
      <c r="AH83" s="27">
        <f t="shared" si="13"/>
        <v>0</v>
      </c>
      <c r="AI83" s="20"/>
      <c r="AJ83" s="13">
        <f t="shared" si="14"/>
        <v>0</v>
      </c>
      <c r="AK83" s="13">
        <f t="shared" si="15"/>
        <v>0</v>
      </c>
      <c r="AL83" s="13">
        <f t="shared" si="16"/>
        <v>0</v>
      </c>
      <c r="AN83" s="27">
        <v>21</v>
      </c>
      <c r="AO83" s="27">
        <f t="shared" si="17"/>
        <v>0</v>
      </c>
      <c r="AP83" s="27">
        <f t="shared" si="18"/>
        <v>0</v>
      </c>
      <c r="AQ83" s="23" t="s">
        <v>7</v>
      </c>
      <c r="AV83" s="27">
        <f t="shared" si="19"/>
        <v>0</v>
      </c>
      <c r="AW83" s="27">
        <f t="shared" si="20"/>
        <v>0</v>
      </c>
      <c r="AX83" s="27">
        <f t="shared" si="21"/>
        <v>0</v>
      </c>
      <c r="AY83" s="28" t="s">
        <v>1053</v>
      </c>
      <c r="AZ83" s="28" t="s">
        <v>1093</v>
      </c>
      <c r="BA83" s="20" t="s">
        <v>1106</v>
      </c>
      <c r="BC83" s="27">
        <f t="shared" si="22"/>
        <v>0</v>
      </c>
      <c r="BD83" s="27">
        <f t="shared" si="23"/>
        <v>0</v>
      </c>
      <c r="BE83" s="27">
        <v>0</v>
      </c>
      <c r="BF83" s="27">
        <f t="shared" si="24"/>
        <v>0</v>
      </c>
      <c r="BH83" s="13">
        <f t="shared" si="25"/>
        <v>0</v>
      </c>
      <c r="BI83" s="13">
        <f t="shared" si="26"/>
        <v>0</v>
      </c>
      <c r="BJ83" s="13">
        <f t="shared" si="27"/>
        <v>0</v>
      </c>
    </row>
    <row r="84" spans="1:62" ht="12.75">
      <c r="A84" s="107" t="s">
        <v>39</v>
      </c>
      <c r="B84" s="108" t="s">
        <v>353</v>
      </c>
      <c r="C84" s="109" t="s">
        <v>682</v>
      </c>
      <c r="D84" s="205" t="s">
        <v>1006</v>
      </c>
      <c r="E84" s="110">
        <v>279.3</v>
      </c>
      <c r="F84" s="132">
        <v>0</v>
      </c>
      <c r="G84" s="139">
        <f t="shared" si="2"/>
        <v>0</v>
      </c>
      <c r="H84" s="110">
        <f t="shared" si="3"/>
        <v>0</v>
      </c>
      <c r="I84" s="140">
        <f t="shared" si="4"/>
        <v>0</v>
      </c>
      <c r="J84" s="213">
        <v>0</v>
      </c>
      <c r="K84" s="214">
        <f t="shared" si="5"/>
        <v>0</v>
      </c>
      <c r="L84" s="150" t="s">
        <v>1039</v>
      </c>
      <c r="Z84" s="27">
        <f t="shared" si="6"/>
        <v>0</v>
      </c>
      <c r="AB84" s="27">
        <f t="shared" si="7"/>
        <v>0</v>
      </c>
      <c r="AC84" s="27">
        <f t="shared" si="8"/>
        <v>0</v>
      </c>
      <c r="AD84" s="27">
        <f t="shared" si="9"/>
        <v>0</v>
      </c>
      <c r="AE84" s="27">
        <f t="shared" si="10"/>
        <v>0</v>
      </c>
      <c r="AF84" s="27">
        <f t="shared" si="11"/>
        <v>0</v>
      </c>
      <c r="AG84" s="27">
        <f t="shared" si="12"/>
        <v>0</v>
      </c>
      <c r="AH84" s="27">
        <f t="shared" si="13"/>
        <v>0</v>
      </c>
      <c r="AI84" s="20"/>
      <c r="AJ84" s="13">
        <f t="shared" si="14"/>
        <v>0</v>
      </c>
      <c r="AK84" s="13">
        <f t="shared" si="15"/>
        <v>0</v>
      </c>
      <c r="AL84" s="13">
        <f t="shared" si="16"/>
        <v>0</v>
      </c>
      <c r="AN84" s="27">
        <v>21</v>
      </c>
      <c r="AO84" s="27">
        <f t="shared" si="17"/>
        <v>0</v>
      </c>
      <c r="AP84" s="27">
        <f t="shared" si="18"/>
        <v>0</v>
      </c>
      <c r="AQ84" s="23" t="s">
        <v>7</v>
      </c>
      <c r="AV84" s="27">
        <f t="shared" si="19"/>
        <v>0</v>
      </c>
      <c r="AW84" s="27">
        <f t="shared" si="20"/>
        <v>0</v>
      </c>
      <c r="AX84" s="27">
        <f t="shared" si="21"/>
        <v>0</v>
      </c>
      <c r="AY84" s="28" t="s">
        <v>1053</v>
      </c>
      <c r="AZ84" s="28" t="s">
        <v>1093</v>
      </c>
      <c r="BA84" s="20" t="s">
        <v>1106</v>
      </c>
      <c r="BC84" s="27">
        <f t="shared" si="22"/>
        <v>0</v>
      </c>
      <c r="BD84" s="27">
        <f t="shared" si="23"/>
        <v>0</v>
      </c>
      <c r="BE84" s="27">
        <v>0</v>
      </c>
      <c r="BF84" s="27">
        <f t="shared" si="24"/>
        <v>0</v>
      </c>
      <c r="BH84" s="13">
        <f t="shared" si="25"/>
        <v>0</v>
      </c>
      <c r="BI84" s="13">
        <f t="shared" si="26"/>
        <v>0</v>
      </c>
      <c r="BJ84" s="13">
        <f t="shared" si="27"/>
        <v>0</v>
      </c>
    </row>
    <row r="85" spans="1:62" ht="12.75">
      <c r="A85" s="107"/>
      <c r="B85" s="108"/>
      <c r="C85" s="99" t="s">
        <v>1646</v>
      </c>
      <c r="D85" s="100" t="s">
        <v>1006</v>
      </c>
      <c r="E85" s="101">
        <f>+Výměry!E77</f>
        <v>279.295</v>
      </c>
      <c r="F85" s="132"/>
      <c r="G85" s="139"/>
      <c r="H85" s="110"/>
      <c r="I85" s="140"/>
      <c r="J85" s="213"/>
      <c r="K85" s="214"/>
      <c r="L85" s="150"/>
      <c r="Z85" s="27"/>
      <c r="AB85" s="27"/>
      <c r="AC85" s="27"/>
      <c r="AD85" s="27"/>
      <c r="AE85" s="27"/>
      <c r="AF85" s="27"/>
      <c r="AG85" s="27"/>
      <c r="AH85" s="27"/>
      <c r="AI85" s="20"/>
      <c r="AJ85" s="13"/>
      <c r="AK85" s="13"/>
      <c r="AL85" s="13"/>
      <c r="AN85" s="27"/>
      <c r="AO85" s="27"/>
      <c r="AP85" s="27"/>
      <c r="AQ85" s="23"/>
      <c r="AV85" s="27"/>
      <c r="AW85" s="27"/>
      <c r="AX85" s="27"/>
      <c r="AY85" s="28"/>
      <c r="AZ85" s="28"/>
      <c r="BA85" s="20"/>
      <c r="BC85" s="27"/>
      <c r="BD85" s="27"/>
      <c r="BE85" s="27"/>
      <c r="BF85" s="27"/>
      <c r="BH85" s="13"/>
      <c r="BI85" s="13"/>
      <c r="BJ85" s="13"/>
    </row>
    <row r="86" spans="1:62" ht="12.75">
      <c r="A86" s="107" t="s">
        <v>40</v>
      </c>
      <c r="B86" s="108" t="s">
        <v>354</v>
      </c>
      <c r="C86" s="109" t="s">
        <v>683</v>
      </c>
      <c r="D86" s="205" t="s">
        <v>1006</v>
      </c>
      <c r="E86" s="110">
        <v>279.3</v>
      </c>
      <c r="F86" s="132">
        <v>0</v>
      </c>
      <c r="G86" s="139">
        <f t="shared" si="2"/>
        <v>0</v>
      </c>
      <c r="H86" s="110">
        <f t="shared" si="3"/>
        <v>0</v>
      </c>
      <c r="I86" s="140">
        <f t="shared" si="4"/>
        <v>0</v>
      </c>
      <c r="J86" s="213">
        <v>0</v>
      </c>
      <c r="K86" s="214">
        <f t="shared" si="5"/>
        <v>0</v>
      </c>
      <c r="L86" s="150" t="s">
        <v>1039</v>
      </c>
      <c r="Z86" s="27">
        <f t="shared" si="6"/>
        <v>0</v>
      </c>
      <c r="AB86" s="27">
        <f t="shared" si="7"/>
        <v>0</v>
      </c>
      <c r="AC86" s="27">
        <f t="shared" si="8"/>
        <v>0</v>
      </c>
      <c r="AD86" s="27">
        <f t="shared" si="9"/>
        <v>0</v>
      </c>
      <c r="AE86" s="27">
        <f t="shared" si="10"/>
        <v>0</v>
      </c>
      <c r="AF86" s="27">
        <f t="shared" si="11"/>
        <v>0</v>
      </c>
      <c r="AG86" s="27">
        <f t="shared" si="12"/>
        <v>0</v>
      </c>
      <c r="AH86" s="27">
        <f t="shared" si="13"/>
        <v>0</v>
      </c>
      <c r="AI86" s="20"/>
      <c r="AJ86" s="13">
        <f t="shared" si="14"/>
        <v>0</v>
      </c>
      <c r="AK86" s="13">
        <f t="shared" si="15"/>
        <v>0</v>
      </c>
      <c r="AL86" s="13">
        <f t="shared" si="16"/>
        <v>0</v>
      </c>
      <c r="AN86" s="27">
        <v>21</v>
      </c>
      <c r="AO86" s="27">
        <f t="shared" si="17"/>
        <v>0</v>
      </c>
      <c r="AP86" s="27">
        <f t="shared" si="18"/>
        <v>0</v>
      </c>
      <c r="AQ86" s="23" t="s">
        <v>7</v>
      </c>
      <c r="AV86" s="27">
        <f t="shared" si="19"/>
        <v>0</v>
      </c>
      <c r="AW86" s="27">
        <f t="shared" si="20"/>
        <v>0</v>
      </c>
      <c r="AX86" s="27">
        <f t="shared" si="21"/>
        <v>0</v>
      </c>
      <c r="AY86" s="28" t="s">
        <v>1053</v>
      </c>
      <c r="AZ86" s="28" t="s">
        <v>1093</v>
      </c>
      <c r="BA86" s="20" t="s">
        <v>1106</v>
      </c>
      <c r="BC86" s="27">
        <f t="shared" si="22"/>
        <v>0</v>
      </c>
      <c r="BD86" s="27">
        <f t="shared" si="23"/>
        <v>0</v>
      </c>
      <c r="BE86" s="27">
        <v>0</v>
      </c>
      <c r="BF86" s="27">
        <f t="shared" si="24"/>
        <v>0</v>
      </c>
      <c r="BH86" s="13">
        <f t="shared" si="25"/>
        <v>0</v>
      </c>
      <c r="BI86" s="13">
        <f t="shared" si="26"/>
        <v>0</v>
      </c>
      <c r="BJ86" s="13">
        <f t="shared" si="27"/>
        <v>0</v>
      </c>
    </row>
    <row r="87" spans="1:62" ht="12.75">
      <c r="A87" s="107" t="s">
        <v>41</v>
      </c>
      <c r="B87" s="108" t="s">
        <v>355</v>
      </c>
      <c r="C87" s="109" t="s">
        <v>684</v>
      </c>
      <c r="D87" s="205" t="s">
        <v>1006</v>
      </c>
      <c r="E87" s="110">
        <f>+E88</f>
        <v>3639.8152750000004</v>
      </c>
      <c r="F87" s="132">
        <v>0</v>
      </c>
      <c r="G87" s="139">
        <f t="shared" si="2"/>
        <v>0</v>
      </c>
      <c r="H87" s="110">
        <f t="shared" si="3"/>
        <v>0</v>
      </c>
      <c r="I87" s="140">
        <f t="shared" si="4"/>
        <v>0</v>
      </c>
      <c r="J87" s="213">
        <v>0</v>
      </c>
      <c r="K87" s="214">
        <f t="shared" si="5"/>
        <v>0</v>
      </c>
      <c r="L87" s="150" t="s">
        <v>1039</v>
      </c>
      <c r="Z87" s="27">
        <f t="shared" si="6"/>
        <v>0</v>
      </c>
      <c r="AB87" s="27">
        <f t="shared" si="7"/>
        <v>0</v>
      </c>
      <c r="AC87" s="27">
        <f t="shared" si="8"/>
        <v>0</v>
      </c>
      <c r="AD87" s="27">
        <f t="shared" si="9"/>
        <v>0</v>
      </c>
      <c r="AE87" s="27">
        <f t="shared" si="10"/>
        <v>0</v>
      </c>
      <c r="AF87" s="27">
        <f t="shared" si="11"/>
        <v>0</v>
      </c>
      <c r="AG87" s="27">
        <f t="shared" si="12"/>
        <v>0</v>
      </c>
      <c r="AH87" s="27">
        <f t="shared" si="13"/>
        <v>0</v>
      </c>
      <c r="AI87" s="20"/>
      <c r="AJ87" s="13">
        <f t="shared" si="14"/>
        <v>0</v>
      </c>
      <c r="AK87" s="13">
        <f t="shared" si="15"/>
        <v>0</v>
      </c>
      <c r="AL87" s="13">
        <f t="shared" si="16"/>
        <v>0</v>
      </c>
      <c r="AN87" s="27">
        <v>21</v>
      </c>
      <c r="AO87" s="27">
        <f t="shared" si="17"/>
        <v>0</v>
      </c>
      <c r="AP87" s="27">
        <f t="shared" si="18"/>
        <v>0</v>
      </c>
      <c r="AQ87" s="23" t="s">
        <v>7</v>
      </c>
      <c r="AV87" s="27">
        <f t="shared" si="19"/>
        <v>0</v>
      </c>
      <c r="AW87" s="27">
        <f t="shared" si="20"/>
        <v>0</v>
      </c>
      <c r="AX87" s="27">
        <f t="shared" si="21"/>
        <v>0</v>
      </c>
      <c r="AY87" s="28" t="s">
        <v>1053</v>
      </c>
      <c r="AZ87" s="28" t="s">
        <v>1093</v>
      </c>
      <c r="BA87" s="20" t="s">
        <v>1106</v>
      </c>
      <c r="BC87" s="27">
        <f t="shared" si="22"/>
        <v>0</v>
      </c>
      <c r="BD87" s="27">
        <f t="shared" si="23"/>
        <v>0</v>
      </c>
      <c r="BE87" s="27">
        <v>0</v>
      </c>
      <c r="BF87" s="27">
        <f t="shared" si="24"/>
        <v>0</v>
      </c>
      <c r="BH87" s="13">
        <f t="shared" si="25"/>
        <v>0</v>
      </c>
      <c r="BI87" s="13">
        <f t="shared" si="26"/>
        <v>0</v>
      </c>
      <c r="BJ87" s="13">
        <f t="shared" si="27"/>
        <v>0</v>
      </c>
    </row>
    <row r="88" spans="1:62" ht="12.75">
      <c r="A88" s="107"/>
      <c r="B88" s="108"/>
      <c r="C88" s="99" t="s">
        <v>1647</v>
      </c>
      <c r="D88" s="100" t="s">
        <v>1006</v>
      </c>
      <c r="E88" s="101">
        <f>+Výměry!E94</f>
        <v>3639.8152750000004</v>
      </c>
      <c r="F88" s="132"/>
      <c r="G88" s="139"/>
      <c r="H88" s="110"/>
      <c r="I88" s="140"/>
      <c r="J88" s="213"/>
      <c r="K88" s="214"/>
      <c r="L88" s="150"/>
      <c r="Z88" s="27"/>
      <c r="AB88" s="27"/>
      <c r="AC88" s="27"/>
      <c r="AD88" s="27"/>
      <c r="AE88" s="27"/>
      <c r="AF88" s="27"/>
      <c r="AG88" s="27"/>
      <c r="AH88" s="27"/>
      <c r="AI88" s="20"/>
      <c r="AJ88" s="13"/>
      <c r="AK88" s="13"/>
      <c r="AL88" s="13"/>
      <c r="AN88" s="27"/>
      <c r="AO88" s="27"/>
      <c r="AP88" s="27"/>
      <c r="AQ88" s="23"/>
      <c r="AV88" s="27"/>
      <c r="AW88" s="27"/>
      <c r="AX88" s="27"/>
      <c r="AY88" s="28"/>
      <c r="AZ88" s="28"/>
      <c r="BA88" s="20"/>
      <c r="BC88" s="27"/>
      <c r="BD88" s="27"/>
      <c r="BE88" s="27"/>
      <c r="BF88" s="27"/>
      <c r="BH88" s="13"/>
      <c r="BI88" s="13"/>
      <c r="BJ88" s="13"/>
    </row>
    <row r="89" spans="1:62" ht="12.75">
      <c r="A89" s="107" t="s">
        <v>42</v>
      </c>
      <c r="B89" s="108" t="s">
        <v>356</v>
      </c>
      <c r="C89" s="109" t="s">
        <v>685</v>
      </c>
      <c r="D89" s="205" t="s">
        <v>1006</v>
      </c>
      <c r="E89" s="110">
        <f>+E87</f>
        <v>3639.8152750000004</v>
      </c>
      <c r="F89" s="132">
        <v>0</v>
      </c>
      <c r="G89" s="139">
        <f t="shared" si="2"/>
        <v>0</v>
      </c>
      <c r="H89" s="110">
        <f t="shared" si="3"/>
        <v>0</v>
      </c>
      <c r="I89" s="140">
        <f t="shared" si="4"/>
        <v>0</v>
      </c>
      <c r="J89" s="213">
        <v>0</v>
      </c>
      <c r="K89" s="214">
        <f t="shared" si="5"/>
        <v>0</v>
      </c>
      <c r="L89" s="150" t="s">
        <v>1039</v>
      </c>
      <c r="Z89" s="27">
        <f t="shared" si="6"/>
        <v>0</v>
      </c>
      <c r="AB89" s="27">
        <f t="shared" si="7"/>
        <v>0</v>
      </c>
      <c r="AC89" s="27">
        <f t="shared" si="8"/>
        <v>0</v>
      </c>
      <c r="AD89" s="27">
        <f t="shared" si="9"/>
        <v>0</v>
      </c>
      <c r="AE89" s="27">
        <f t="shared" si="10"/>
        <v>0</v>
      </c>
      <c r="AF89" s="27">
        <f t="shared" si="11"/>
        <v>0</v>
      </c>
      <c r="AG89" s="27">
        <f t="shared" si="12"/>
        <v>0</v>
      </c>
      <c r="AH89" s="27">
        <f t="shared" si="13"/>
        <v>0</v>
      </c>
      <c r="AI89" s="20"/>
      <c r="AJ89" s="13">
        <f t="shared" si="14"/>
        <v>0</v>
      </c>
      <c r="AK89" s="13">
        <f t="shared" si="15"/>
        <v>0</v>
      </c>
      <c r="AL89" s="13">
        <f t="shared" si="16"/>
        <v>0</v>
      </c>
      <c r="AN89" s="27">
        <v>21</v>
      </c>
      <c r="AO89" s="27">
        <f t="shared" si="17"/>
        <v>0</v>
      </c>
      <c r="AP89" s="27">
        <f t="shared" si="18"/>
        <v>0</v>
      </c>
      <c r="AQ89" s="23" t="s">
        <v>7</v>
      </c>
      <c r="AV89" s="27">
        <f t="shared" si="19"/>
        <v>0</v>
      </c>
      <c r="AW89" s="27">
        <f t="shared" si="20"/>
        <v>0</v>
      </c>
      <c r="AX89" s="27">
        <f t="shared" si="21"/>
        <v>0</v>
      </c>
      <c r="AY89" s="28" t="s">
        <v>1053</v>
      </c>
      <c r="AZ89" s="28" t="s">
        <v>1093</v>
      </c>
      <c r="BA89" s="20" t="s">
        <v>1106</v>
      </c>
      <c r="BC89" s="27">
        <f t="shared" si="22"/>
        <v>0</v>
      </c>
      <c r="BD89" s="27">
        <f t="shared" si="23"/>
        <v>0</v>
      </c>
      <c r="BE89" s="27">
        <v>0</v>
      </c>
      <c r="BF89" s="27">
        <f t="shared" si="24"/>
        <v>0</v>
      </c>
      <c r="BH89" s="13">
        <f t="shared" si="25"/>
        <v>0</v>
      </c>
      <c r="BI89" s="13">
        <f t="shared" si="26"/>
        <v>0</v>
      </c>
      <c r="BJ89" s="13">
        <f t="shared" si="27"/>
        <v>0</v>
      </c>
    </row>
    <row r="90" spans="1:62" ht="12.75">
      <c r="A90" s="107" t="s">
        <v>43</v>
      </c>
      <c r="B90" s="108" t="s">
        <v>357</v>
      </c>
      <c r="C90" s="109" t="s">
        <v>686</v>
      </c>
      <c r="D90" s="205" t="s">
        <v>1006</v>
      </c>
      <c r="E90" s="110">
        <f>+E91</f>
        <v>124.67</v>
      </c>
      <c r="F90" s="132">
        <v>0</v>
      </c>
      <c r="G90" s="139">
        <f t="shared" si="2"/>
        <v>0</v>
      </c>
      <c r="H90" s="110">
        <f t="shared" si="3"/>
        <v>0</v>
      </c>
      <c r="I90" s="140">
        <f t="shared" si="4"/>
        <v>0</v>
      </c>
      <c r="J90" s="213">
        <v>0</v>
      </c>
      <c r="K90" s="214">
        <f t="shared" si="5"/>
        <v>0</v>
      </c>
      <c r="L90" s="150" t="s">
        <v>1039</v>
      </c>
      <c r="Z90" s="27">
        <f t="shared" si="6"/>
        <v>0</v>
      </c>
      <c r="AB90" s="27">
        <f t="shared" si="7"/>
        <v>0</v>
      </c>
      <c r="AC90" s="27">
        <f t="shared" si="8"/>
        <v>0</v>
      </c>
      <c r="AD90" s="27">
        <f t="shared" si="9"/>
        <v>0</v>
      </c>
      <c r="AE90" s="27">
        <f t="shared" si="10"/>
        <v>0</v>
      </c>
      <c r="AF90" s="27">
        <f t="shared" si="11"/>
        <v>0</v>
      </c>
      <c r="AG90" s="27">
        <f t="shared" si="12"/>
        <v>0</v>
      </c>
      <c r="AH90" s="27">
        <f t="shared" si="13"/>
        <v>0</v>
      </c>
      <c r="AI90" s="20"/>
      <c r="AJ90" s="13">
        <f t="shared" si="14"/>
        <v>0</v>
      </c>
      <c r="AK90" s="13">
        <f t="shared" si="15"/>
        <v>0</v>
      </c>
      <c r="AL90" s="13">
        <f t="shared" si="16"/>
        <v>0</v>
      </c>
      <c r="AN90" s="27">
        <v>21</v>
      </c>
      <c r="AO90" s="27">
        <f t="shared" si="17"/>
        <v>0</v>
      </c>
      <c r="AP90" s="27">
        <f t="shared" si="18"/>
        <v>0</v>
      </c>
      <c r="AQ90" s="23" t="s">
        <v>7</v>
      </c>
      <c r="AV90" s="27">
        <f t="shared" si="19"/>
        <v>0</v>
      </c>
      <c r="AW90" s="27">
        <f t="shared" si="20"/>
        <v>0</v>
      </c>
      <c r="AX90" s="27">
        <f t="shared" si="21"/>
        <v>0</v>
      </c>
      <c r="AY90" s="28" t="s">
        <v>1053</v>
      </c>
      <c r="AZ90" s="28" t="s">
        <v>1093</v>
      </c>
      <c r="BA90" s="20" t="s">
        <v>1106</v>
      </c>
      <c r="BC90" s="27">
        <f t="shared" si="22"/>
        <v>0</v>
      </c>
      <c r="BD90" s="27">
        <f t="shared" si="23"/>
        <v>0</v>
      </c>
      <c r="BE90" s="27">
        <v>0</v>
      </c>
      <c r="BF90" s="27">
        <f t="shared" si="24"/>
        <v>0</v>
      </c>
      <c r="BH90" s="13">
        <f t="shared" si="25"/>
        <v>0</v>
      </c>
      <c r="BI90" s="13">
        <f t="shared" si="26"/>
        <v>0</v>
      </c>
      <c r="BJ90" s="13">
        <f t="shared" si="27"/>
        <v>0</v>
      </c>
    </row>
    <row r="91" spans="1:62" ht="12.75">
      <c r="A91" s="107"/>
      <c r="B91" s="108"/>
      <c r="C91" s="99" t="s">
        <v>1648</v>
      </c>
      <c r="D91" s="100" t="s">
        <v>1006</v>
      </c>
      <c r="E91" s="101">
        <f>+Výměry!E104</f>
        <v>124.67</v>
      </c>
      <c r="F91" s="132"/>
      <c r="G91" s="139"/>
      <c r="H91" s="110"/>
      <c r="I91" s="140"/>
      <c r="J91" s="213"/>
      <c r="K91" s="214"/>
      <c r="L91" s="150"/>
      <c r="Z91" s="27"/>
      <c r="AB91" s="27"/>
      <c r="AC91" s="27"/>
      <c r="AD91" s="27"/>
      <c r="AE91" s="27"/>
      <c r="AF91" s="27"/>
      <c r="AG91" s="27"/>
      <c r="AH91" s="27"/>
      <c r="AI91" s="20"/>
      <c r="AJ91" s="13"/>
      <c r="AK91" s="13"/>
      <c r="AL91" s="13"/>
      <c r="AN91" s="27"/>
      <c r="AO91" s="27"/>
      <c r="AP91" s="27"/>
      <c r="AQ91" s="23"/>
      <c r="AV91" s="27"/>
      <c r="AW91" s="27"/>
      <c r="AX91" s="27"/>
      <c r="AY91" s="28"/>
      <c r="AZ91" s="28"/>
      <c r="BA91" s="20"/>
      <c r="BC91" s="27"/>
      <c r="BD91" s="27"/>
      <c r="BE91" s="27"/>
      <c r="BF91" s="27"/>
      <c r="BH91" s="13"/>
      <c r="BI91" s="13"/>
      <c r="BJ91" s="13"/>
    </row>
    <row r="92" spans="1:62" ht="12.75">
      <c r="A92" s="107" t="s">
        <v>44</v>
      </c>
      <c r="B92" s="108" t="s">
        <v>358</v>
      </c>
      <c r="C92" s="109" t="s">
        <v>687</v>
      </c>
      <c r="D92" s="205" t="s">
        <v>1006</v>
      </c>
      <c r="E92" s="110">
        <v>124.67</v>
      </c>
      <c r="F92" s="132">
        <v>0</v>
      </c>
      <c r="G92" s="139">
        <f t="shared" si="2"/>
        <v>0</v>
      </c>
      <c r="H92" s="110">
        <f t="shared" si="3"/>
        <v>0</v>
      </c>
      <c r="I92" s="140">
        <f t="shared" si="4"/>
        <v>0</v>
      </c>
      <c r="J92" s="213">
        <v>0</v>
      </c>
      <c r="K92" s="214">
        <f t="shared" si="5"/>
        <v>0</v>
      </c>
      <c r="L92" s="150" t="s">
        <v>1039</v>
      </c>
      <c r="Z92" s="27">
        <f t="shared" si="6"/>
        <v>0</v>
      </c>
      <c r="AB92" s="27">
        <f t="shared" si="7"/>
        <v>0</v>
      </c>
      <c r="AC92" s="27">
        <f t="shared" si="8"/>
        <v>0</v>
      </c>
      <c r="AD92" s="27">
        <f t="shared" si="9"/>
        <v>0</v>
      </c>
      <c r="AE92" s="27">
        <f t="shared" si="10"/>
        <v>0</v>
      </c>
      <c r="AF92" s="27">
        <f t="shared" si="11"/>
        <v>0</v>
      </c>
      <c r="AG92" s="27">
        <f t="shared" si="12"/>
        <v>0</v>
      </c>
      <c r="AH92" s="27">
        <f t="shared" si="13"/>
        <v>0</v>
      </c>
      <c r="AI92" s="20"/>
      <c r="AJ92" s="13">
        <f t="shared" si="14"/>
        <v>0</v>
      </c>
      <c r="AK92" s="13">
        <f t="shared" si="15"/>
        <v>0</v>
      </c>
      <c r="AL92" s="13">
        <f t="shared" si="16"/>
        <v>0</v>
      </c>
      <c r="AN92" s="27">
        <v>21</v>
      </c>
      <c r="AO92" s="27">
        <f t="shared" si="17"/>
        <v>0</v>
      </c>
      <c r="AP92" s="27">
        <f t="shared" si="18"/>
        <v>0</v>
      </c>
      <c r="AQ92" s="23" t="s">
        <v>7</v>
      </c>
      <c r="AV92" s="27">
        <f t="shared" si="19"/>
        <v>0</v>
      </c>
      <c r="AW92" s="27">
        <f t="shared" si="20"/>
        <v>0</v>
      </c>
      <c r="AX92" s="27">
        <f t="shared" si="21"/>
        <v>0</v>
      </c>
      <c r="AY92" s="28" t="s">
        <v>1053</v>
      </c>
      <c r="AZ92" s="28" t="s">
        <v>1093</v>
      </c>
      <c r="BA92" s="20" t="s">
        <v>1106</v>
      </c>
      <c r="BC92" s="27">
        <f t="shared" si="22"/>
        <v>0</v>
      </c>
      <c r="BD92" s="27">
        <f t="shared" si="23"/>
        <v>0</v>
      </c>
      <c r="BE92" s="27">
        <v>0</v>
      </c>
      <c r="BF92" s="27">
        <f t="shared" si="24"/>
        <v>0</v>
      </c>
      <c r="BH92" s="13">
        <f t="shared" si="25"/>
        <v>0</v>
      </c>
      <c r="BI92" s="13">
        <f t="shared" si="26"/>
        <v>0</v>
      </c>
      <c r="BJ92" s="13">
        <f t="shared" si="27"/>
        <v>0</v>
      </c>
    </row>
    <row r="93" spans="1:47" ht="12.75">
      <c r="A93" s="111"/>
      <c r="B93" s="112" t="s">
        <v>20</v>
      </c>
      <c r="C93" s="113" t="s">
        <v>688</v>
      </c>
      <c r="D93" s="206" t="s">
        <v>6</v>
      </c>
      <c r="E93" s="114" t="s">
        <v>6</v>
      </c>
      <c r="F93" s="133" t="s">
        <v>6</v>
      </c>
      <c r="G93" s="141">
        <f>SUM(G94:G98)</f>
        <v>0</v>
      </c>
      <c r="H93" s="115">
        <f>SUM(H94:H98)</f>
        <v>0</v>
      </c>
      <c r="I93" s="142">
        <f>SUM(I94:I98)</f>
        <v>0</v>
      </c>
      <c r="J93" s="215"/>
      <c r="K93" s="216">
        <f>SUM(K94:K98)</f>
        <v>0</v>
      </c>
      <c r="L93" s="151"/>
      <c r="AI93" s="20"/>
      <c r="AS93" s="29">
        <f>SUM(AJ94:AJ98)</f>
        <v>0</v>
      </c>
      <c r="AT93" s="29">
        <f>SUM(AK94:AK98)</f>
        <v>0</v>
      </c>
      <c r="AU93" s="29">
        <f>SUM(AL94:AL98)</f>
        <v>0</v>
      </c>
    </row>
    <row r="94" spans="1:62" ht="12.75">
      <c r="A94" s="107" t="s">
        <v>45</v>
      </c>
      <c r="B94" s="108" t="s">
        <v>359</v>
      </c>
      <c r="C94" s="109" t="s">
        <v>689</v>
      </c>
      <c r="D94" s="205" t="s">
        <v>1008</v>
      </c>
      <c r="E94" s="110">
        <f>+E95</f>
        <v>193</v>
      </c>
      <c r="F94" s="132">
        <v>0</v>
      </c>
      <c r="G94" s="139">
        <f>E94*AO94</f>
        <v>0</v>
      </c>
      <c r="H94" s="110">
        <f>E94*AP94</f>
        <v>0</v>
      </c>
      <c r="I94" s="140">
        <f>E94*F94</f>
        <v>0</v>
      </c>
      <c r="J94" s="213">
        <v>0</v>
      </c>
      <c r="K94" s="214">
        <f>E94*J94</f>
        <v>0</v>
      </c>
      <c r="L94" s="150"/>
      <c r="Z94" s="27">
        <f>IF(AQ94="5",BJ94,0)</f>
        <v>0</v>
      </c>
      <c r="AB94" s="27">
        <f>IF(AQ94="1",BH94,0)</f>
        <v>0</v>
      </c>
      <c r="AC94" s="27">
        <f>IF(AQ94="1",BI94,0)</f>
        <v>0</v>
      </c>
      <c r="AD94" s="27">
        <f>IF(AQ94="7",BH94,0)</f>
        <v>0</v>
      </c>
      <c r="AE94" s="27">
        <f>IF(AQ94="7",BI94,0)</f>
        <v>0</v>
      </c>
      <c r="AF94" s="27">
        <f>IF(AQ94="2",BH94,0)</f>
        <v>0</v>
      </c>
      <c r="AG94" s="27">
        <f>IF(AQ94="2",BI94,0)</f>
        <v>0</v>
      </c>
      <c r="AH94" s="27">
        <f>IF(AQ94="0",BJ94,0)</f>
        <v>0</v>
      </c>
      <c r="AI94" s="20"/>
      <c r="AJ94" s="13">
        <f>IF(AN94=0,I94,0)</f>
        <v>0</v>
      </c>
      <c r="AK94" s="13">
        <f>IF(AN94=15,I94,0)</f>
        <v>0</v>
      </c>
      <c r="AL94" s="13">
        <f>IF(AN94=21,I94,0)</f>
        <v>0</v>
      </c>
      <c r="AN94" s="27">
        <v>21</v>
      </c>
      <c r="AO94" s="27">
        <f>F94*0.397727272727273</f>
        <v>0</v>
      </c>
      <c r="AP94" s="27">
        <f>F94*(1-0.397727272727273)</f>
        <v>0</v>
      </c>
      <c r="AQ94" s="23" t="s">
        <v>7</v>
      </c>
      <c r="AV94" s="27">
        <f>AW94+AX94</f>
        <v>0</v>
      </c>
      <c r="AW94" s="27">
        <f>E94*AO94</f>
        <v>0</v>
      </c>
      <c r="AX94" s="27">
        <f>E94*AP94</f>
        <v>0</v>
      </c>
      <c r="AY94" s="28" t="s">
        <v>1054</v>
      </c>
      <c r="AZ94" s="28" t="s">
        <v>1093</v>
      </c>
      <c r="BA94" s="20" t="s">
        <v>1106</v>
      </c>
      <c r="BC94" s="27">
        <f>AW94+AX94</f>
        <v>0</v>
      </c>
      <c r="BD94" s="27">
        <f>F94/(100-BE94)*100</f>
        <v>0</v>
      </c>
      <c r="BE94" s="27">
        <v>0</v>
      </c>
      <c r="BF94" s="27">
        <f>K94</f>
        <v>0</v>
      </c>
      <c r="BH94" s="13">
        <f>E94*AO94</f>
        <v>0</v>
      </c>
      <c r="BI94" s="13">
        <f>E94*AP94</f>
        <v>0</v>
      </c>
      <c r="BJ94" s="13">
        <f>E94*F94</f>
        <v>0</v>
      </c>
    </row>
    <row r="95" spans="1:62" ht="12.75">
      <c r="A95" s="107"/>
      <c r="B95" s="108"/>
      <c r="C95" s="99" t="s">
        <v>1649</v>
      </c>
      <c r="D95" s="100" t="s">
        <v>1008</v>
      </c>
      <c r="E95" s="101">
        <f>192+2*0.5</f>
        <v>193</v>
      </c>
      <c r="F95" s="132"/>
      <c r="G95" s="139"/>
      <c r="H95" s="110"/>
      <c r="I95" s="140"/>
      <c r="J95" s="213"/>
      <c r="K95" s="214"/>
      <c r="L95" s="150"/>
      <c r="Z95" s="27"/>
      <c r="AB95" s="27"/>
      <c r="AC95" s="27"/>
      <c r="AD95" s="27"/>
      <c r="AE95" s="27"/>
      <c r="AF95" s="27"/>
      <c r="AG95" s="27"/>
      <c r="AH95" s="27"/>
      <c r="AI95" s="20"/>
      <c r="AJ95" s="13"/>
      <c r="AK95" s="13"/>
      <c r="AL95" s="13"/>
      <c r="AN95" s="27"/>
      <c r="AO95" s="27"/>
      <c r="AP95" s="27"/>
      <c r="AQ95" s="23"/>
      <c r="AV95" s="27"/>
      <c r="AW95" s="27"/>
      <c r="AX95" s="27"/>
      <c r="AY95" s="28"/>
      <c r="AZ95" s="28"/>
      <c r="BA95" s="20"/>
      <c r="BC95" s="27"/>
      <c r="BD95" s="27"/>
      <c r="BE95" s="27"/>
      <c r="BF95" s="27"/>
      <c r="BH95" s="13"/>
      <c r="BI95" s="13"/>
      <c r="BJ95" s="13"/>
    </row>
    <row r="96" spans="1:62" ht="12.75">
      <c r="A96" s="107" t="s">
        <v>46</v>
      </c>
      <c r="B96" s="108" t="s">
        <v>360</v>
      </c>
      <c r="C96" s="109" t="s">
        <v>690</v>
      </c>
      <c r="D96" s="205" t="s">
        <v>1008</v>
      </c>
      <c r="E96" s="110">
        <f>+E97</f>
        <v>72</v>
      </c>
      <c r="F96" s="132">
        <v>0</v>
      </c>
      <c r="G96" s="139">
        <f>E96*AO96</f>
        <v>0</v>
      </c>
      <c r="H96" s="110">
        <f>E96*AP96</f>
        <v>0</v>
      </c>
      <c r="I96" s="140">
        <f>E96*F96</f>
        <v>0</v>
      </c>
      <c r="J96" s="213">
        <v>0</v>
      </c>
      <c r="K96" s="214">
        <f>E96*J96</f>
        <v>0</v>
      </c>
      <c r="L96" s="150"/>
      <c r="Z96" s="27">
        <f>IF(AQ96="5",BJ96,0)</f>
        <v>0</v>
      </c>
      <c r="AB96" s="27">
        <f>IF(AQ96="1",BH96,0)</f>
        <v>0</v>
      </c>
      <c r="AC96" s="27">
        <f>IF(AQ96="1",BI96,0)</f>
        <v>0</v>
      </c>
      <c r="AD96" s="27">
        <f>IF(AQ96="7",BH96,0)</f>
        <v>0</v>
      </c>
      <c r="AE96" s="27">
        <f>IF(AQ96="7",BI96,0)</f>
        <v>0</v>
      </c>
      <c r="AF96" s="27">
        <f>IF(AQ96="2",BH96,0)</f>
        <v>0</v>
      </c>
      <c r="AG96" s="27">
        <f>IF(AQ96="2",BI96,0)</f>
        <v>0</v>
      </c>
      <c r="AH96" s="27">
        <f>IF(AQ96="0",BJ96,0)</f>
        <v>0</v>
      </c>
      <c r="AI96" s="20"/>
      <c r="AJ96" s="13">
        <f>IF(AN96=0,I96,0)</f>
        <v>0</v>
      </c>
      <c r="AK96" s="13">
        <f>IF(AN96=15,I96,0)</f>
        <v>0</v>
      </c>
      <c r="AL96" s="13">
        <f>IF(AN96=21,I96,0)</f>
        <v>0</v>
      </c>
      <c r="AN96" s="27">
        <v>21</v>
      </c>
      <c r="AO96" s="27">
        <f>F96*0.491905354919054</f>
        <v>0</v>
      </c>
      <c r="AP96" s="27">
        <f>F96*(1-0.491905354919054)</f>
        <v>0</v>
      </c>
      <c r="AQ96" s="23" t="s">
        <v>7</v>
      </c>
      <c r="AV96" s="27">
        <f>AW96+AX96</f>
        <v>0</v>
      </c>
      <c r="AW96" s="27">
        <f>E96*AO96</f>
        <v>0</v>
      </c>
      <c r="AX96" s="27">
        <f>E96*AP96</f>
        <v>0</v>
      </c>
      <c r="AY96" s="28" t="s">
        <v>1054</v>
      </c>
      <c r="AZ96" s="28" t="s">
        <v>1093</v>
      </c>
      <c r="BA96" s="20" t="s">
        <v>1106</v>
      </c>
      <c r="BC96" s="27">
        <f>AW96+AX96</f>
        <v>0</v>
      </c>
      <c r="BD96" s="27">
        <f>F96/(100-BE96)*100</f>
        <v>0</v>
      </c>
      <c r="BE96" s="27">
        <v>0</v>
      </c>
      <c r="BF96" s="27">
        <f>K96</f>
        <v>0</v>
      </c>
      <c r="BH96" s="13">
        <f>E96*AO96</f>
        <v>0</v>
      </c>
      <c r="BI96" s="13">
        <f>E96*AP96</f>
        <v>0</v>
      </c>
      <c r="BJ96" s="13">
        <f>E96*F96</f>
        <v>0</v>
      </c>
    </row>
    <row r="97" spans="1:62" ht="12.75">
      <c r="A97" s="107"/>
      <c r="B97" s="108"/>
      <c r="C97" s="99" t="s">
        <v>1650</v>
      </c>
      <c r="D97" s="100" t="s">
        <v>1008</v>
      </c>
      <c r="E97" s="101">
        <v>72</v>
      </c>
      <c r="F97" s="132"/>
      <c r="G97" s="139"/>
      <c r="H97" s="110"/>
      <c r="I97" s="140"/>
      <c r="J97" s="213"/>
      <c r="K97" s="214"/>
      <c r="L97" s="150"/>
      <c r="Z97" s="27"/>
      <c r="AB97" s="27"/>
      <c r="AC97" s="27"/>
      <c r="AD97" s="27"/>
      <c r="AE97" s="27"/>
      <c r="AF97" s="27"/>
      <c r="AG97" s="27"/>
      <c r="AH97" s="27"/>
      <c r="AI97" s="20"/>
      <c r="AJ97" s="13"/>
      <c r="AK97" s="13"/>
      <c r="AL97" s="13"/>
      <c r="AN97" s="27"/>
      <c r="AO97" s="27"/>
      <c r="AP97" s="27"/>
      <c r="AQ97" s="23"/>
      <c r="AV97" s="27"/>
      <c r="AW97" s="27"/>
      <c r="AX97" s="27"/>
      <c r="AY97" s="28"/>
      <c r="AZ97" s="28"/>
      <c r="BA97" s="20"/>
      <c r="BC97" s="27"/>
      <c r="BD97" s="27"/>
      <c r="BE97" s="27"/>
      <c r="BF97" s="27"/>
      <c r="BH97" s="13"/>
      <c r="BI97" s="13"/>
      <c r="BJ97" s="13"/>
    </row>
    <row r="98" spans="1:62" ht="12.75">
      <c r="A98" s="107" t="s">
        <v>47</v>
      </c>
      <c r="B98" s="108" t="s">
        <v>361</v>
      </c>
      <c r="C98" s="109" t="s">
        <v>691</v>
      </c>
      <c r="D98" s="205" t="s">
        <v>1008</v>
      </c>
      <c r="E98" s="110">
        <f>+E99</f>
        <v>32</v>
      </c>
      <c r="F98" s="132">
        <v>0</v>
      </c>
      <c r="G98" s="139">
        <f>E98*AO98</f>
        <v>0</v>
      </c>
      <c r="H98" s="110">
        <f>E98*AP98</f>
        <v>0</v>
      </c>
      <c r="I98" s="140">
        <f>E98*F98</f>
        <v>0</v>
      </c>
      <c r="J98" s="213">
        <v>0</v>
      </c>
      <c r="K98" s="214">
        <f>E98*J98</f>
        <v>0</v>
      </c>
      <c r="L98" s="150"/>
      <c r="Z98" s="27">
        <f>IF(AQ98="5",BJ98,0)</f>
        <v>0</v>
      </c>
      <c r="AB98" s="27">
        <f>IF(AQ98="1",BH98,0)</f>
        <v>0</v>
      </c>
      <c r="AC98" s="27">
        <f>IF(AQ98="1",BI98,0)</f>
        <v>0</v>
      </c>
      <c r="AD98" s="27">
        <f>IF(AQ98="7",BH98,0)</f>
        <v>0</v>
      </c>
      <c r="AE98" s="27">
        <f>IF(AQ98="7",BI98,0)</f>
        <v>0</v>
      </c>
      <c r="AF98" s="27">
        <f>IF(AQ98="2",BH98,0)</f>
        <v>0</v>
      </c>
      <c r="AG98" s="27">
        <f>IF(AQ98="2",BI98,0)</f>
        <v>0</v>
      </c>
      <c r="AH98" s="27">
        <f>IF(AQ98="0",BJ98,0)</f>
        <v>0</v>
      </c>
      <c r="AI98" s="20"/>
      <c r="AJ98" s="13">
        <f>IF(AN98=0,I98,0)</f>
        <v>0</v>
      </c>
      <c r="AK98" s="13">
        <f>IF(AN98=15,I98,0)</f>
        <v>0</v>
      </c>
      <c r="AL98" s="13">
        <f>IF(AN98=21,I98,0)</f>
        <v>0</v>
      </c>
      <c r="AN98" s="27">
        <v>21</v>
      </c>
      <c r="AO98" s="27">
        <f>F98*0.743050847457627</f>
        <v>0</v>
      </c>
      <c r="AP98" s="27">
        <f>F98*(1-0.743050847457627)</f>
        <v>0</v>
      </c>
      <c r="AQ98" s="23" t="s">
        <v>7</v>
      </c>
      <c r="AV98" s="27">
        <f>AW98+AX98</f>
        <v>0</v>
      </c>
      <c r="AW98" s="27">
        <f>E98*AO98</f>
        <v>0</v>
      </c>
      <c r="AX98" s="27">
        <f>E98*AP98</f>
        <v>0</v>
      </c>
      <c r="AY98" s="28" t="s">
        <v>1054</v>
      </c>
      <c r="AZ98" s="28" t="s">
        <v>1093</v>
      </c>
      <c r="BA98" s="20" t="s">
        <v>1106</v>
      </c>
      <c r="BC98" s="27">
        <f>AW98+AX98</f>
        <v>0</v>
      </c>
      <c r="BD98" s="27">
        <f>F98/(100-BE98)*100</f>
        <v>0</v>
      </c>
      <c r="BE98" s="27">
        <v>0</v>
      </c>
      <c r="BF98" s="27">
        <f>K98</f>
        <v>0</v>
      </c>
      <c r="BH98" s="13">
        <f>E98*AO98</f>
        <v>0</v>
      </c>
      <c r="BI98" s="13">
        <f>E98*AP98</f>
        <v>0</v>
      </c>
      <c r="BJ98" s="13">
        <f>E98*F98</f>
        <v>0</v>
      </c>
    </row>
    <row r="99" spans="1:62" ht="12.75">
      <c r="A99" s="107"/>
      <c r="B99" s="108"/>
      <c r="C99" s="99" t="s">
        <v>1651</v>
      </c>
      <c r="D99" s="100" t="s">
        <v>1008</v>
      </c>
      <c r="E99" s="101">
        <v>32</v>
      </c>
      <c r="F99" s="132"/>
      <c r="G99" s="139"/>
      <c r="H99" s="110"/>
      <c r="I99" s="140"/>
      <c r="J99" s="213"/>
      <c r="K99" s="214"/>
      <c r="L99" s="150"/>
      <c r="Z99" s="27"/>
      <c r="AB99" s="27"/>
      <c r="AC99" s="27"/>
      <c r="AD99" s="27"/>
      <c r="AE99" s="27"/>
      <c r="AF99" s="27"/>
      <c r="AG99" s="27"/>
      <c r="AH99" s="27"/>
      <c r="AI99" s="20"/>
      <c r="AJ99" s="13"/>
      <c r="AK99" s="13"/>
      <c r="AL99" s="13"/>
      <c r="AN99" s="27"/>
      <c r="AO99" s="27"/>
      <c r="AP99" s="27"/>
      <c r="AQ99" s="23"/>
      <c r="AV99" s="27"/>
      <c r="AW99" s="27"/>
      <c r="AX99" s="27"/>
      <c r="AY99" s="28"/>
      <c r="AZ99" s="28"/>
      <c r="BA99" s="20"/>
      <c r="BC99" s="27"/>
      <c r="BD99" s="27"/>
      <c r="BE99" s="27"/>
      <c r="BF99" s="27"/>
      <c r="BH99" s="13"/>
      <c r="BI99" s="13"/>
      <c r="BJ99" s="13"/>
    </row>
    <row r="100" spans="1:47" ht="12.75">
      <c r="A100" s="111"/>
      <c r="B100" s="112" t="s">
        <v>21</v>
      </c>
      <c r="C100" s="113" t="s">
        <v>692</v>
      </c>
      <c r="D100" s="206" t="s">
        <v>6</v>
      </c>
      <c r="E100" s="114" t="s">
        <v>6</v>
      </c>
      <c r="F100" s="133" t="s">
        <v>6</v>
      </c>
      <c r="G100" s="141">
        <f>SUM(G101:G118)</f>
        <v>0</v>
      </c>
      <c r="H100" s="115">
        <f>SUM(H101:H118)</f>
        <v>0</v>
      </c>
      <c r="I100" s="142">
        <f>SUM(I101:I118)</f>
        <v>0</v>
      </c>
      <c r="J100" s="215"/>
      <c r="K100" s="216">
        <f>SUM(K101:K118)</f>
        <v>10.650623304000002</v>
      </c>
      <c r="L100" s="151"/>
      <c r="AI100" s="20"/>
      <c r="AS100" s="29">
        <f>SUM(AJ101:AJ118)</f>
        <v>0</v>
      </c>
      <c r="AT100" s="29">
        <f>SUM(AK101:AK118)</f>
        <v>0</v>
      </c>
      <c r="AU100" s="29">
        <f>SUM(AL101:AL118)</f>
        <v>0</v>
      </c>
    </row>
    <row r="101" spans="1:62" ht="12.75">
      <c r="A101" s="107" t="s">
        <v>48</v>
      </c>
      <c r="B101" s="108" t="s">
        <v>362</v>
      </c>
      <c r="C101" s="109" t="s">
        <v>693</v>
      </c>
      <c r="D101" s="205" t="s">
        <v>1005</v>
      </c>
      <c r="E101" s="110">
        <f>+E102</f>
        <v>390.6418</v>
      </c>
      <c r="F101" s="132">
        <v>0</v>
      </c>
      <c r="G101" s="139">
        <f aca="true" t="shared" si="28" ref="G101:G118">E101*AO101</f>
        <v>0</v>
      </c>
      <c r="H101" s="110">
        <f aca="true" t="shared" si="29" ref="H101:H118">E101*AP101</f>
        <v>0</v>
      </c>
      <c r="I101" s="140">
        <f aca="true" t="shared" si="30" ref="I101:I118">E101*F101</f>
        <v>0</v>
      </c>
      <c r="J101" s="213">
        <v>0.00199</v>
      </c>
      <c r="K101" s="214">
        <f aca="true" t="shared" si="31" ref="K101:K118">E101*J101</f>
        <v>0.7773771819999999</v>
      </c>
      <c r="L101" s="150" t="s">
        <v>1039</v>
      </c>
      <c r="Z101" s="27">
        <f aca="true" t="shared" si="32" ref="Z101:Z118">IF(AQ101="5",BJ101,0)</f>
        <v>0</v>
      </c>
      <c r="AB101" s="27">
        <f aca="true" t="shared" si="33" ref="AB101:AB118">IF(AQ101="1",BH101,0)</f>
        <v>0</v>
      </c>
      <c r="AC101" s="27">
        <f aca="true" t="shared" si="34" ref="AC101:AC118">IF(AQ101="1",BI101,0)</f>
        <v>0</v>
      </c>
      <c r="AD101" s="27">
        <f aca="true" t="shared" si="35" ref="AD101:AD118">IF(AQ101="7",BH101,0)</f>
        <v>0</v>
      </c>
      <c r="AE101" s="27">
        <f aca="true" t="shared" si="36" ref="AE101:AE118">IF(AQ101="7",BI101,0)</f>
        <v>0</v>
      </c>
      <c r="AF101" s="27">
        <f aca="true" t="shared" si="37" ref="AF101:AF118">IF(AQ101="2",BH101,0)</f>
        <v>0</v>
      </c>
      <c r="AG101" s="27">
        <f aca="true" t="shared" si="38" ref="AG101:AG118">IF(AQ101="2",BI101,0)</f>
        <v>0</v>
      </c>
      <c r="AH101" s="27">
        <f aca="true" t="shared" si="39" ref="AH101:AH118">IF(AQ101="0",BJ101,0)</f>
        <v>0</v>
      </c>
      <c r="AI101" s="20"/>
      <c r="AJ101" s="13">
        <f aca="true" t="shared" si="40" ref="AJ101:AJ118">IF(AN101=0,I101,0)</f>
        <v>0</v>
      </c>
      <c r="AK101" s="13">
        <f aca="true" t="shared" si="41" ref="AK101:AK118">IF(AN101=15,I101,0)</f>
        <v>0</v>
      </c>
      <c r="AL101" s="13">
        <f aca="true" t="shared" si="42" ref="AL101:AL118">IF(AN101=21,I101,0)</f>
        <v>0</v>
      </c>
      <c r="AN101" s="27">
        <v>21</v>
      </c>
      <c r="AO101" s="27">
        <f>F101*0.157538461538462</f>
        <v>0</v>
      </c>
      <c r="AP101" s="27">
        <f>F101*(1-0.157538461538462)</f>
        <v>0</v>
      </c>
      <c r="AQ101" s="23" t="s">
        <v>7</v>
      </c>
      <c r="AV101" s="27">
        <f aca="true" t="shared" si="43" ref="AV101:AV118">AW101+AX101</f>
        <v>0</v>
      </c>
      <c r="AW101" s="27">
        <f aca="true" t="shared" si="44" ref="AW101:AW118">E101*AO101</f>
        <v>0</v>
      </c>
      <c r="AX101" s="27">
        <f aca="true" t="shared" si="45" ref="AX101:AX118">E101*AP101</f>
        <v>0</v>
      </c>
      <c r="AY101" s="28" t="s">
        <v>1055</v>
      </c>
      <c r="AZ101" s="28" t="s">
        <v>1093</v>
      </c>
      <c r="BA101" s="20" t="s">
        <v>1106</v>
      </c>
      <c r="BC101" s="27">
        <f aca="true" t="shared" si="46" ref="BC101:BC118">AW101+AX101</f>
        <v>0</v>
      </c>
      <c r="BD101" s="27">
        <f aca="true" t="shared" si="47" ref="BD101:BD118">F101/(100-BE101)*100</f>
        <v>0</v>
      </c>
      <c r="BE101" s="27">
        <v>0</v>
      </c>
      <c r="BF101" s="27">
        <f aca="true" t="shared" si="48" ref="BF101:BF118">K101</f>
        <v>0.7773771819999999</v>
      </c>
      <c r="BH101" s="13">
        <f aca="true" t="shared" si="49" ref="BH101:BH118">E101*AO101</f>
        <v>0</v>
      </c>
      <c r="BI101" s="13">
        <f aca="true" t="shared" si="50" ref="BI101:BI118">E101*AP101</f>
        <v>0</v>
      </c>
      <c r="BJ101" s="13">
        <f aca="true" t="shared" si="51" ref="BJ101:BJ118">E101*F101</f>
        <v>0</v>
      </c>
    </row>
    <row r="102" spans="1:62" ht="12.75">
      <c r="A102" s="107"/>
      <c r="B102" s="108"/>
      <c r="C102" s="99" t="s">
        <v>1653</v>
      </c>
      <c r="D102" s="100" t="s">
        <v>1005</v>
      </c>
      <c r="E102" s="101">
        <f>+Výměry!E107</f>
        <v>390.6418</v>
      </c>
      <c r="F102" s="132"/>
      <c r="G102" s="139"/>
      <c r="H102" s="110"/>
      <c r="I102" s="140"/>
      <c r="J102" s="213"/>
      <c r="K102" s="214"/>
      <c r="L102" s="150"/>
      <c r="Z102" s="27"/>
      <c r="AB102" s="27"/>
      <c r="AC102" s="27"/>
      <c r="AD102" s="27"/>
      <c r="AE102" s="27"/>
      <c r="AF102" s="27"/>
      <c r="AG102" s="27"/>
      <c r="AH102" s="27"/>
      <c r="AI102" s="20"/>
      <c r="AJ102" s="13"/>
      <c r="AK102" s="13"/>
      <c r="AL102" s="13"/>
      <c r="AN102" s="27"/>
      <c r="AO102" s="27"/>
      <c r="AP102" s="27"/>
      <c r="AQ102" s="23"/>
      <c r="AV102" s="27"/>
      <c r="AW102" s="27"/>
      <c r="AX102" s="27"/>
      <c r="AY102" s="28"/>
      <c r="AZ102" s="28"/>
      <c r="BA102" s="20"/>
      <c r="BC102" s="27"/>
      <c r="BD102" s="27"/>
      <c r="BE102" s="27"/>
      <c r="BF102" s="27"/>
      <c r="BH102" s="13"/>
      <c r="BI102" s="13"/>
      <c r="BJ102" s="13"/>
    </row>
    <row r="103" spans="1:62" ht="12.75">
      <c r="A103" s="107" t="s">
        <v>49</v>
      </c>
      <c r="B103" s="108" t="s">
        <v>363</v>
      </c>
      <c r="C103" s="109" t="s">
        <v>694</v>
      </c>
      <c r="D103" s="205" t="s">
        <v>1005</v>
      </c>
      <c r="E103" s="110">
        <f>+E104</f>
        <v>4313.0611</v>
      </c>
      <c r="F103" s="132">
        <v>0</v>
      </c>
      <c r="G103" s="139">
        <f t="shared" si="28"/>
        <v>0</v>
      </c>
      <c r="H103" s="110">
        <f t="shared" si="29"/>
        <v>0</v>
      </c>
      <c r="I103" s="140">
        <f t="shared" si="30"/>
        <v>0</v>
      </c>
      <c r="J103" s="213">
        <v>0.00202</v>
      </c>
      <c r="K103" s="214">
        <f t="shared" si="31"/>
        <v>8.712383422</v>
      </c>
      <c r="L103" s="150" t="s">
        <v>1039</v>
      </c>
      <c r="Z103" s="27">
        <f t="shared" si="32"/>
        <v>0</v>
      </c>
      <c r="AB103" s="27">
        <f t="shared" si="33"/>
        <v>0</v>
      </c>
      <c r="AC103" s="27">
        <f t="shared" si="34"/>
        <v>0</v>
      </c>
      <c r="AD103" s="27">
        <f t="shared" si="35"/>
        <v>0</v>
      </c>
      <c r="AE103" s="27">
        <f t="shared" si="36"/>
        <v>0</v>
      </c>
      <c r="AF103" s="27">
        <f t="shared" si="37"/>
        <v>0</v>
      </c>
      <c r="AG103" s="27">
        <f t="shared" si="38"/>
        <v>0</v>
      </c>
      <c r="AH103" s="27">
        <f t="shared" si="39"/>
        <v>0</v>
      </c>
      <c r="AI103" s="20"/>
      <c r="AJ103" s="13">
        <f t="shared" si="40"/>
        <v>0</v>
      </c>
      <c r="AK103" s="13">
        <f t="shared" si="41"/>
        <v>0</v>
      </c>
      <c r="AL103" s="13">
        <f t="shared" si="42"/>
        <v>0</v>
      </c>
      <c r="AN103" s="27">
        <v>21</v>
      </c>
      <c r="AO103" s="27">
        <f>F103*0.143310879712486</f>
        <v>0</v>
      </c>
      <c r="AP103" s="27">
        <f>F103*(1-0.143310879712486)</f>
        <v>0</v>
      </c>
      <c r="AQ103" s="23" t="s">
        <v>7</v>
      </c>
      <c r="AV103" s="27">
        <f t="shared" si="43"/>
        <v>0</v>
      </c>
      <c r="AW103" s="27">
        <f t="shared" si="44"/>
        <v>0</v>
      </c>
      <c r="AX103" s="27">
        <f t="shared" si="45"/>
        <v>0</v>
      </c>
      <c r="AY103" s="28" t="s">
        <v>1055</v>
      </c>
      <c r="AZ103" s="28" t="s">
        <v>1093</v>
      </c>
      <c r="BA103" s="20" t="s">
        <v>1106</v>
      </c>
      <c r="BC103" s="27">
        <f t="shared" si="46"/>
        <v>0</v>
      </c>
      <c r="BD103" s="27">
        <f t="shared" si="47"/>
        <v>0</v>
      </c>
      <c r="BE103" s="27">
        <v>0</v>
      </c>
      <c r="BF103" s="27">
        <f t="shared" si="48"/>
        <v>8.712383422</v>
      </c>
      <c r="BH103" s="13">
        <f t="shared" si="49"/>
        <v>0</v>
      </c>
      <c r="BI103" s="13">
        <f t="shared" si="50"/>
        <v>0</v>
      </c>
      <c r="BJ103" s="13">
        <f t="shared" si="51"/>
        <v>0</v>
      </c>
    </row>
    <row r="104" spans="1:62" ht="12.75">
      <c r="A104" s="107"/>
      <c r="B104" s="108"/>
      <c r="C104" s="99" t="s">
        <v>1654</v>
      </c>
      <c r="D104" s="100" t="s">
        <v>1005</v>
      </c>
      <c r="E104" s="101">
        <f>+Výměry!E110</f>
        <v>4313.0611</v>
      </c>
      <c r="F104" s="132"/>
      <c r="G104" s="139"/>
      <c r="H104" s="110"/>
      <c r="I104" s="140"/>
      <c r="J104" s="213"/>
      <c r="K104" s="214"/>
      <c r="L104" s="150"/>
      <c r="Z104" s="27"/>
      <c r="AB104" s="27"/>
      <c r="AC104" s="27"/>
      <c r="AD104" s="27"/>
      <c r="AE104" s="27"/>
      <c r="AF104" s="27"/>
      <c r="AG104" s="27"/>
      <c r="AH104" s="27"/>
      <c r="AI104" s="20"/>
      <c r="AJ104" s="13"/>
      <c r="AK104" s="13"/>
      <c r="AL104" s="13"/>
      <c r="AN104" s="27"/>
      <c r="AO104" s="27"/>
      <c r="AP104" s="27"/>
      <c r="AQ104" s="23"/>
      <c r="AV104" s="27"/>
      <c r="AW104" s="27"/>
      <c r="AX104" s="27"/>
      <c r="AY104" s="28"/>
      <c r="AZ104" s="28"/>
      <c r="BA104" s="20"/>
      <c r="BC104" s="27"/>
      <c r="BD104" s="27"/>
      <c r="BE104" s="27"/>
      <c r="BF104" s="27"/>
      <c r="BH104" s="13"/>
      <c r="BI104" s="13"/>
      <c r="BJ104" s="13"/>
    </row>
    <row r="105" spans="1:62" ht="12.75">
      <c r="A105" s="107" t="s">
        <v>50</v>
      </c>
      <c r="B105" s="108" t="s">
        <v>364</v>
      </c>
      <c r="C105" s="109" t="s">
        <v>695</v>
      </c>
      <c r="D105" s="205" t="s">
        <v>1005</v>
      </c>
      <c r="E105" s="110">
        <v>390.64</v>
      </c>
      <c r="F105" s="132">
        <v>0</v>
      </c>
      <c r="G105" s="139">
        <f t="shared" si="28"/>
        <v>0</v>
      </c>
      <c r="H105" s="110">
        <f t="shared" si="29"/>
        <v>0</v>
      </c>
      <c r="I105" s="140">
        <f t="shared" si="30"/>
        <v>0</v>
      </c>
      <c r="J105" s="213">
        <v>0</v>
      </c>
      <c r="K105" s="214">
        <f t="shared" si="31"/>
        <v>0</v>
      </c>
      <c r="L105" s="150" t="s">
        <v>1039</v>
      </c>
      <c r="Z105" s="27">
        <f t="shared" si="32"/>
        <v>0</v>
      </c>
      <c r="AB105" s="27">
        <f t="shared" si="33"/>
        <v>0</v>
      </c>
      <c r="AC105" s="27">
        <f t="shared" si="34"/>
        <v>0</v>
      </c>
      <c r="AD105" s="27">
        <f t="shared" si="35"/>
        <v>0</v>
      </c>
      <c r="AE105" s="27">
        <f t="shared" si="36"/>
        <v>0</v>
      </c>
      <c r="AF105" s="27">
        <f t="shared" si="37"/>
        <v>0</v>
      </c>
      <c r="AG105" s="27">
        <f t="shared" si="38"/>
        <v>0</v>
      </c>
      <c r="AH105" s="27">
        <f t="shared" si="39"/>
        <v>0</v>
      </c>
      <c r="AI105" s="20"/>
      <c r="AJ105" s="13">
        <f t="shared" si="40"/>
        <v>0</v>
      </c>
      <c r="AK105" s="13">
        <f t="shared" si="41"/>
        <v>0</v>
      </c>
      <c r="AL105" s="13">
        <f t="shared" si="42"/>
        <v>0</v>
      </c>
      <c r="AN105" s="27">
        <v>21</v>
      </c>
      <c r="AO105" s="27">
        <f>F105*0</f>
        <v>0</v>
      </c>
      <c r="AP105" s="27">
        <f>F105*(1-0)</f>
        <v>0</v>
      </c>
      <c r="AQ105" s="23" t="s">
        <v>7</v>
      </c>
      <c r="AV105" s="27">
        <f t="shared" si="43"/>
        <v>0</v>
      </c>
      <c r="AW105" s="27">
        <f t="shared" si="44"/>
        <v>0</v>
      </c>
      <c r="AX105" s="27">
        <f t="shared" si="45"/>
        <v>0</v>
      </c>
      <c r="AY105" s="28" t="s">
        <v>1055</v>
      </c>
      <c r="AZ105" s="28" t="s">
        <v>1093</v>
      </c>
      <c r="BA105" s="20" t="s">
        <v>1106</v>
      </c>
      <c r="BC105" s="27">
        <f t="shared" si="46"/>
        <v>0</v>
      </c>
      <c r="BD105" s="27">
        <f t="shared" si="47"/>
        <v>0</v>
      </c>
      <c r="BE105" s="27">
        <v>0</v>
      </c>
      <c r="BF105" s="27">
        <f t="shared" si="48"/>
        <v>0</v>
      </c>
      <c r="BH105" s="13">
        <f t="shared" si="49"/>
        <v>0</v>
      </c>
      <c r="BI105" s="13">
        <f t="shared" si="50"/>
        <v>0</v>
      </c>
      <c r="BJ105" s="13">
        <f t="shared" si="51"/>
        <v>0</v>
      </c>
    </row>
    <row r="106" spans="1:62" ht="12.75">
      <c r="A106" s="107" t="s">
        <v>51</v>
      </c>
      <c r="B106" s="108" t="s">
        <v>365</v>
      </c>
      <c r="C106" s="109" t="s">
        <v>696</v>
      </c>
      <c r="D106" s="205" t="s">
        <v>1005</v>
      </c>
      <c r="E106" s="110">
        <f>+E103</f>
        <v>4313.0611</v>
      </c>
      <c r="F106" s="132">
        <v>0</v>
      </c>
      <c r="G106" s="139">
        <f t="shared" si="28"/>
        <v>0</v>
      </c>
      <c r="H106" s="110">
        <f t="shared" si="29"/>
        <v>0</v>
      </c>
      <c r="I106" s="140">
        <f t="shared" si="30"/>
        <v>0</v>
      </c>
      <c r="J106" s="213">
        <v>0</v>
      </c>
      <c r="K106" s="214">
        <f t="shared" si="31"/>
        <v>0</v>
      </c>
      <c r="L106" s="150" t="s">
        <v>1039</v>
      </c>
      <c r="Z106" s="27">
        <f t="shared" si="32"/>
        <v>0</v>
      </c>
      <c r="AB106" s="27">
        <f t="shared" si="33"/>
        <v>0</v>
      </c>
      <c r="AC106" s="27">
        <f t="shared" si="34"/>
        <v>0</v>
      </c>
      <c r="AD106" s="27">
        <f t="shared" si="35"/>
        <v>0</v>
      </c>
      <c r="AE106" s="27">
        <f t="shared" si="36"/>
        <v>0</v>
      </c>
      <c r="AF106" s="27">
        <f t="shared" si="37"/>
        <v>0</v>
      </c>
      <c r="AG106" s="27">
        <f t="shared" si="38"/>
        <v>0</v>
      </c>
      <c r="AH106" s="27">
        <f t="shared" si="39"/>
        <v>0</v>
      </c>
      <c r="AI106" s="20"/>
      <c r="AJ106" s="13">
        <f t="shared" si="40"/>
        <v>0</v>
      </c>
      <c r="AK106" s="13">
        <f t="shared" si="41"/>
        <v>0</v>
      </c>
      <c r="AL106" s="13">
        <f t="shared" si="42"/>
        <v>0</v>
      </c>
      <c r="AN106" s="27">
        <v>21</v>
      </c>
      <c r="AO106" s="27">
        <f>F106*0</f>
        <v>0</v>
      </c>
      <c r="AP106" s="27">
        <f>F106*(1-0)</f>
        <v>0</v>
      </c>
      <c r="AQ106" s="23" t="s">
        <v>7</v>
      </c>
      <c r="AV106" s="27">
        <f t="shared" si="43"/>
        <v>0</v>
      </c>
      <c r="AW106" s="27">
        <f t="shared" si="44"/>
        <v>0</v>
      </c>
      <c r="AX106" s="27">
        <f t="shared" si="45"/>
        <v>0</v>
      </c>
      <c r="AY106" s="28" t="s">
        <v>1055</v>
      </c>
      <c r="AZ106" s="28" t="s">
        <v>1093</v>
      </c>
      <c r="BA106" s="20" t="s">
        <v>1106</v>
      </c>
      <c r="BC106" s="27">
        <f t="shared" si="46"/>
        <v>0</v>
      </c>
      <c r="BD106" s="27">
        <f t="shared" si="47"/>
        <v>0</v>
      </c>
      <c r="BE106" s="27">
        <v>0</v>
      </c>
      <c r="BF106" s="27">
        <f t="shared" si="48"/>
        <v>0</v>
      </c>
      <c r="BH106" s="13">
        <f t="shared" si="49"/>
        <v>0</v>
      </c>
      <c r="BI106" s="13">
        <f t="shared" si="50"/>
        <v>0</v>
      </c>
      <c r="BJ106" s="13">
        <f t="shared" si="51"/>
        <v>0</v>
      </c>
    </row>
    <row r="107" spans="1:62" ht="12.75">
      <c r="A107" s="107" t="s">
        <v>52</v>
      </c>
      <c r="B107" s="108" t="s">
        <v>366</v>
      </c>
      <c r="C107" s="109" t="s">
        <v>697</v>
      </c>
      <c r="D107" s="205" t="s">
        <v>1005</v>
      </c>
      <c r="E107" s="110">
        <f>+E108</f>
        <v>330.05</v>
      </c>
      <c r="F107" s="132">
        <v>0</v>
      </c>
      <c r="G107" s="139">
        <f t="shared" si="28"/>
        <v>0</v>
      </c>
      <c r="H107" s="110">
        <f t="shared" si="29"/>
        <v>0</v>
      </c>
      <c r="I107" s="140">
        <f t="shared" si="30"/>
        <v>0</v>
      </c>
      <c r="J107" s="213">
        <v>0.00149</v>
      </c>
      <c r="K107" s="214">
        <f t="shared" si="31"/>
        <v>0.4917745</v>
      </c>
      <c r="L107" s="150" t="s">
        <v>1039</v>
      </c>
      <c r="Z107" s="27">
        <f t="shared" si="32"/>
        <v>0</v>
      </c>
      <c r="AB107" s="27">
        <f t="shared" si="33"/>
        <v>0</v>
      </c>
      <c r="AC107" s="27">
        <f t="shared" si="34"/>
        <v>0</v>
      </c>
      <c r="AD107" s="27">
        <f t="shared" si="35"/>
        <v>0</v>
      </c>
      <c r="AE107" s="27">
        <f t="shared" si="36"/>
        <v>0</v>
      </c>
      <c r="AF107" s="27">
        <f t="shared" si="37"/>
        <v>0</v>
      </c>
      <c r="AG107" s="27">
        <f t="shared" si="38"/>
        <v>0</v>
      </c>
      <c r="AH107" s="27">
        <f t="shared" si="39"/>
        <v>0</v>
      </c>
      <c r="AI107" s="20"/>
      <c r="AJ107" s="13">
        <f t="shared" si="40"/>
        <v>0</v>
      </c>
      <c r="AK107" s="13">
        <f t="shared" si="41"/>
        <v>0</v>
      </c>
      <c r="AL107" s="13">
        <f t="shared" si="42"/>
        <v>0</v>
      </c>
      <c r="AN107" s="27">
        <v>21</v>
      </c>
      <c r="AO107" s="27">
        <f>F107*0.166498844291407</f>
        <v>0</v>
      </c>
      <c r="AP107" s="27">
        <f>F107*(1-0.166498844291407)</f>
        <v>0</v>
      </c>
      <c r="AQ107" s="23" t="s">
        <v>7</v>
      </c>
      <c r="AV107" s="27">
        <f t="shared" si="43"/>
        <v>0</v>
      </c>
      <c r="AW107" s="27">
        <f t="shared" si="44"/>
        <v>0</v>
      </c>
      <c r="AX107" s="27">
        <f t="shared" si="45"/>
        <v>0</v>
      </c>
      <c r="AY107" s="28" t="s">
        <v>1055</v>
      </c>
      <c r="AZ107" s="28" t="s">
        <v>1093</v>
      </c>
      <c r="BA107" s="20" t="s">
        <v>1106</v>
      </c>
      <c r="BC107" s="27">
        <f t="shared" si="46"/>
        <v>0</v>
      </c>
      <c r="BD107" s="27">
        <f t="shared" si="47"/>
        <v>0</v>
      </c>
      <c r="BE107" s="27">
        <v>0</v>
      </c>
      <c r="BF107" s="27">
        <f t="shared" si="48"/>
        <v>0.4917745</v>
      </c>
      <c r="BH107" s="13">
        <f t="shared" si="49"/>
        <v>0</v>
      </c>
      <c r="BI107" s="13">
        <f t="shared" si="50"/>
        <v>0</v>
      </c>
      <c r="BJ107" s="13">
        <f t="shared" si="51"/>
        <v>0</v>
      </c>
    </row>
    <row r="108" spans="1:62" ht="12.75">
      <c r="A108" s="107"/>
      <c r="B108" s="108"/>
      <c r="C108" s="99" t="s">
        <v>1652</v>
      </c>
      <c r="D108" s="100" t="s">
        <v>1005</v>
      </c>
      <c r="E108" s="101">
        <f>+Výměry!E120</f>
        <v>330.05</v>
      </c>
      <c r="F108" s="132"/>
      <c r="G108" s="139"/>
      <c r="H108" s="110"/>
      <c r="I108" s="140"/>
      <c r="J108" s="213"/>
      <c r="K108" s="214"/>
      <c r="L108" s="150"/>
      <c r="Z108" s="27"/>
      <c r="AB108" s="27"/>
      <c r="AC108" s="27"/>
      <c r="AD108" s="27"/>
      <c r="AE108" s="27"/>
      <c r="AF108" s="27"/>
      <c r="AG108" s="27"/>
      <c r="AH108" s="27"/>
      <c r="AI108" s="20"/>
      <c r="AJ108" s="13"/>
      <c r="AK108" s="13"/>
      <c r="AL108" s="13"/>
      <c r="AN108" s="27"/>
      <c r="AO108" s="27"/>
      <c r="AP108" s="27"/>
      <c r="AQ108" s="23"/>
      <c r="AV108" s="27"/>
      <c r="AW108" s="27"/>
      <c r="AX108" s="27"/>
      <c r="AY108" s="28"/>
      <c r="AZ108" s="28"/>
      <c r="BA108" s="20"/>
      <c r="BC108" s="27"/>
      <c r="BD108" s="27"/>
      <c r="BE108" s="27"/>
      <c r="BF108" s="27"/>
      <c r="BH108" s="13"/>
      <c r="BI108" s="13"/>
      <c r="BJ108" s="13"/>
    </row>
    <row r="109" spans="1:62" ht="12.75">
      <c r="A109" s="107" t="s">
        <v>53</v>
      </c>
      <c r="B109" s="108" t="s">
        <v>367</v>
      </c>
      <c r="C109" s="109" t="s">
        <v>698</v>
      </c>
      <c r="D109" s="205" t="s">
        <v>1005</v>
      </c>
      <c r="E109" s="110">
        <f>+E110</f>
        <v>162.14999999999998</v>
      </c>
      <c r="F109" s="132">
        <v>0</v>
      </c>
      <c r="G109" s="139">
        <f t="shared" si="28"/>
        <v>0</v>
      </c>
      <c r="H109" s="110">
        <f t="shared" si="29"/>
        <v>0</v>
      </c>
      <c r="I109" s="140">
        <f t="shared" si="30"/>
        <v>0</v>
      </c>
      <c r="J109" s="213">
        <v>0.00149</v>
      </c>
      <c r="K109" s="214">
        <f t="shared" si="31"/>
        <v>0.24160349999999997</v>
      </c>
      <c r="L109" s="150" t="s">
        <v>1039</v>
      </c>
      <c r="Z109" s="27">
        <f t="shared" si="32"/>
        <v>0</v>
      </c>
      <c r="AB109" s="27">
        <f t="shared" si="33"/>
        <v>0</v>
      </c>
      <c r="AC109" s="27">
        <f t="shared" si="34"/>
        <v>0</v>
      </c>
      <c r="AD109" s="27">
        <f t="shared" si="35"/>
        <v>0</v>
      </c>
      <c r="AE109" s="27">
        <f t="shared" si="36"/>
        <v>0</v>
      </c>
      <c r="AF109" s="27">
        <f t="shared" si="37"/>
        <v>0</v>
      </c>
      <c r="AG109" s="27">
        <f t="shared" si="38"/>
        <v>0</v>
      </c>
      <c r="AH109" s="27">
        <f t="shared" si="39"/>
        <v>0</v>
      </c>
      <c r="AI109" s="20"/>
      <c r="AJ109" s="13">
        <f t="shared" si="40"/>
        <v>0</v>
      </c>
      <c r="AK109" s="13">
        <f t="shared" si="41"/>
        <v>0</v>
      </c>
      <c r="AL109" s="13">
        <f t="shared" si="42"/>
        <v>0</v>
      </c>
      <c r="AN109" s="27">
        <v>21</v>
      </c>
      <c r="AO109" s="27">
        <f>F109*0.153508580868134</f>
        <v>0</v>
      </c>
      <c r="AP109" s="27">
        <f>F109*(1-0.153508580868134)</f>
        <v>0</v>
      </c>
      <c r="AQ109" s="23" t="s">
        <v>7</v>
      </c>
      <c r="AV109" s="27">
        <f t="shared" si="43"/>
        <v>0</v>
      </c>
      <c r="AW109" s="27">
        <f t="shared" si="44"/>
        <v>0</v>
      </c>
      <c r="AX109" s="27">
        <f t="shared" si="45"/>
        <v>0</v>
      </c>
      <c r="AY109" s="28" t="s">
        <v>1055</v>
      </c>
      <c r="AZ109" s="28" t="s">
        <v>1093</v>
      </c>
      <c r="BA109" s="20" t="s">
        <v>1106</v>
      </c>
      <c r="BC109" s="27">
        <f t="shared" si="46"/>
        <v>0</v>
      </c>
      <c r="BD109" s="27">
        <f t="shared" si="47"/>
        <v>0</v>
      </c>
      <c r="BE109" s="27">
        <v>0</v>
      </c>
      <c r="BF109" s="27">
        <f t="shared" si="48"/>
        <v>0.24160349999999997</v>
      </c>
      <c r="BH109" s="13">
        <f t="shared" si="49"/>
        <v>0</v>
      </c>
      <c r="BI109" s="13">
        <f t="shared" si="50"/>
        <v>0</v>
      </c>
      <c r="BJ109" s="13">
        <f t="shared" si="51"/>
        <v>0</v>
      </c>
    </row>
    <row r="110" spans="1:62" ht="12.75">
      <c r="A110" s="107"/>
      <c r="B110" s="108"/>
      <c r="C110" s="99" t="s">
        <v>1655</v>
      </c>
      <c r="D110" s="100" t="s">
        <v>1005</v>
      </c>
      <c r="E110" s="101">
        <f>+Výměry!E141</f>
        <v>162.14999999999998</v>
      </c>
      <c r="F110" s="132"/>
      <c r="G110" s="139"/>
      <c r="H110" s="110"/>
      <c r="I110" s="140"/>
      <c r="J110" s="213"/>
      <c r="K110" s="214"/>
      <c r="L110" s="150"/>
      <c r="Z110" s="27"/>
      <c r="AB110" s="27"/>
      <c r="AC110" s="27"/>
      <c r="AD110" s="27"/>
      <c r="AE110" s="27"/>
      <c r="AF110" s="27"/>
      <c r="AG110" s="27"/>
      <c r="AH110" s="27"/>
      <c r="AI110" s="20"/>
      <c r="AJ110" s="13"/>
      <c r="AK110" s="13"/>
      <c r="AL110" s="13"/>
      <c r="AN110" s="27"/>
      <c r="AO110" s="27"/>
      <c r="AP110" s="27"/>
      <c r="AQ110" s="23"/>
      <c r="AV110" s="27"/>
      <c r="AW110" s="27"/>
      <c r="AX110" s="27"/>
      <c r="AY110" s="28"/>
      <c r="AZ110" s="28"/>
      <c r="BA110" s="20"/>
      <c r="BC110" s="27"/>
      <c r="BD110" s="27"/>
      <c r="BE110" s="27"/>
      <c r="BF110" s="27"/>
      <c r="BH110" s="13"/>
      <c r="BI110" s="13"/>
      <c r="BJ110" s="13"/>
    </row>
    <row r="111" spans="1:62" ht="12.75">
      <c r="A111" s="107" t="s">
        <v>54</v>
      </c>
      <c r="B111" s="108" t="s">
        <v>368</v>
      </c>
      <c r="C111" s="109" t="s">
        <v>699</v>
      </c>
      <c r="D111" s="205" t="s">
        <v>1005</v>
      </c>
      <c r="E111" s="110">
        <v>330.05</v>
      </c>
      <c r="F111" s="132">
        <v>0</v>
      </c>
      <c r="G111" s="139">
        <f t="shared" si="28"/>
        <v>0</v>
      </c>
      <c r="H111" s="110">
        <f t="shared" si="29"/>
        <v>0</v>
      </c>
      <c r="I111" s="140">
        <f t="shared" si="30"/>
        <v>0</v>
      </c>
      <c r="J111" s="213">
        <v>0</v>
      </c>
      <c r="K111" s="214">
        <f t="shared" si="31"/>
        <v>0</v>
      </c>
      <c r="L111" s="150" t="s">
        <v>1039</v>
      </c>
      <c r="Z111" s="27">
        <f t="shared" si="32"/>
        <v>0</v>
      </c>
      <c r="AB111" s="27">
        <f t="shared" si="33"/>
        <v>0</v>
      </c>
      <c r="AC111" s="27">
        <f t="shared" si="34"/>
        <v>0</v>
      </c>
      <c r="AD111" s="27">
        <f t="shared" si="35"/>
        <v>0</v>
      </c>
      <c r="AE111" s="27">
        <f t="shared" si="36"/>
        <v>0</v>
      </c>
      <c r="AF111" s="27">
        <f t="shared" si="37"/>
        <v>0</v>
      </c>
      <c r="AG111" s="27">
        <f t="shared" si="38"/>
        <v>0</v>
      </c>
      <c r="AH111" s="27">
        <f t="shared" si="39"/>
        <v>0</v>
      </c>
      <c r="AI111" s="20"/>
      <c r="AJ111" s="13">
        <f t="shared" si="40"/>
        <v>0</v>
      </c>
      <c r="AK111" s="13">
        <f t="shared" si="41"/>
        <v>0</v>
      </c>
      <c r="AL111" s="13">
        <f t="shared" si="42"/>
        <v>0</v>
      </c>
      <c r="AN111" s="27">
        <v>21</v>
      </c>
      <c r="AO111" s="27">
        <f>F111*0</f>
        <v>0</v>
      </c>
      <c r="AP111" s="27">
        <f>F111*(1-0)</f>
        <v>0</v>
      </c>
      <c r="AQ111" s="23" t="s">
        <v>7</v>
      </c>
      <c r="AV111" s="27">
        <f t="shared" si="43"/>
        <v>0</v>
      </c>
      <c r="AW111" s="27">
        <f t="shared" si="44"/>
        <v>0</v>
      </c>
      <c r="AX111" s="27">
        <f t="shared" si="45"/>
        <v>0</v>
      </c>
      <c r="AY111" s="28" t="s">
        <v>1055</v>
      </c>
      <c r="AZ111" s="28" t="s">
        <v>1093</v>
      </c>
      <c r="BA111" s="20" t="s">
        <v>1106</v>
      </c>
      <c r="BC111" s="27">
        <f t="shared" si="46"/>
        <v>0</v>
      </c>
      <c r="BD111" s="27">
        <f t="shared" si="47"/>
        <v>0</v>
      </c>
      <c r="BE111" s="27">
        <v>0</v>
      </c>
      <c r="BF111" s="27">
        <f t="shared" si="48"/>
        <v>0</v>
      </c>
      <c r="BH111" s="13">
        <f t="shared" si="49"/>
        <v>0</v>
      </c>
      <c r="BI111" s="13">
        <f t="shared" si="50"/>
        <v>0</v>
      </c>
      <c r="BJ111" s="13">
        <f t="shared" si="51"/>
        <v>0</v>
      </c>
    </row>
    <row r="112" spans="1:62" ht="12.75">
      <c r="A112" s="107" t="s">
        <v>55</v>
      </c>
      <c r="B112" s="108" t="s">
        <v>369</v>
      </c>
      <c r="C112" s="109" t="s">
        <v>700</v>
      </c>
      <c r="D112" s="205" t="s">
        <v>1005</v>
      </c>
      <c r="E112" s="110">
        <v>162.15</v>
      </c>
      <c r="F112" s="132">
        <v>0</v>
      </c>
      <c r="G112" s="139">
        <f t="shared" si="28"/>
        <v>0</v>
      </c>
      <c r="H112" s="110">
        <f t="shared" si="29"/>
        <v>0</v>
      </c>
      <c r="I112" s="140">
        <f t="shared" si="30"/>
        <v>0</v>
      </c>
      <c r="J112" s="213">
        <v>0</v>
      </c>
      <c r="K112" s="214">
        <f t="shared" si="31"/>
        <v>0</v>
      </c>
      <c r="L112" s="150" t="s">
        <v>1039</v>
      </c>
      <c r="Z112" s="27">
        <f t="shared" si="32"/>
        <v>0</v>
      </c>
      <c r="AB112" s="27">
        <f t="shared" si="33"/>
        <v>0</v>
      </c>
      <c r="AC112" s="27">
        <f t="shared" si="34"/>
        <v>0</v>
      </c>
      <c r="AD112" s="27">
        <f t="shared" si="35"/>
        <v>0</v>
      </c>
      <c r="AE112" s="27">
        <f t="shared" si="36"/>
        <v>0</v>
      </c>
      <c r="AF112" s="27">
        <f t="shared" si="37"/>
        <v>0</v>
      </c>
      <c r="AG112" s="27">
        <f t="shared" si="38"/>
        <v>0</v>
      </c>
      <c r="AH112" s="27">
        <f t="shared" si="39"/>
        <v>0</v>
      </c>
      <c r="AI112" s="20"/>
      <c r="AJ112" s="13">
        <f t="shared" si="40"/>
        <v>0</v>
      </c>
      <c r="AK112" s="13">
        <f t="shared" si="41"/>
        <v>0</v>
      </c>
      <c r="AL112" s="13">
        <f t="shared" si="42"/>
        <v>0</v>
      </c>
      <c r="AN112" s="27">
        <v>21</v>
      </c>
      <c r="AO112" s="27">
        <f>F112*0</f>
        <v>0</v>
      </c>
      <c r="AP112" s="27">
        <f>F112*(1-0)</f>
        <v>0</v>
      </c>
      <c r="AQ112" s="23" t="s">
        <v>7</v>
      </c>
      <c r="AV112" s="27">
        <f t="shared" si="43"/>
        <v>0</v>
      </c>
      <c r="AW112" s="27">
        <f t="shared" si="44"/>
        <v>0</v>
      </c>
      <c r="AX112" s="27">
        <f t="shared" si="45"/>
        <v>0</v>
      </c>
      <c r="AY112" s="28" t="s">
        <v>1055</v>
      </c>
      <c r="AZ112" s="28" t="s">
        <v>1093</v>
      </c>
      <c r="BA112" s="20" t="s">
        <v>1106</v>
      </c>
      <c r="BC112" s="27">
        <f t="shared" si="46"/>
        <v>0</v>
      </c>
      <c r="BD112" s="27">
        <f t="shared" si="47"/>
        <v>0</v>
      </c>
      <c r="BE112" s="27">
        <v>0</v>
      </c>
      <c r="BF112" s="27">
        <f t="shared" si="48"/>
        <v>0</v>
      </c>
      <c r="BH112" s="13">
        <f t="shared" si="49"/>
        <v>0</v>
      </c>
      <c r="BI112" s="13">
        <f t="shared" si="50"/>
        <v>0</v>
      </c>
      <c r="BJ112" s="13">
        <f t="shared" si="51"/>
        <v>0</v>
      </c>
    </row>
    <row r="113" spans="1:62" ht="12.75">
      <c r="A113" s="107" t="s">
        <v>56</v>
      </c>
      <c r="B113" s="108" t="s">
        <v>370</v>
      </c>
      <c r="C113" s="109" t="s">
        <v>701</v>
      </c>
      <c r="D113" s="205" t="s">
        <v>1006</v>
      </c>
      <c r="E113" s="110">
        <f>+E114</f>
        <v>177.01999999999998</v>
      </c>
      <c r="F113" s="132">
        <v>0</v>
      </c>
      <c r="G113" s="139">
        <f t="shared" si="28"/>
        <v>0</v>
      </c>
      <c r="H113" s="110">
        <f t="shared" si="29"/>
        <v>0</v>
      </c>
      <c r="I113" s="140">
        <f t="shared" si="30"/>
        <v>0</v>
      </c>
      <c r="J113" s="213">
        <v>0.00137</v>
      </c>
      <c r="K113" s="214">
        <f t="shared" si="31"/>
        <v>0.24251739999999997</v>
      </c>
      <c r="L113" s="150" t="s">
        <v>1039</v>
      </c>
      <c r="Z113" s="27">
        <f t="shared" si="32"/>
        <v>0</v>
      </c>
      <c r="AB113" s="27">
        <f t="shared" si="33"/>
        <v>0</v>
      </c>
      <c r="AC113" s="27">
        <f t="shared" si="34"/>
        <v>0</v>
      </c>
      <c r="AD113" s="27">
        <f t="shared" si="35"/>
        <v>0</v>
      </c>
      <c r="AE113" s="27">
        <f t="shared" si="36"/>
        <v>0</v>
      </c>
      <c r="AF113" s="27">
        <f t="shared" si="37"/>
        <v>0</v>
      </c>
      <c r="AG113" s="27">
        <f t="shared" si="38"/>
        <v>0</v>
      </c>
      <c r="AH113" s="27">
        <f t="shared" si="39"/>
        <v>0</v>
      </c>
      <c r="AI113" s="20"/>
      <c r="AJ113" s="13">
        <f t="shared" si="40"/>
        <v>0</v>
      </c>
      <c r="AK113" s="13">
        <f t="shared" si="41"/>
        <v>0</v>
      </c>
      <c r="AL113" s="13">
        <f t="shared" si="42"/>
        <v>0</v>
      </c>
      <c r="AN113" s="27">
        <v>21</v>
      </c>
      <c r="AO113" s="27">
        <f>F113*0.0643340939825822</f>
        <v>0</v>
      </c>
      <c r="AP113" s="27">
        <f>F113*(1-0.0643340939825822)</f>
        <v>0</v>
      </c>
      <c r="AQ113" s="23" t="s">
        <v>7</v>
      </c>
      <c r="AV113" s="27">
        <f t="shared" si="43"/>
        <v>0</v>
      </c>
      <c r="AW113" s="27">
        <f t="shared" si="44"/>
        <v>0</v>
      </c>
      <c r="AX113" s="27">
        <f t="shared" si="45"/>
        <v>0</v>
      </c>
      <c r="AY113" s="28" t="s">
        <v>1055</v>
      </c>
      <c r="AZ113" s="28" t="s">
        <v>1093</v>
      </c>
      <c r="BA113" s="20" t="s">
        <v>1106</v>
      </c>
      <c r="BC113" s="27">
        <f t="shared" si="46"/>
        <v>0</v>
      </c>
      <c r="BD113" s="27">
        <f t="shared" si="47"/>
        <v>0</v>
      </c>
      <c r="BE113" s="27">
        <v>0</v>
      </c>
      <c r="BF113" s="27">
        <f t="shared" si="48"/>
        <v>0.24251739999999997</v>
      </c>
      <c r="BH113" s="13">
        <f t="shared" si="49"/>
        <v>0</v>
      </c>
      <c r="BI113" s="13">
        <f t="shared" si="50"/>
        <v>0</v>
      </c>
      <c r="BJ113" s="13">
        <f t="shared" si="51"/>
        <v>0</v>
      </c>
    </row>
    <row r="114" spans="1:62" ht="12.75">
      <c r="A114" s="107"/>
      <c r="B114" s="108"/>
      <c r="C114" s="99" t="s">
        <v>1656</v>
      </c>
      <c r="D114" s="100" t="s">
        <v>1006</v>
      </c>
      <c r="E114" s="101">
        <f>+Výměry!E129</f>
        <v>177.01999999999998</v>
      </c>
      <c r="F114" s="132"/>
      <c r="G114" s="139"/>
      <c r="H114" s="110"/>
      <c r="I114" s="140"/>
      <c r="J114" s="213"/>
      <c r="K114" s="214"/>
      <c r="L114" s="150"/>
      <c r="Z114" s="27"/>
      <c r="AB114" s="27"/>
      <c r="AC114" s="27"/>
      <c r="AD114" s="27"/>
      <c r="AE114" s="27"/>
      <c r="AF114" s="27"/>
      <c r="AG114" s="27"/>
      <c r="AH114" s="27"/>
      <c r="AI114" s="20"/>
      <c r="AJ114" s="13"/>
      <c r="AK114" s="13"/>
      <c r="AL114" s="13"/>
      <c r="AN114" s="27"/>
      <c r="AO114" s="27"/>
      <c r="AP114" s="27"/>
      <c r="AQ114" s="23"/>
      <c r="AV114" s="27"/>
      <c r="AW114" s="27"/>
      <c r="AX114" s="27"/>
      <c r="AY114" s="28"/>
      <c r="AZ114" s="28"/>
      <c r="BA114" s="20"/>
      <c r="BC114" s="27"/>
      <c r="BD114" s="27"/>
      <c r="BE114" s="27"/>
      <c r="BF114" s="27"/>
      <c r="BH114" s="13"/>
      <c r="BI114" s="13"/>
      <c r="BJ114" s="13"/>
    </row>
    <row r="115" spans="1:62" ht="12.75">
      <c r="A115" s="107" t="s">
        <v>57</v>
      </c>
      <c r="B115" s="108" t="s">
        <v>371</v>
      </c>
      <c r="C115" s="109" t="s">
        <v>702</v>
      </c>
      <c r="D115" s="205" t="s">
        <v>1006</v>
      </c>
      <c r="E115" s="110">
        <f>+E116</f>
        <v>133.07</v>
      </c>
      <c r="F115" s="132">
        <v>0</v>
      </c>
      <c r="G115" s="139">
        <f t="shared" si="28"/>
        <v>0</v>
      </c>
      <c r="H115" s="110">
        <f t="shared" si="29"/>
        <v>0</v>
      </c>
      <c r="I115" s="140">
        <f t="shared" si="30"/>
        <v>0</v>
      </c>
      <c r="J115" s="213">
        <v>0.00139</v>
      </c>
      <c r="K115" s="214">
        <f t="shared" si="31"/>
        <v>0.18496729999999997</v>
      </c>
      <c r="L115" s="150" t="s">
        <v>1039</v>
      </c>
      <c r="Z115" s="27">
        <f t="shared" si="32"/>
        <v>0</v>
      </c>
      <c r="AB115" s="27">
        <f t="shared" si="33"/>
        <v>0</v>
      </c>
      <c r="AC115" s="27">
        <f t="shared" si="34"/>
        <v>0</v>
      </c>
      <c r="AD115" s="27">
        <f t="shared" si="35"/>
        <v>0</v>
      </c>
      <c r="AE115" s="27">
        <f t="shared" si="36"/>
        <v>0</v>
      </c>
      <c r="AF115" s="27">
        <f t="shared" si="37"/>
        <v>0</v>
      </c>
      <c r="AG115" s="27">
        <f t="shared" si="38"/>
        <v>0</v>
      </c>
      <c r="AH115" s="27">
        <f t="shared" si="39"/>
        <v>0</v>
      </c>
      <c r="AI115" s="20"/>
      <c r="AJ115" s="13">
        <f t="shared" si="40"/>
        <v>0</v>
      </c>
      <c r="AK115" s="13">
        <f t="shared" si="41"/>
        <v>0</v>
      </c>
      <c r="AL115" s="13">
        <f t="shared" si="42"/>
        <v>0</v>
      </c>
      <c r="AN115" s="27">
        <v>21</v>
      </c>
      <c r="AO115" s="27">
        <f>F115*0.0640176706640766</f>
        <v>0</v>
      </c>
      <c r="AP115" s="27">
        <f>F115*(1-0.0640176706640766)</f>
        <v>0</v>
      </c>
      <c r="AQ115" s="23" t="s">
        <v>7</v>
      </c>
      <c r="AV115" s="27">
        <f t="shared" si="43"/>
        <v>0</v>
      </c>
      <c r="AW115" s="27">
        <f t="shared" si="44"/>
        <v>0</v>
      </c>
      <c r="AX115" s="27">
        <f t="shared" si="45"/>
        <v>0</v>
      </c>
      <c r="AY115" s="28" t="s">
        <v>1055</v>
      </c>
      <c r="AZ115" s="28" t="s">
        <v>1093</v>
      </c>
      <c r="BA115" s="20" t="s">
        <v>1106</v>
      </c>
      <c r="BC115" s="27">
        <f t="shared" si="46"/>
        <v>0</v>
      </c>
      <c r="BD115" s="27">
        <f t="shared" si="47"/>
        <v>0</v>
      </c>
      <c r="BE115" s="27">
        <v>0</v>
      </c>
      <c r="BF115" s="27">
        <f t="shared" si="48"/>
        <v>0.18496729999999997</v>
      </c>
      <c r="BH115" s="13">
        <f t="shared" si="49"/>
        <v>0</v>
      </c>
      <c r="BI115" s="13">
        <f t="shared" si="50"/>
        <v>0</v>
      </c>
      <c r="BJ115" s="13">
        <f t="shared" si="51"/>
        <v>0</v>
      </c>
    </row>
    <row r="116" spans="1:62" ht="12.75">
      <c r="A116" s="107"/>
      <c r="B116" s="108"/>
      <c r="C116" s="99" t="s">
        <v>1657</v>
      </c>
      <c r="D116" s="100" t="s">
        <v>1006</v>
      </c>
      <c r="E116" s="101">
        <f>+Výměry!E135</f>
        <v>133.07</v>
      </c>
      <c r="F116" s="132"/>
      <c r="G116" s="139"/>
      <c r="H116" s="110"/>
      <c r="I116" s="140"/>
      <c r="J116" s="213"/>
      <c r="K116" s="214"/>
      <c r="L116" s="150"/>
      <c r="Z116" s="27"/>
      <c r="AB116" s="27"/>
      <c r="AC116" s="27"/>
      <c r="AD116" s="27"/>
      <c r="AE116" s="27"/>
      <c r="AF116" s="27"/>
      <c r="AG116" s="27"/>
      <c r="AH116" s="27"/>
      <c r="AI116" s="20"/>
      <c r="AJ116" s="13"/>
      <c r="AK116" s="13"/>
      <c r="AL116" s="13"/>
      <c r="AN116" s="27"/>
      <c r="AO116" s="27"/>
      <c r="AP116" s="27"/>
      <c r="AQ116" s="23"/>
      <c r="AV116" s="27"/>
      <c r="AW116" s="27"/>
      <c r="AX116" s="27"/>
      <c r="AY116" s="28"/>
      <c r="AZ116" s="28"/>
      <c r="BA116" s="20"/>
      <c r="BC116" s="27"/>
      <c r="BD116" s="27"/>
      <c r="BE116" s="27"/>
      <c r="BF116" s="27"/>
      <c r="BH116" s="13"/>
      <c r="BI116" s="13"/>
      <c r="BJ116" s="13"/>
    </row>
    <row r="117" spans="1:62" ht="12.75">
      <c r="A117" s="107" t="s">
        <v>58</v>
      </c>
      <c r="B117" s="108" t="s">
        <v>372</v>
      </c>
      <c r="C117" s="109" t="s">
        <v>703</v>
      </c>
      <c r="D117" s="205" t="s">
        <v>1006</v>
      </c>
      <c r="E117" s="110">
        <v>177.02</v>
      </c>
      <c r="F117" s="132">
        <v>0</v>
      </c>
      <c r="G117" s="139">
        <f t="shared" si="28"/>
        <v>0</v>
      </c>
      <c r="H117" s="110">
        <f t="shared" si="29"/>
        <v>0</v>
      </c>
      <c r="I117" s="140">
        <f t="shared" si="30"/>
        <v>0</v>
      </c>
      <c r="J117" s="213">
        <v>0</v>
      </c>
      <c r="K117" s="214">
        <f t="shared" si="31"/>
        <v>0</v>
      </c>
      <c r="L117" s="150" t="s">
        <v>1039</v>
      </c>
      <c r="Z117" s="27">
        <f t="shared" si="32"/>
        <v>0</v>
      </c>
      <c r="AB117" s="27">
        <f t="shared" si="33"/>
        <v>0</v>
      </c>
      <c r="AC117" s="27">
        <f t="shared" si="34"/>
        <v>0</v>
      </c>
      <c r="AD117" s="27">
        <f t="shared" si="35"/>
        <v>0</v>
      </c>
      <c r="AE117" s="27">
        <f t="shared" si="36"/>
        <v>0</v>
      </c>
      <c r="AF117" s="27">
        <f t="shared" si="37"/>
        <v>0</v>
      </c>
      <c r="AG117" s="27">
        <f t="shared" si="38"/>
        <v>0</v>
      </c>
      <c r="AH117" s="27">
        <f t="shared" si="39"/>
        <v>0</v>
      </c>
      <c r="AI117" s="20"/>
      <c r="AJ117" s="13">
        <f t="shared" si="40"/>
        <v>0</v>
      </c>
      <c r="AK117" s="13">
        <f t="shared" si="41"/>
        <v>0</v>
      </c>
      <c r="AL117" s="13">
        <f t="shared" si="42"/>
        <v>0</v>
      </c>
      <c r="AN117" s="27">
        <v>21</v>
      </c>
      <c r="AO117" s="27">
        <f>F117*0</f>
        <v>0</v>
      </c>
      <c r="AP117" s="27">
        <f>F117*(1-0)</f>
        <v>0</v>
      </c>
      <c r="AQ117" s="23" t="s">
        <v>7</v>
      </c>
      <c r="AV117" s="27">
        <f t="shared" si="43"/>
        <v>0</v>
      </c>
      <c r="AW117" s="27">
        <f t="shared" si="44"/>
        <v>0</v>
      </c>
      <c r="AX117" s="27">
        <f t="shared" si="45"/>
        <v>0</v>
      </c>
      <c r="AY117" s="28" t="s">
        <v>1055</v>
      </c>
      <c r="AZ117" s="28" t="s">
        <v>1093</v>
      </c>
      <c r="BA117" s="20" t="s">
        <v>1106</v>
      </c>
      <c r="BC117" s="27">
        <f t="shared" si="46"/>
        <v>0</v>
      </c>
      <c r="BD117" s="27">
        <f t="shared" si="47"/>
        <v>0</v>
      </c>
      <c r="BE117" s="27">
        <v>0</v>
      </c>
      <c r="BF117" s="27">
        <f t="shared" si="48"/>
        <v>0</v>
      </c>
      <c r="BH117" s="13">
        <f t="shared" si="49"/>
        <v>0</v>
      </c>
      <c r="BI117" s="13">
        <f t="shared" si="50"/>
        <v>0</v>
      </c>
      <c r="BJ117" s="13">
        <f t="shared" si="51"/>
        <v>0</v>
      </c>
    </row>
    <row r="118" spans="1:62" ht="12.75">
      <c r="A118" s="107" t="s">
        <v>59</v>
      </c>
      <c r="B118" s="108" t="s">
        <v>373</v>
      </c>
      <c r="C118" s="109" t="s">
        <v>704</v>
      </c>
      <c r="D118" s="205" t="s">
        <v>1006</v>
      </c>
      <c r="E118" s="110">
        <v>133.07</v>
      </c>
      <c r="F118" s="132">
        <v>0</v>
      </c>
      <c r="G118" s="139">
        <f t="shared" si="28"/>
        <v>0</v>
      </c>
      <c r="H118" s="110">
        <f t="shared" si="29"/>
        <v>0</v>
      </c>
      <c r="I118" s="140">
        <f t="shared" si="30"/>
        <v>0</v>
      </c>
      <c r="J118" s="213">
        <v>0</v>
      </c>
      <c r="K118" s="214">
        <f t="shared" si="31"/>
        <v>0</v>
      </c>
      <c r="L118" s="150" t="s">
        <v>1039</v>
      </c>
      <c r="Z118" s="27">
        <f t="shared" si="32"/>
        <v>0</v>
      </c>
      <c r="AB118" s="27">
        <f t="shared" si="33"/>
        <v>0</v>
      </c>
      <c r="AC118" s="27">
        <f t="shared" si="34"/>
        <v>0</v>
      </c>
      <c r="AD118" s="27">
        <f t="shared" si="35"/>
        <v>0</v>
      </c>
      <c r="AE118" s="27">
        <f t="shared" si="36"/>
        <v>0</v>
      </c>
      <c r="AF118" s="27">
        <f t="shared" si="37"/>
        <v>0</v>
      </c>
      <c r="AG118" s="27">
        <f t="shared" si="38"/>
        <v>0</v>
      </c>
      <c r="AH118" s="27">
        <f t="shared" si="39"/>
        <v>0</v>
      </c>
      <c r="AI118" s="20"/>
      <c r="AJ118" s="13">
        <f t="shared" si="40"/>
        <v>0</v>
      </c>
      <c r="AK118" s="13">
        <f t="shared" si="41"/>
        <v>0</v>
      </c>
      <c r="AL118" s="13">
        <f t="shared" si="42"/>
        <v>0</v>
      </c>
      <c r="AN118" s="27">
        <v>21</v>
      </c>
      <c r="AO118" s="27">
        <f>F118*0</f>
        <v>0</v>
      </c>
      <c r="AP118" s="27">
        <f>F118*(1-0)</f>
        <v>0</v>
      </c>
      <c r="AQ118" s="23" t="s">
        <v>7</v>
      </c>
      <c r="AV118" s="27">
        <f t="shared" si="43"/>
        <v>0</v>
      </c>
      <c r="AW118" s="27">
        <f t="shared" si="44"/>
        <v>0</v>
      </c>
      <c r="AX118" s="27">
        <f t="shared" si="45"/>
        <v>0</v>
      </c>
      <c r="AY118" s="28" t="s">
        <v>1055</v>
      </c>
      <c r="AZ118" s="28" t="s">
        <v>1093</v>
      </c>
      <c r="BA118" s="20" t="s">
        <v>1106</v>
      </c>
      <c r="BC118" s="27">
        <f t="shared" si="46"/>
        <v>0</v>
      </c>
      <c r="BD118" s="27">
        <f t="shared" si="47"/>
        <v>0</v>
      </c>
      <c r="BE118" s="27">
        <v>0</v>
      </c>
      <c r="BF118" s="27">
        <f t="shared" si="48"/>
        <v>0</v>
      </c>
      <c r="BH118" s="13">
        <f t="shared" si="49"/>
        <v>0</v>
      </c>
      <c r="BI118" s="13">
        <f t="shared" si="50"/>
        <v>0</v>
      </c>
      <c r="BJ118" s="13">
        <f t="shared" si="51"/>
        <v>0</v>
      </c>
    </row>
    <row r="119" spans="1:47" ht="12.75">
      <c r="A119" s="111"/>
      <c r="B119" s="112" t="s">
        <v>22</v>
      </c>
      <c r="C119" s="113" t="s">
        <v>705</v>
      </c>
      <c r="D119" s="206" t="s">
        <v>6</v>
      </c>
      <c r="E119" s="114" t="s">
        <v>6</v>
      </c>
      <c r="F119" s="133" t="s">
        <v>6</v>
      </c>
      <c r="G119" s="141">
        <f>SUM(G120:G159)</f>
        <v>0</v>
      </c>
      <c r="H119" s="115">
        <f>SUM(H120:H159)</f>
        <v>0</v>
      </c>
      <c r="I119" s="142">
        <f>SUM(I120:I159)</f>
        <v>0</v>
      </c>
      <c r="J119" s="215"/>
      <c r="K119" s="216">
        <f>SUM(K120:K159)</f>
        <v>0</v>
      </c>
      <c r="L119" s="151"/>
      <c r="AI119" s="20"/>
      <c r="AS119" s="29">
        <f>SUM(AJ120:AJ159)</f>
        <v>0</v>
      </c>
      <c r="AT119" s="29">
        <f>SUM(AK120:AK159)</f>
        <v>0</v>
      </c>
      <c r="AU119" s="29">
        <f>SUM(AL120:AL159)</f>
        <v>0</v>
      </c>
    </row>
    <row r="120" spans="1:62" ht="12.75">
      <c r="A120" s="107" t="s">
        <v>60</v>
      </c>
      <c r="B120" s="108" t="s">
        <v>374</v>
      </c>
      <c r="C120" s="109" t="s">
        <v>706</v>
      </c>
      <c r="D120" s="205" t="s">
        <v>1006</v>
      </c>
      <c r="E120" s="110">
        <f>+E121</f>
        <v>487.91332</v>
      </c>
      <c r="F120" s="132">
        <v>0</v>
      </c>
      <c r="G120" s="139">
        <f aca="true" t="shared" si="52" ref="G120:G159">E120*AO120</f>
        <v>0</v>
      </c>
      <c r="H120" s="110">
        <f aca="true" t="shared" si="53" ref="H120:H159">E120*AP120</f>
        <v>0</v>
      </c>
      <c r="I120" s="140">
        <f aca="true" t="shared" si="54" ref="I120:I159">E120*F120</f>
        <v>0</v>
      </c>
      <c r="J120" s="213">
        <v>0</v>
      </c>
      <c r="K120" s="214">
        <f aca="true" t="shared" si="55" ref="K120:K159">E120*J120</f>
        <v>0</v>
      </c>
      <c r="L120" s="150" t="s">
        <v>1039</v>
      </c>
      <c r="Z120" s="27">
        <f aca="true" t="shared" si="56" ref="Z120:Z159">IF(AQ120="5",BJ120,0)</f>
        <v>0</v>
      </c>
      <c r="AB120" s="27">
        <f aca="true" t="shared" si="57" ref="AB120:AB159">IF(AQ120="1",BH120,0)</f>
        <v>0</v>
      </c>
      <c r="AC120" s="27">
        <f aca="true" t="shared" si="58" ref="AC120:AC159">IF(AQ120="1",BI120,0)</f>
        <v>0</v>
      </c>
      <c r="AD120" s="27">
        <f aca="true" t="shared" si="59" ref="AD120:AD159">IF(AQ120="7",BH120,0)</f>
        <v>0</v>
      </c>
      <c r="AE120" s="27">
        <f aca="true" t="shared" si="60" ref="AE120:AE159">IF(AQ120="7",BI120,0)</f>
        <v>0</v>
      </c>
      <c r="AF120" s="27">
        <f aca="true" t="shared" si="61" ref="AF120:AF159">IF(AQ120="2",BH120,0)</f>
        <v>0</v>
      </c>
      <c r="AG120" s="27">
        <f aca="true" t="shared" si="62" ref="AG120:AG159">IF(AQ120="2",BI120,0)</f>
        <v>0</v>
      </c>
      <c r="AH120" s="27">
        <f aca="true" t="shared" si="63" ref="AH120:AH159">IF(AQ120="0",BJ120,0)</f>
        <v>0</v>
      </c>
      <c r="AI120" s="20"/>
      <c r="AJ120" s="13">
        <f aca="true" t="shared" si="64" ref="AJ120:AJ159">IF(AN120=0,I120,0)</f>
        <v>0</v>
      </c>
      <c r="AK120" s="13">
        <f aca="true" t="shared" si="65" ref="AK120:AK159">IF(AN120=15,I120,0)</f>
        <v>0</v>
      </c>
      <c r="AL120" s="13">
        <f aca="true" t="shared" si="66" ref="AL120:AL159">IF(AN120=21,I120,0)</f>
        <v>0</v>
      </c>
      <c r="AN120" s="27">
        <v>21</v>
      </c>
      <c r="AO120" s="27">
        <f aca="true" t="shared" si="67" ref="AO120:AO159">F120*0</f>
        <v>0</v>
      </c>
      <c r="AP120" s="27">
        <f aca="true" t="shared" si="68" ref="AP120:AP159">F120*(1-0)</f>
        <v>0</v>
      </c>
      <c r="AQ120" s="23" t="s">
        <v>7</v>
      </c>
      <c r="AV120" s="27">
        <f aca="true" t="shared" si="69" ref="AV120:AV159">AW120+AX120</f>
        <v>0</v>
      </c>
      <c r="AW120" s="27">
        <f aca="true" t="shared" si="70" ref="AW120:AW159">E120*AO120</f>
        <v>0</v>
      </c>
      <c r="AX120" s="27">
        <f aca="true" t="shared" si="71" ref="AX120:AX159">E120*AP120</f>
        <v>0</v>
      </c>
      <c r="AY120" s="28" t="s">
        <v>1056</v>
      </c>
      <c r="AZ120" s="28" t="s">
        <v>1093</v>
      </c>
      <c r="BA120" s="20" t="s">
        <v>1106</v>
      </c>
      <c r="BC120" s="27">
        <f aca="true" t="shared" si="72" ref="BC120:BC159">AW120+AX120</f>
        <v>0</v>
      </c>
      <c r="BD120" s="27">
        <f aca="true" t="shared" si="73" ref="BD120:BD159">F120/(100-BE120)*100</f>
        <v>0</v>
      </c>
      <c r="BE120" s="27">
        <v>0</v>
      </c>
      <c r="BF120" s="27">
        <f aca="true" t="shared" si="74" ref="BF120:BF159">K120</f>
        <v>0</v>
      </c>
      <c r="BH120" s="13">
        <f aca="true" t="shared" si="75" ref="BH120:BH159">E120*AO120</f>
        <v>0</v>
      </c>
      <c r="BI120" s="13">
        <f aca="true" t="shared" si="76" ref="BI120:BI159">E120*AP120</f>
        <v>0</v>
      </c>
      <c r="BJ120" s="13">
        <f aca="true" t="shared" si="77" ref="BJ120:BJ159">E120*F120</f>
        <v>0</v>
      </c>
    </row>
    <row r="121" spans="1:62" ht="12.75">
      <c r="A121" s="107"/>
      <c r="B121" s="108"/>
      <c r="C121" s="99" t="s">
        <v>1658</v>
      </c>
      <c r="D121" s="100" t="s">
        <v>1006</v>
      </c>
      <c r="E121" s="101">
        <f>+Výměry!E149</f>
        <v>487.91332</v>
      </c>
      <c r="F121" s="132"/>
      <c r="G121" s="139"/>
      <c r="H121" s="110"/>
      <c r="I121" s="140"/>
      <c r="J121" s="213"/>
      <c r="K121" s="214"/>
      <c r="L121" s="150"/>
      <c r="Z121" s="27"/>
      <c r="AB121" s="27"/>
      <c r="AC121" s="27"/>
      <c r="AD121" s="27"/>
      <c r="AE121" s="27"/>
      <c r="AF121" s="27"/>
      <c r="AG121" s="27"/>
      <c r="AH121" s="27"/>
      <c r="AI121" s="20"/>
      <c r="AJ121" s="13"/>
      <c r="AK121" s="13"/>
      <c r="AL121" s="13"/>
      <c r="AN121" s="27"/>
      <c r="AO121" s="27"/>
      <c r="AP121" s="27"/>
      <c r="AQ121" s="23"/>
      <c r="AV121" s="27"/>
      <c r="AW121" s="27"/>
      <c r="AX121" s="27"/>
      <c r="AY121" s="28"/>
      <c r="AZ121" s="28"/>
      <c r="BA121" s="20"/>
      <c r="BC121" s="27"/>
      <c r="BD121" s="27"/>
      <c r="BE121" s="27"/>
      <c r="BF121" s="27"/>
      <c r="BH121" s="13"/>
      <c r="BI121" s="13"/>
      <c r="BJ121" s="13"/>
    </row>
    <row r="122" spans="1:62" ht="12.75">
      <c r="A122" s="107" t="s">
        <v>61</v>
      </c>
      <c r="B122" s="108" t="s">
        <v>375</v>
      </c>
      <c r="C122" s="109" t="s">
        <v>707</v>
      </c>
      <c r="D122" s="205" t="s">
        <v>1006</v>
      </c>
      <c r="E122" s="110">
        <f>+E123</f>
        <v>1769.2166045500005</v>
      </c>
      <c r="F122" s="132">
        <v>0</v>
      </c>
      <c r="G122" s="139">
        <f t="shared" si="52"/>
        <v>0</v>
      </c>
      <c r="H122" s="110">
        <f t="shared" si="53"/>
        <v>0</v>
      </c>
      <c r="I122" s="140">
        <f t="shared" si="54"/>
        <v>0</v>
      </c>
      <c r="J122" s="213">
        <v>0</v>
      </c>
      <c r="K122" s="214">
        <f t="shared" si="55"/>
        <v>0</v>
      </c>
      <c r="L122" s="150" t="s">
        <v>1039</v>
      </c>
      <c r="Z122" s="27">
        <f t="shared" si="56"/>
        <v>0</v>
      </c>
      <c r="AB122" s="27">
        <f t="shared" si="57"/>
        <v>0</v>
      </c>
      <c r="AC122" s="27">
        <f t="shared" si="58"/>
        <v>0</v>
      </c>
      <c r="AD122" s="27">
        <f t="shared" si="59"/>
        <v>0</v>
      </c>
      <c r="AE122" s="27">
        <f t="shared" si="60"/>
        <v>0</v>
      </c>
      <c r="AF122" s="27">
        <f t="shared" si="61"/>
        <v>0</v>
      </c>
      <c r="AG122" s="27">
        <f t="shared" si="62"/>
        <v>0</v>
      </c>
      <c r="AH122" s="27">
        <f t="shared" si="63"/>
        <v>0</v>
      </c>
      <c r="AI122" s="20"/>
      <c r="AJ122" s="13">
        <f t="shared" si="64"/>
        <v>0</v>
      </c>
      <c r="AK122" s="13">
        <f t="shared" si="65"/>
        <v>0</v>
      </c>
      <c r="AL122" s="13">
        <f t="shared" si="66"/>
        <v>0</v>
      </c>
      <c r="AN122" s="27">
        <v>21</v>
      </c>
      <c r="AO122" s="27">
        <f t="shared" si="67"/>
        <v>0</v>
      </c>
      <c r="AP122" s="27">
        <f t="shared" si="68"/>
        <v>0</v>
      </c>
      <c r="AQ122" s="23" t="s">
        <v>7</v>
      </c>
      <c r="AV122" s="27">
        <f t="shared" si="69"/>
        <v>0</v>
      </c>
      <c r="AW122" s="27">
        <f t="shared" si="70"/>
        <v>0</v>
      </c>
      <c r="AX122" s="27">
        <f t="shared" si="71"/>
        <v>0</v>
      </c>
      <c r="AY122" s="28" t="s">
        <v>1056</v>
      </c>
      <c r="AZ122" s="28" t="s">
        <v>1093</v>
      </c>
      <c r="BA122" s="20" t="s">
        <v>1106</v>
      </c>
      <c r="BC122" s="27">
        <f t="shared" si="72"/>
        <v>0</v>
      </c>
      <c r="BD122" s="27">
        <f t="shared" si="73"/>
        <v>0</v>
      </c>
      <c r="BE122" s="27">
        <v>0</v>
      </c>
      <c r="BF122" s="27">
        <f t="shared" si="74"/>
        <v>0</v>
      </c>
      <c r="BH122" s="13">
        <f t="shared" si="75"/>
        <v>0</v>
      </c>
      <c r="BI122" s="13">
        <f t="shared" si="76"/>
        <v>0</v>
      </c>
      <c r="BJ122" s="13">
        <f t="shared" si="77"/>
        <v>0</v>
      </c>
    </row>
    <row r="123" spans="1:62" ht="12.75">
      <c r="A123" s="107"/>
      <c r="B123" s="108"/>
      <c r="C123" s="99" t="s">
        <v>1659</v>
      </c>
      <c r="D123" s="100" t="s">
        <v>1006</v>
      </c>
      <c r="E123" s="101">
        <f>+Výměry!E177</f>
        <v>1769.2166045500005</v>
      </c>
      <c r="F123" s="132"/>
      <c r="G123" s="139"/>
      <c r="H123" s="110"/>
      <c r="I123" s="140"/>
      <c r="J123" s="213"/>
      <c r="K123" s="214"/>
      <c r="L123" s="150"/>
      <c r="Z123" s="27"/>
      <c r="AB123" s="27"/>
      <c r="AC123" s="27"/>
      <c r="AD123" s="27"/>
      <c r="AE123" s="27"/>
      <c r="AF123" s="27"/>
      <c r="AG123" s="27"/>
      <c r="AH123" s="27"/>
      <c r="AI123" s="20"/>
      <c r="AJ123" s="13"/>
      <c r="AK123" s="13"/>
      <c r="AL123" s="13"/>
      <c r="AN123" s="27"/>
      <c r="AO123" s="27"/>
      <c r="AP123" s="27"/>
      <c r="AQ123" s="23"/>
      <c r="AV123" s="27"/>
      <c r="AW123" s="27"/>
      <c r="AX123" s="27"/>
      <c r="AY123" s="28"/>
      <c r="AZ123" s="28"/>
      <c r="BA123" s="20"/>
      <c r="BC123" s="27"/>
      <c r="BD123" s="27"/>
      <c r="BE123" s="27"/>
      <c r="BF123" s="27"/>
      <c r="BH123" s="13"/>
      <c r="BI123" s="13"/>
      <c r="BJ123" s="13"/>
    </row>
    <row r="124" spans="1:62" ht="12.75">
      <c r="A124" s="107" t="s">
        <v>62</v>
      </c>
      <c r="B124" s="108" t="s">
        <v>376</v>
      </c>
      <c r="C124" s="109" t="s">
        <v>708</v>
      </c>
      <c r="D124" s="205" t="s">
        <v>1006</v>
      </c>
      <c r="E124" s="110">
        <f>+E125</f>
        <v>270.36062</v>
      </c>
      <c r="F124" s="132">
        <v>0</v>
      </c>
      <c r="G124" s="139">
        <f t="shared" si="52"/>
        <v>0</v>
      </c>
      <c r="H124" s="110">
        <f t="shared" si="53"/>
        <v>0</v>
      </c>
      <c r="I124" s="140">
        <f t="shared" si="54"/>
        <v>0</v>
      </c>
      <c r="J124" s="213">
        <v>0</v>
      </c>
      <c r="K124" s="214">
        <f t="shared" si="55"/>
        <v>0</v>
      </c>
      <c r="L124" s="150" t="s">
        <v>1039</v>
      </c>
      <c r="Z124" s="27">
        <f t="shared" si="56"/>
        <v>0</v>
      </c>
      <c r="AB124" s="27">
        <f t="shared" si="57"/>
        <v>0</v>
      </c>
      <c r="AC124" s="27">
        <f t="shared" si="58"/>
        <v>0</v>
      </c>
      <c r="AD124" s="27">
        <f t="shared" si="59"/>
        <v>0</v>
      </c>
      <c r="AE124" s="27">
        <f t="shared" si="60"/>
        <v>0</v>
      </c>
      <c r="AF124" s="27">
        <f t="shared" si="61"/>
        <v>0</v>
      </c>
      <c r="AG124" s="27">
        <f t="shared" si="62"/>
        <v>0</v>
      </c>
      <c r="AH124" s="27">
        <f t="shared" si="63"/>
        <v>0</v>
      </c>
      <c r="AI124" s="20"/>
      <c r="AJ124" s="13">
        <f t="shared" si="64"/>
        <v>0</v>
      </c>
      <c r="AK124" s="13">
        <f t="shared" si="65"/>
        <v>0</v>
      </c>
      <c r="AL124" s="13">
        <f t="shared" si="66"/>
        <v>0</v>
      </c>
      <c r="AN124" s="27">
        <v>21</v>
      </c>
      <c r="AO124" s="27">
        <f t="shared" si="67"/>
        <v>0</v>
      </c>
      <c r="AP124" s="27">
        <f t="shared" si="68"/>
        <v>0</v>
      </c>
      <c r="AQ124" s="23" t="s">
        <v>7</v>
      </c>
      <c r="AV124" s="27">
        <f t="shared" si="69"/>
        <v>0</v>
      </c>
      <c r="AW124" s="27">
        <f t="shared" si="70"/>
        <v>0</v>
      </c>
      <c r="AX124" s="27">
        <f t="shared" si="71"/>
        <v>0</v>
      </c>
      <c r="AY124" s="28" t="s">
        <v>1056</v>
      </c>
      <c r="AZ124" s="28" t="s">
        <v>1093</v>
      </c>
      <c r="BA124" s="20" t="s">
        <v>1106</v>
      </c>
      <c r="BC124" s="27">
        <f t="shared" si="72"/>
        <v>0</v>
      </c>
      <c r="BD124" s="27">
        <f t="shared" si="73"/>
        <v>0</v>
      </c>
      <c r="BE124" s="27">
        <v>0</v>
      </c>
      <c r="BF124" s="27">
        <f t="shared" si="74"/>
        <v>0</v>
      </c>
      <c r="BH124" s="13">
        <f t="shared" si="75"/>
        <v>0</v>
      </c>
      <c r="BI124" s="13">
        <f t="shared" si="76"/>
        <v>0</v>
      </c>
      <c r="BJ124" s="13">
        <f t="shared" si="77"/>
        <v>0</v>
      </c>
    </row>
    <row r="125" spans="1:62" ht="12.75">
      <c r="A125" s="107"/>
      <c r="B125" s="108"/>
      <c r="C125" s="99" t="s">
        <v>1660</v>
      </c>
      <c r="D125" s="100" t="s">
        <v>1006</v>
      </c>
      <c r="E125" s="101">
        <f>+Výměry!E198</f>
        <v>270.36062</v>
      </c>
      <c r="F125" s="132"/>
      <c r="G125" s="139"/>
      <c r="H125" s="110"/>
      <c r="I125" s="140"/>
      <c r="J125" s="213"/>
      <c r="K125" s="214"/>
      <c r="L125" s="150"/>
      <c r="Z125" s="27"/>
      <c r="AB125" s="27"/>
      <c r="AC125" s="27"/>
      <c r="AD125" s="27"/>
      <c r="AE125" s="27"/>
      <c r="AF125" s="27"/>
      <c r="AG125" s="27"/>
      <c r="AH125" s="27"/>
      <c r="AI125" s="20"/>
      <c r="AJ125" s="13"/>
      <c r="AK125" s="13"/>
      <c r="AL125" s="13"/>
      <c r="AN125" s="27"/>
      <c r="AO125" s="27"/>
      <c r="AP125" s="27"/>
      <c r="AQ125" s="23"/>
      <c r="AV125" s="27"/>
      <c r="AW125" s="27"/>
      <c r="AX125" s="27"/>
      <c r="AY125" s="28"/>
      <c r="AZ125" s="28"/>
      <c r="BA125" s="20"/>
      <c r="BC125" s="27"/>
      <c r="BD125" s="27"/>
      <c r="BE125" s="27"/>
      <c r="BF125" s="27"/>
      <c r="BH125" s="13"/>
      <c r="BI125" s="13"/>
      <c r="BJ125" s="13"/>
    </row>
    <row r="126" spans="1:62" ht="12.75">
      <c r="A126" s="107" t="s">
        <v>63</v>
      </c>
      <c r="B126" s="108" t="s">
        <v>377</v>
      </c>
      <c r="C126" s="109" t="s">
        <v>709</v>
      </c>
      <c r="D126" s="205" t="s">
        <v>1006</v>
      </c>
      <c r="E126" s="110">
        <f>+E127</f>
        <v>8.29</v>
      </c>
      <c r="F126" s="132">
        <v>0</v>
      </c>
      <c r="G126" s="139">
        <f t="shared" si="52"/>
        <v>0</v>
      </c>
      <c r="H126" s="110">
        <f t="shared" si="53"/>
        <v>0</v>
      </c>
      <c r="I126" s="140">
        <f t="shared" si="54"/>
        <v>0</v>
      </c>
      <c r="J126" s="213">
        <v>0</v>
      </c>
      <c r="K126" s="214">
        <f t="shared" si="55"/>
        <v>0</v>
      </c>
      <c r="L126" s="150" t="s">
        <v>1039</v>
      </c>
      <c r="Z126" s="27">
        <f t="shared" si="56"/>
        <v>0</v>
      </c>
      <c r="AB126" s="27">
        <f t="shared" si="57"/>
        <v>0</v>
      </c>
      <c r="AC126" s="27">
        <f t="shared" si="58"/>
        <v>0</v>
      </c>
      <c r="AD126" s="27">
        <f t="shared" si="59"/>
        <v>0</v>
      </c>
      <c r="AE126" s="27">
        <f t="shared" si="60"/>
        <v>0</v>
      </c>
      <c r="AF126" s="27">
        <f t="shared" si="61"/>
        <v>0</v>
      </c>
      <c r="AG126" s="27">
        <f t="shared" si="62"/>
        <v>0</v>
      </c>
      <c r="AH126" s="27">
        <f t="shared" si="63"/>
        <v>0</v>
      </c>
      <c r="AI126" s="20"/>
      <c r="AJ126" s="13">
        <f t="shared" si="64"/>
        <v>0</v>
      </c>
      <c r="AK126" s="13">
        <f t="shared" si="65"/>
        <v>0</v>
      </c>
      <c r="AL126" s="13">
        <f t="shared" si="66"/>
        <v>0</v>
      </c>
      <c r="AN126" s="27">
        <v>21</v>
      </c>
      <c r="AO126" s="27">
        <f t="shared" si="67"/>
        <v>0</v>
      </c>
      <c r="AP126" s="27">
        <f t="shared" si="68"/>
        <v>0</v>
      </c>
      <c r="AQ126" s="23" t="s">
        <v>7</v>
      </c>
      <c r="AV126" s="27">
        <f t="shared" si="69"/>
        <v>0</v>
      </c>
      <c r="AW126" s="27">
        <f t="shared" si="70"/>
        <v>0</v>
      </c>
      <c r="AX126" s="27">
        <f t="shared" si="71"/>
        <v>0</v>
      </c>
      <c r="AY126" s="28" t="s">
        <v>1056</v>
      </c>
      <c r="AZ126" s="28" t="s">
        <v>1093</v>
      </c>
      <c r="BA126" s="20" t="s">
        <v>1106</v>
      </c>
      <c r="BC126" s="27">
        <f t="shared" si="72"/>
        <v>0</v>
      </c>
      <c r="BD126" s="27">
        <f t="shared" si="73"/>
        <v>0</v>
      </c>
      <c r="BE126" s="27">
        <v>0</v>
      </c>
      <c r="BF126" s="27">
        <f t="shared" si="74"/>
        <v>0</v>
      </c>
      <c r="BH126" s="13">
        <f t="shared" si="75"/>
        <v>0</v>
      </c>
      <c r="BI126" s="13">
        <f t="shared" si="76"/>
        <v>0</v>
      </c>
      <c r="BJ126" s="13">
        <f t="shared" si="77"/>
        <v>0</v>
      </c>
    </row>
    <row r="127" spans="1:62" ht="12.75">
      <c r="A127" s="107"/>
      <c r="B127" s="108"/>
      <c r="C127" s="99" t="s">
        <v>1661</v>
      </c>
      <c r="D127" s="100" t="s">
        <v>1006</v>
      </c>
      <c r="E127" s="101">
        <f>+E67+E70</f>
        <v>8.29</v>
      </c>
      <c r="F127" s="132"/>
      <c r="G127" s="139"/>
      <c r="H127" s="110"/>
      <c r="I127" s="140"/>
      <c r="J127" s="213"/>
      <c r="K127" s="214"/>
      <c r="L127" s="150"/>
      <c r="Z127" s="27"/>
      <c r="AB127" s="27"/>
      <c r="AC127" s="27"/>
      <c r="AD127" s="27"/>
      <c r="AE127" s="27"/>
      <c r="AF127" s="27"/>
      <c r="AG127" s="27"/>
      <c r="AH127" s="27"/>
      <c r="AI127" s="20"/>
      <c r="AJ127" s="13"/>
      <c r="AK127" s="13"/>
      <c r="AL127" s="13"/>
      <c r="AN127" s="27"/>
      <c r="AO127" s="27"/>
      <c r="AP127" s="27"/>
      <c r="AQ127" s="23"/>
      <c r="AV127" s="27"/>
      <c r="AW127" s="27"/>
      <c r="AX127" s="27"/>
      <c r="AY127" s="28"/>
      <c r="AZ127" s="28"/>
      <c r="BA127" s="20"/>
      <c r="BC127" s="27"/>
      <c r="BD127" s="27"/>
      <c r="BE127" s="27"/>
      <c r="BF127" s="27"/>
      <c r="BH127" s="13"/>
      <c r="BI127" s="13"/>
      <c r="BJ127" s="13"/>
    </row>
    <row r="128" spans="1:62" ht="12.75">
      <c r="A128" s="107" t="s">
        <v>64</v>
      </c>
      <c r="B128" s="108" t="s">
        <v>378</v>
      </c>
      <c r="C128" s="109" t="s">
        <v>710</v>
      </c>
      <c r="D128" s="205" t="s">
        <v>1007</v>
      </c>
      <c r="E128" s="110">
        <f>+E21</f>
        <v>19</v>
      </c>
      <c r="F128" s="132">
        <v>0</v>
      </c>
      <c r="G128" s="139">
        <f t="shared" si="52"/>
        <v>0</v>
      </c>
      <c r="H128" s="110">
        <f t="shared" si="53"/>
        <v>0</v>
      </c>
      <c r="I128" s="140">
        <f t="shared" si="54"/>
        <v>0</v>
      </c>
      <c r="J128" s="213">
        <v>0</v>
      </c>
      <c r="K128" s="214">
        <f t="shared" si="55"/>
        <v>0</v>
      </c>
      <c r="L128" s="150" t="s">
        <v>1039</v>
      </c>
      <c r="Z128" s="27">
        <f t="shared" si="56"/>
        <v>0</v>
      </c>
      <c r="AB128" s="27">
        <f t="shared" si="57"/>
        <v>0</v>
      </c>
      <c r="AC128" s="27">
        <f t="shared" si="58"/>
        <v>0</v>
      </c>
      <c r="AD128" s="27">
        <f t="shared" si="59"/>
        <v>0</v>
      </c>
      <c r="AE128" s="27">
        <f t="shared" si="60"/>
        <v>0</v>
      </c>
      <c r="AF128" s="27">
        <f t="shared" si="61"/>
        <v>0</v>
      </c>
      <c r="AG128" s="27">
        <f t="shared" si="62"/>
        <v>0</v>
      </c>
      <c r="AH128" s="27">
        <f t="shared" si="63"/>
        <v>0</v>
      </c>
      <c r="AI128" s="20"/>
      <c r="AJ128" s="13">
        <f t="shared" si="64"/>
        <v>0</v>
      </c>
      <c r="AK128" s="13">
        <f t="shared" si="65"/>
        <v>0</v>
      </c>
      <c r="AL128" s="13">
        <f t="shared" si="66"/>
        <v>0</v>
      </c>
      <c r="AN128" s="27">
        <v>21</v>
      </c>
      <c r="AO128" s="27">
        <f t="shared" si="67"/>
        <v>0</v>
      </c>
      <c r="AP128" s="27">
        <f t="shared" si="68"/>
        <v>0</v>
      </c>
      <c r="AQ128" s="23" t="s">
        <v>7</v>
      </c>
      <c r="AV128" s="27">
        <f t="shared" si="69"/>
        <v>0</v>
      </c>
      <c r="AW128" s="27">
        <f t="shared" si="70"/>
        <v>0</v>
      </c>
      <c r="AX128" s="27">
        <f t="shared" si="71"/>
        <v>0</v>
      </c>
      <c r="AY128" s="28" t="s">
        <v>1056</v>
      </c>
      <c r="AZ128" s="28" t="s">
        <v>1093</v>
      </c>
      <c r="BA128" s="20" t="s">
        <v>1106</v>
      </c>
      <c r="BC128" s="27">
        <f t="shared" si="72"/>
        <v>0</v>
      </c>
      <c r="BD128" s="27">
        <f t="shared" si="73"/>
        <v>0</v>
      </c>
      <c r="BE128" s="27">
        <v>0</v>
      </c>
      <c r="BF128" s="27">
        <f t="shared" si="74"/>
        <v>0</v>
      </c>
      <c r="BH128" s="13">
        <f t="shared" si="75"/>
        <v>0</v>
      </c>
      <c r="BI128" s="13">
        <f t="shared" si="76"/>
        <v>0</v>
      </c>
      <c r="BJ128" s="13">
        <f t="shared" si="77"/>
        <v>0</v>
      </c>
    </row>
    <row r="129" spans="1:62" ht="12.75">
      <c r="A129" s="107"/>
      <c r="B129" s="108"/>
      <c r="C129" s="99" t="s">
        <v>1618</v>
      </c>
      <c r="D129" s="100"/>
      <c r="E129" s="101"/>
      <c r="F129" s="132"/>
      <c r="G129" s="139"/>
      <c r="H129" s="110"/>
      <c r="I129" s="140"/>
      <c r="J129" s="213"/>
      <c r="K129" s="214"/>
      <c r="L129" s="150"/>
      <c r="Z129" s="27"/>
      <c r="AB129" s="27"/>
      <c r="AC129" s="27"/>
      <c r="AD129" s="27"/>
      <c r="AE129" s="27"/>
      <c r="AF129" s="27"/>
      <c r="AG129" s="27"/>
      <c r="AH129" s="27"/>
      <c r="AI129" s="20"/>
      <c r="AJ129" s="13"/>
      <c r="AK129" s="13"/>
      <c r="AL129" s="13"/>
      <c r="AN129" s="27"/>
      <c r="AO129" s="27"/>
      <c r="AP129" s="27"/>
      <c r="AQ129" s="23"/>
      <c r="AV129" s="27"/>
      <c r="AW129" s="27"/>
      <c r="AX129" s="27"/>
      <c r="AY129" s="28"/>
      <c r="AZ129" s="28"/>
      <c r="BA129" s="20"/>
      <c r="BC129" s="27"/>
      <c r="BD129" s="27"/>
      <c r="BE129" s="27"/>
      <c r="BF129" s="27"/>
      <c r="BH129" s="13"/>
      <c r="BI129" s="13"/>
      <c r="BJ129" s="13"/>
    </row>
    <row r="130" spans="1:62" ht="12.75">
      <c r="A130" s="107" t="s">
        <v>65</v>
      </c>
      <c r="B130" s="108" t="s">
        <v>379</v>
      </c>
      <c r="C130" s="109" t="s">
        <v>711</v>
      </c>
      <c r="D130" s="205" t="s">
        <v>1007</v>
      </c>
      <c r="E130" s="110">
        <f>+E23</f>
        <v>10</v>
      </c>
      <c r="F130" s="132">
        <v>0</v>
      </c>
      <c r="G130" s="139">
        <f t="shared" si="52"/>
        <v>0</v>
      </c>
      <c r="H130" s="110">
        <f t="shared" si="53"/>
        <v>0</v>
      </c>
      <c r="I130" s="140">
        <f t="shared" si="54"/>
        <v>0</v>
      </c>
      <c r="J130" s="213">
        <v>0</v>
      </c>
      <c r="K130" s="214">
        <f t="shared" si="55"/>
        <v>0</v>
      </c>
      <c r="L130" s="150" t="s">
        <v>1039</v>
      </c>
      <c r="Z130" s="27">
        <f t="shared" si="56"/>
        <v>0</v>
      </c>
      <c r="AB130" s="27">
        <f t="shared" si="57"/>
        <v>0</v>
      </c>
      <c r="AC130" s="27">
        <f t="shared" si="58"/>
        <v>0</v>
      </c>
      <c r="AD130" s="27">
        <f t="shared" si="59"/>
        <v>0</v>
      </c>
      <c r="AE130" s="27">
        <f t="shared" si="60"/>
        <v>0</v>
      </c>
      <c r="AF130" s="27">
        <f t="shared" si="61"/>
        <v>0</v>
      </c>
      <c r="AG130" s="27">
        <f t="shared" si="62"/>
        <v>0</v>
      </c>
      <c r="AH130" s="27">
        <f t="shared" si="63"/>
        <v>0</v>
      </c>
      <c r="AI130" s="20"/>
      <c r="AJ130" s="13">
        <f t="shared" si="64"/>
        <v>0</v>
      </c>
      <c r="AK130" s="13">
        <f t="shared" si="65"/>
        <v>0</v>
      </c>
      <c r="AL130" s="13">
        <f t="shared" si="66"/>
        <v>0</v>
      </c>
      <c r="AN130" s="27">
        <v>21</v>
      </c>
      <c r="AO130" s="27">
        <f t="shared" si="67"/>
        <v>0</v>
      </c>
      <c r="AP130" s="27">
        <f t="shared" si="68"/>
        <v>0</v>
      </c>
      <c r="AQ130" s="23" t="s">
        <v>7</v>
      </c>
      <c r="AV130" s="27">
        <f t="shared" si="69"/>
        <v>0</v>
      </c>
      <c r="AW130" s="27">
        <f t="shared" si="70"/>
        <v>0</v>
      </c>
      <c r="AX130" s="27">
        <f t="shared" si="71"/>
        <v>0</v>
      </c>
      <c r="AY130" s="28" t="s">
        <v>1056</v>
      </c>
      <c r="AZ130" s="28" t="s">
        <v>1093</v>
      </c>
      <c r="BA130" s="20" t="s">
        <v>1106</v>
      </c>
      <c r="BC130" s="27">
        <f t="shared" si="72"/>
        <v>0</v>
      </c>
      <c r="BD130" s="27">
        <f t="shared" si="73"/>
        <v>0</v>
      </c>
      <c r="BE130" s="27">
        <v>0</v>
      </c>
      <c r="BF130" s="27">
        <f t="shared" si="74"/>
        <v>0</v>
      </c>
      <c r="BH130" s="13">
        <f t="shared" si="75"/>
        <v>0</v>
      </c>
      <c r="BI130" s="13">
        <f t="shared" si="76"/>
        <v>0</v>
      </c>
      <c r="BJ130" s="13">
        <f t="shared" si="77"/>
        <v>0</v>
      </c>
    </row>
    <row r="131" spans="1:62" ht="12.75">
      <c r="A131" s="107"/>
      <c r="B131" s="108"/>
      <c r="C131" s="99" t="s">
        <v>1619</v>
      </c>
      <c r="D131" s="205"/>
      <c r="E131" s="110"/>
      <c r="F131" s="132"/>
      <c r="G131" s="139"/>
      <c r="H131" s="110"/>
      <c r="I131" s="140"/>
      <c r="J131" s="213"/>
      <c r="K131" s="214"/>
      <c r="L131" s="150"/>
      <c r="Z131" s="27"/>
      <c r="AB131" s="27"/>
      <c r="AC131" s="27"/>
      <c r="AD131" s="27"/>
      <c r="AE131" s="27"/>
      <c r="AF131" s="27"/>
      <c r="AG131" s="27"/>
      <c r="AH131" s="27"/>
      <c r="AI131" s="20"/>
      <c r="AJ131" s="13"/>
      <c r="AK131" s="13"/>
      <c r="AL131" s="13"/>
      <c r="AN131" s="27"/>
      <c r="AO131" s="27"/>
      <c r="AP131" s="27"/>
      <c r="AQ131" s="23"/>
      <c r="AV131" s="27"/>
      <c r="AW131" s="27"/>
      <c r="AX131" s="27"/>
      <c r="AY131" s="28"/>
      <c r="AZ131" s="28"/>
      <c r="BA131" s="20"/>
      <c r="BC131" s="27"/>
      <c r="BD131" s="27"/>
      <c r="BE131" s="27"/>
      <c r="BF131" s="27"/>
      <c r="BH131" s="13"/>
      <c r="BI131" s="13"/>
      <c r="BJ131" s="13"/>
    </row>
    <row r="132" spans="1:62" ht="12.75">
      <c r="A132" s="107" t="s">
        <v>66</v>
      </c>
      <c r="B132" s="108" t="s">
        <v>380</v>
      </c>
      <c r="C132" s="109" t="s">
        <v>712</v>
      </c>
      <c r="D132" s="205" t="s">
        <v>1007</v>
      </c>
      <c r="E132" s="110">
        <f>+E25</f>
        <v>2</v>
      </c>
      <c r="F132" s="132">
        <v>0</v>
      </c>
      <c r="G132" s="139">
        <f t="shared" si="52"/>
        <v>0</v>
      </c>
      <c r="H132" s="110">
        <f t="shared" si="53"/>
        <v>0</v>
      </c>
      <c r="I132" s="140">
        <f t="shared" si="54"/>
        <v>0</v>
      </c>
      <c r="J132" s="213">
        <v>0</v>
      </c>
      <c r="K132" s="214">
        <f t="shared" si="55"/>
        <v>0</v>
      </c>
      <c r="L132" s="150" t="s">
        <v>1039</v>
      </c>
      <c r="Z132" s="27">
        <f t="shared" si="56"/>
        <v>0</v>
      </c>
      <c r="AB132" s="27">
        <f t="shared" si="57"/>
        <v>0</v>
      </c>
      <c r="AC132" s="27">
        <f t="shared" si="58"/>
        <v>0</v>
      </c>
      <c r="AD132" s="27">
        <f t="shared" si="59"/>
        <v>0</v>
      </c>
      <c r="AE132" s="27">
        <f t="shared" si="60"/>
        <v>0</v>
      </c>
      <c r="AF132" s="27">
        <f t="shared" si="61"/>
        <v>0</v>
      </c>
      <c r="AG132" s="27">
        <f t="shared" si="62"/>
        <v>0</v>
      </c>
      <c r="AH132" s="27">
        <f t="shared" si="63"/>
        <v>0</v>
      </c>
      <c r="AI132" s="20"/>
      <c r="AJ132" s="13">
        <f t="shared" si="64"/>
        <v>0</v>
      </c>
      <c r="AK132" s="13">
        <f t="shared" si="65"/>
        <v>0</v>
      </c>
      <c r="AL132" s="13">
        <f t="shared" si="66"/>
        <v>0</v>
      </c>
      <c r="AN132" s="27">
        <v>21</v>
      </c>
      <c r="AO132" s="27">
        <f t="shared" si="67"/>
        <v>0</v>
      </c>
      <c r="AP132" s="27">
        <f t="shared" si="68"/>
        <v>0</v>
      </c>
      <c r="AQ132" s="23" t="s">
        <v>7</v>
      </c>
      <c r="AV132" s="27">
        <f t="shared" si="69"/>
        <v>0</v>
      </c>
      <c r="AW132" s="27">
        <f t="shared" si="70"/>
        <v>0</v>
      </c>
      <c r="AX132" s="27">
        <f t="shared" si="71"/>
        <v>0</v>
      </c>
      <c r="AY132" s="28" t="s">
        <v>1056</v>
      </c>
      <c r="AZ132" s="28" t="s">
        <v>1093</v>
      </c>
      <c r="BA132" s="20" t="s">
        <v>1106</v>
      </c>
      <c r="BC132" s="27">
        <f t="shared" si="72"/>
        <v>0</v>
      </c>
      <c r="BD132" s="27">
        <f t="shared" si="73"/>
        <v>0</v>
      </c>
      <c r="BE132" s="27">
        <v>0</v>
      </c>
      <c r="BF132" s="27">
        <f t="shared" si="74"/>
        <v>0</v>
      </c>
      <c r="BH132" s="13">
        <f t="shared" si="75"/>
        <v>0</v>
      </c>
      <c r="BI132" s="13">
        <f t="shared" si="76"/>
        <v>0</v>
      </c>
      <c r="BJ132" s="13">
        <f t="shared" si="77"/>
        <v>0</v>
      </c>
    </row>
    <row r="133" spans="1:62" ht="12.75">
      <c r="A133" s="107"/>
      <c r="B133" s="108"/>
      <c r="C133" s="99" t="s">
        <v>1620</v>
      </c>
      <c r="D133" s="205"/>
      <c r="E133" s="110"/>
      <c r="F133" s="132"/>
      <c r="G133" s="139"/>
      <c r="H133" s="110"/>
      <c r="I133" s="140"/>
      <c r="J133" s="213"/>
      <c r="K133" s="214"/>
      <c r="L133" s="150"/>
      <c r="Z133" s="27"/>
      <c r="AB133" s="27"/>
      <c r="AC133" s="27"/>
      <c r="AD133" s="27"/>
      <c r="AE133" s="27"/>
      <c r="AF133" s="27"/>
      <c r="AG133" s="27"/>
      <c r="AH133" s="27"/>
      <c r="AI133" s="20"/>
      <c r="AJ133" s="13"/>
      <c r="AK133" s="13"/>
      <c r="AL133" s="13"/>
      <c r="AN133" s="27"/>
      <c r="AO133" s="27"/>
      <c r="AP133" s="27"/>
      <c r="AQ133" s="23"/>
      <c r="AV133" s="27"/>
      <c r="AW133" s="27"/>
      <c r="AX133" s="27"/>
      <c r="AY133" s="28"/>
      <c r="AZ133" s="28"/>
      <c r="BA133" s="20"/>
      <c r="BC133" s="27"/>
      <c r="BD133" s="27"/>
      <c r="BE133" s="27"/>
      <c r="BF133" s="27"/>
      <c r="BH133" s="13"/>
      <c r="BI133" s="13"/>
      <c r="BJ133" s="13"/>
    </row>
    <row r="134" spans="1:62" ht="12.75">
      <c r="A134" s="107" t="s">
        <v>67</v>
      </c>
      <c r="B134" s="108" t="s">
        <v>381</v>
      </c>
      <c r="C134" s="109" t="s">
        <v>713</v>
      </c>
      <c r="D134" s="205" t="s">
        <v>1007</v>
      </c>
      <c r="E134" s="110">
        <f>+E21</f>
        <v>19</v>
      </c>
      <c r="F134" s="132">
        <v>0</v>
      </c>
      <c r="G134" s="139">
        <f t="shared" si="52"/>
        <v>0</v>
      </c>
      <c r="H134" s="110">
        <f t="shared" si="53"/>
        <v>0</v>
      </c>
      <c r="I134" s="140">
        <f t="shared" si="54"/>
        <v>0</v>
      </c>
      <c r="J134" s="213">
        <v>0</v>
      </c>
      <c r="K134" s="214">
        <f t="shared" si="55"/>
        <v>0</v>
      </c>
      <c r="L134" s="150" t="s">
        <v>1039</v>
      </c>
      <c r="Z134" s="27">
        <f t="shared" si="56"/>
        <v>0</v>
      </c>
      <c r="AB134" s="27">
        <f t="shared" si="57"/>
        <v>0</v>
      </c>
      <c r="AC134" s="27">
        <f t="shared" si="58"/>
        <v>0</v>
      </c>
      <c r="AD134" s="27">
        <f t="shared" si="59"/>
        <v>0</v>
      </c>
      <c r="AE134" s="27">
        <f t="shared" si="60"/>
        <v>0</v>
      </c>
      <c r="AF134" s="27">
        <f t="shared" si="61"/>
        <v>0</v>
      </c>
      <c r="AG134" s="27">
        <f t="shared" si="62"/>
        <v>0</v>
      </c>
      <c r="AH134" s="27">
        <f t="shared" si="63"/>
        <v>0</v>
      </c>
      <c r="AI134" s="20"/>
      <c r="AJ134" s="13">
        <f t="shared" si="64"/>
        <v>0</v>
      </c>
      <c r="AK134" s="13">
        <f t="shared" si="65"/>
        <v>0</v>
      </c>
      <c r="AL134" s="13">
        <f t="shared" si="66"/>
        <v>0</v>
      </c>
      <c r="AN134" s="27">
        <v>21</v>
      </c>
      <c r="AO134" s="27">
        <f t="shared" si="67"/>
        <v>0</v>
      </c>
      <c r="AP134" s="27">
        <f t="shared" si="68"/>
        <v>0</v>
      </c>
      <c r="AQ134" s="23" t="s">
        <v>7</v>
      </c>
      <c r="AV134" s="27">
        <f t="shared" si="69"/>
        <v>0</v>
      </c>
      <c r="AW134" s="27">
        <f t="shared" si="70"/>
        <v>0</v>
      </c>
      <c r="AX134" s="27">
        <f t="shared" si="71"/>
        <v>0</v>
      </c>
      <c r="AY134" s="28" t="s">
        <v>1056</v>
      </c>
      <c r="AZ134" s="28" t="s">
        <v>1093</v>
      </c>
      <c r="BA134" s="20" t="s">
        <v>1106</v>
      </c>
      <c r="BC134" s="27">
        <f t="shared" si="72"/>
        <v>0</v>
      </c>
      <c r="BD134" s="27">
        <f t="shared" si="73"/>
        <v>0</v>
      </c>
      <c r="BE134" s="27">
        <v>0</v>
      </c>
      <c r="BF134" s="27">
        <f t="shared" si="74"/>
        <v>0</v>
      </c>
      <c r="BH134" s="13">
        <f t="shared" si="75"/>
        <v>0</v>
      </c>
      <c r="BI134" s="13">
        <f t="shared" si="76"/>
        <v>0</v>
      </c>
      <c r="BJ134" s="13">
        <f t="shared" si="77"/>
        <v>0</v>
      </c>
    </row>
    <row r="135" spans="1:62" ht="12.75">
      <c r="A135" s="107"/>
      <c r="B135" s="108"/>
      <c r="C135" s="99" t="s">
        <v>1618</v>
      </c>
      <c r="D135" s="205"/>
      <c r="E135" s="110"/>
      <c r="F135" s="132"/>
      <c r="G135" s="139"/>
      <c r="H135" s="110"/>
      <c r="I135" s="140"/>
      <c r="J135" s="213"/>
      <c r="K135" s="214"/>
      <c r="L135" s="150"/>
      <c r="Z135" s="27"/>
      <c r="AB135" s="27"/>
      <c r="AC135" s="27"/>
      <c r="AD135" s="27"/>
      <c r="AE135" s="27"/>
      <c r="AF135" s="27"/>
      <c r="AG135" s="27"/>
      <c r="AH135" s="27"/>
      <c r="AI135" s="20"/>
      <c r="AJ135" s="13"/>
      <c r="AK135" s="13"/>
      <c r="AL135" s="13"/>
      <c r="AN135" s="27"/>
      <c r="AO135" s="27"/>
      <c r="AP135" s="27"/>
      <c r="AQ135" s="23"/>
      <c r="AV135" s="27"/>
      <c r="AW135" s="27"/>
      <c r="AX135" s="27"/>
      <c r="AY135" s="28"/>
      <c r="AZ135" s="28"/>
      <c r="BA135" s="20"/>
      <c r="BC135" s="27"/>
      <c r="BD135" s="27"/>
      <c r="BE135" s="27"/>
      <c r="BF135" s="27"/>
      <c r="BH135" s="13"/>
      <c r="BI135" s="13"/>
      <c r="BJ135" s="13"/>
    </row>
    <row r="136" spans="1:62" ht="12.75">
      <c r="A136" s="107" t="s">
        <v>68</v>
      </c>
      <c r="B136" s="108" t="s">
        <v>382</v>
      </c>
      <c r="C136" s="109" t="s">
        <v>714</v>
      </c>
      <c r="D136" s="205" t="s">
        <v>1007</v>
      </c>
      <c r="E136" s="110">
        <f>+E23</f>
        <v>10</v>
      </c>
      <c r="F136" s="132">
        <v>0</v>
      </c>
      <c r="G136" s="139">
        <f t="shared" si="52"/>
        <v>0</v>
      </c>
      <c r="H136" s="110">
        <f t="shared" si="53"/>
        <v>0</v>
      </c>
      <c r="I136" s="140">
        <f t="shared" si="54"/>
        <v>0</v>
      </c>
      <c r="J136" s="213">
        <v>0</v>
      </c>
      <c r="K136" s="214">
        <f t="shared" si="55"/>
        <v>0</v>
      </c>
      <c r="L136" s="150" t="s">
        <v>1039</v>
      </c>
      <c r="Z136" s="27">
        <f t="shared" si="56"/>
        <v>0</v>
      </c>
      <c r="AB136" s="27">
        <f t="shared" si="57"/>
        <v>0</v>
      </c>
      <c r="AC136" s="27">
        <f t="shared" si="58"/>
        <v>0</v>
      </c>
      <c r="AD136" s="27">
        <f t="shared" si="59"/>
        <v>0</v>
      </c>
      <c r="AE136" s="27">
        <f t="shared" si="60"/>
        <v>0</v>
      </c>
      <c r="AF136" s="27">
        <f t="shared" si="61"/>
        <v>0</v>
      </c>
      <c r="AG136" s="27">
        <f t="shared" si="62"/>
        <v>0</v>
      </c>
      <c r="AH136" s="27">
        <f t="shared" si="63"/>
        <v>0</v>
      </c>
      <c r="AI136" s="20"/>
      <c r="AJ136" s="13">
        <f t="shared" si="64"/>
        <v>0</v>
      </c>
      <c r="AK136" s="13">
        <f t="shared" si="65"/>
        <v>0</v>
      </c>
      <c r="AL136" s="13">
        <f t="shared" si="66"/>
        <v>0</v>
      </c>
      <c r="AN136" s="27">
        <v>21</v>
      </c>
      <c r="AO136" s="27">
        <f t="shared" si="67"/>
        <v>0</v>
      </c>
      <c r="AP136" s="27">
        <f t="shared" si="68"/>
        <v>0</v>
      </c>
      <c r="AQ136" s="23" t="s">
        <v>7</v>
      </c>
      <c r="AV136" s="27">
        <f t="shared" si="69"/>
        <v>0</v>
      </c>
      <c r="AW136" s="27">
        <f t="shared" si="70"/>
        <v>0</v>
      </c>
      <c r="AX136" s="27">
        <f t="shared" si="71"/>
        <v>0</v>
      </c>
      <c r="AY136" s="28" t="s">
        <v>1056</v>
      </c>
      <c r="AZ136" s="28" t="s">
        <v>1093</v>
      </c>
      <c r="BA136" s="20" t="s">
        <v>1106</v>
      </c>
      <c r="BC136" s="27">
        <f t="shared" si="72"/>
        <v>0</v>
      </c>
      <c r="BD136" s="27">
        <f t="shared" si="73"/>
        <v>0</v>
      </c>
      <c r="BE136" s="27">
        <v>0</v>
      </c>
      <c r="BF136" s="27">
        <f t="shared" si="74"/>
        <v>0</v>
      </c>
      <c r="BH136" s="13">
        <f t="shared" si="75"/>
        <v>0</v>
      </c>
      <c r="BI136" s="13">
        <f t="shared" si="76"/>
        <v>0</v>
      </c>
      <c r="BJ136" s="13">
        <f t="shared" si="77"/>
        <v>0</v>
      </c>
    </row>
    <row r="137" spans="1:62" ht="12.75">
      <c r="A137" s="107"/>
      <c r="B137" s="108"/>
      <c r="C137" s="99" t="s">
        <v>1619</v>
      </c>
      <c r="D137" s="205"/>
      <c r="E137" s="110"/>
      <c r="F137" s="132"/>
      <c r="G137" s="139"/>
      <c r="H137" s="110"/>
      <c r="I137" s="140"/>
      <c r="J137" s="213"/>
      <c r="K137" s="214"/>
      <c r="L137" s="150"/>
      <c r="Z137" s="27"/>
      <c r="AB137" s="27"/>
      <c r="AC137" s="27"/>
      <c r="AD137" s="27"/>
      <c r="AE137" s="27"/>
      <c r="AF137" s="27"/>
      <c r="AG137" s="27"/>
      <c r="AH137" s="27"/>
      <c r="AI137" s="20"/>
      <c r="AJ137" s="13"/>
      <c r="AK137" s="13"/>
      <c r="AL137" s="13"/>
      <c r="AN137" s="27"/>
      <c r="AO137" s="27"/>
      <c r="AP137" s="27"/>
      <c r="AQ137" s="23"/>
      <c r="AV137" s="27"/>
      <c r="AW137" s="27"/>
      <c r="AX137" s="27"/>
      <c r="AY137" s="28"/>
      <c r="AZ137" s="28"/>
      <c r="BA137" s="20"/>
      <c r="BC137" s="27"/>
      <c r="BD137" s="27"/>
      <c r="BE137" s="27"/>
      <c r="BF137" s="27"/>
      <c r="BH137" s="13"/>
      <c r="BI137" s="13"/>
      <c r="BJ137" s="13"/>
    </row>
    <row r="138" spans="1:62" ht="12.75">
      <c r="A138" s="107" t="s">
        <v>69</v>
      </c>
      <c r="B138" s="108" t="s">
        <v>383</v>
      </c>
      <c r="C138" s="109" t="s">
        <v>715</v>
      </c>
      <c r="D138" s="205" t="s">
        <v>1007</v>
      </c>
      <c r="E138" s="110">
        <f>+E25</f>
        <v>2</v>
      </c>
      <c r="F138" s="132">
        <v>0</v>
      </c>
      <c r="G138" s="139">
        <f t="shared" si="52"/>
        <v>0</v>
      </c>
      <c r="H138" s="110">
        <f t="shared" si="53"/>
        <v>0</v>
      </c>
      <c r="I138" s="140">
        <f t="shared" si="54"/>
        <v>0</v>
      </c>
      <c r="J138" s="213">
        <v>0</v>
      </c>
      <c r="K138" s="214">
        <f t="shared" si="55"/>
        <v>0</v>
      </c>
      <c r="L138" s="150" t="s">
        <v>1039</v>
      </c>
      <c r="Z138" s="27">
        <f t="shared" si="56"/>
        <v>0</v>
      </c>
      <c r="AB138" s="27">
        <f t="shared" si="57"/>
        <v>0</v>
      </c>
      <c r="AC138" s="27">
        <f t="shared" si="58"/>
        <v>0</v>
      </c>
      <c r="AD138" s="27">
        <f t="shared" si="59"/>
        <v>0</v>
      </c>
      <c r="AE138" s="27">
        <f t="shared" si="60"/>
        <v>0</v>
      </c>
      <c r="AF138" s="27">
        <f t="shared" si="61"/>
        <v>0</v>
      </c>
      <c r="AG138" s="27">
        <f t="shared" si="62"/>
        <v>0</v>
      </c>
      <c r="AH138" s="27">
        <f t="shared" si="63"/>
        <v>0</v>
      </c>
      <c r="AI138" s="20"/>
      <c r="AJ138" s="13">
        <f t="shared" si="64"/>
        <v>0</v>
      </c>
      <c r="AK138" s="13">
        <f t="shared" si="65"/>
        <v>0</v>
      </c>
      <c r="AL138" s="13">
        <f t="shared" si="66"/>
        <v>0</v>
      </c>
      <c r="AN138" s="27">
        <v>21</v>
      </c>
      <c r="AO138" s="27">
        <f t="shared" si="67"/>
        <v>0</v>
      </c>
      <c r="AP138" s="27">
        <f t="shared" si="68"/>
        <v>0</v>
      </c>
      <c r="AQ138" s="23" t="s">
        <v>7</v>
      </c>
      <c r="AV138" s="27">
        <f t="shared" si="69"/>
        <v>0</v>
      </c>
      <c r="AW138" s="27">
        <f t="shared" si="70"/>
        <v>0</v>
      </c>
      <c r="AX138" s="27">
        <f t="shared" si="71"/>
        <v>0</v>
      </c>
      <c r="AY138" s="28" t="s">
        <v>1056</v>
      </c>
      <c r="AZ138" s="28" t="s">
        <v>1093</v>
      </c>
      <c r="BA138" s="20" t="s">
        <v>1106</v>
      </c>
      <c r="BC138" s="27">
        <f t="shared" si="72"/>
        <v>0</v>
      </c>
      <c r="BD138" s="27">
        <f t="shared" si="73"/>
        <v>0</v>
      </c>
      <c r="BE138" s="27">
        <v>0</v>
      </c>
      <c r="BF138" s="27">
        <f t="shared" si="74"/>
        <v>0</v>
      </c>
      <c r="BH138" s="13">
        <f t="shared" si="75"/>
        <v>0</v>
      </c>
      <c r="BI138" s="13">
        <f t="shared" si="76"/>
        <v>0</v>
      </c>
      <c r="BJ138" s="13">
        <f t="shared" si="77"/>
        <v>0</v>
      </c>
    </row>
    <row r="139" spans="1:62" ht="12.75">
      <c r="A139" s="107"/>
      <c r="B139" s="108"/>
      <c r="C139" s="99" t="s">
        <v>1620</v>
      </c>
      <c r="D139" s="205"/>
      <c r="E139" s="110"/>
      <c r="F139" s="132"/>
      <c r="G139" s="139"/>
      <c r="H139" s="110"/>
      <c r="I139" s="140"/>
      <c r="J139" s="213"/>
      <c r="K139" s="214"/>
      <c r="L139" s="150"/>
      <c r="Z139" s="27"/>
      <c r="AB139" s="27"/>
      <c r="AC139" s="27"/>
      <c r="AD139" s="27"/>
      <c r="AE139" s="27"/>
      <c r="AF139" s="27"/>
      <c r="AG139" s="27"/>
      <c r="AH139" s="27"/>
      <c r="AI139" s="20"/>
      <c r="AJ139" s="13"/>
      <c r="AK139" s="13"/>
      <c r="AL139" s="13"/>
      <c r="AN139" s="27"/>
      <c r="AO139" s="27"/>
      <c r="AP139" s="27"/>
      <c r="AQ139" s="23"/>
      <c r="AV139" s="27"/>
      <c r="AW139" s="27"/>
      <c r="AX139" s="27"/>
      <c r="AY139" s="28"/>
      <c r="AZ139" s="28"/>
      <c r="BA139" s="20"/>
      <c r="BC139" s="27"/>
      <c r="BD139" s="27"/>
      <c r="BE139" s="27"/>
      <c r="BF139" s="27"/>
      <c r="BH139" s="13"/>
      <c r="BI139" s="13"/>
      <c r="BJ139" s="13"/>
    </row>
    <row r="140" spans="1:62" ht="12.75">
      <c r="A140" s="107" t="s">
        <v>70</v>
      </c>
      <c r="B140" s="108" t="s">
        <v>384</v>
      </c>
      <c r="C140" s="109" t="s">
        <v>716</v>
      </c>
      <c r="D140" s="205" t="s">
        <v>1007</v>
      </c>
      <c r="E140" s="110">
        <f>+E21</f>
        <v>19</v>
      </c>
      <c r="F140" s="132">
        <v>0</v>
      </c>
      <c r="G140" s="139">
        <f t="shared" si="52"/>
        <v>0</v>
      </c>
      <c r="H140" s="110">
        <f t="shared" si="53"/>
        <v>0</v>
      </c>
      <c r="I140" s="140">
        <f t="shared" si="54"/>
        <v>0</v>
      </c>
      <c r="J140" s="213">
        <v>0</v>
      </c>
      <c r="K140" s="214">
        <f t="shared" si="55"/>
        <v>0</v>
      </c>
      <c r="L140" s="150" t="s">
        <v>1039</v>
      </c>
      <c r="Z140" s="27">
        <f t="shared" si="56"/>
        <v>0</v>
      </c>
      <c r="AB140" s="27">
        <f t="shared" si="57"/>
        <v>0</v>
      </c>
      <c r="AC140" s="27">
        <f t="shared" si="58"/>
        <v>0</v>
      </c>
      <c r="AD140" s="27">
        <f t="shared" si="59"/>
        <v>0</v>
      </c>
      <c r="AE140" s="27">
        <f t="shared" si="60"/>
        <v>0</v>
      </c>
      <c r="AF140" s="27">
        <f t="shared" si="61"/>
        <v>0</v>
      </c>
      <c r="AG140" s="27">
        <f t="shared" si="62"/>
        <v>0</v>
      </c>
      <c r="AH140" s="27">
        <f t="shared" si="63"/>
        <v>0</v>
      </c>
      <c r="AI140" s="20"/>
      <c r="AJ140" s="13">
        <f t="shared" si="64"/>
        <v>0</v>
      </c>
      <c r="AK140" s="13">
        <f t="shared" si="65"/>
        <v>0</v>
      </c>
      <c r="AL140" s="13">
        <f t="shared" si="66"/>
        <v>0</v>
      </c>
      <c r="AN140" s="27">
        <v>21</v>
      </c>
      <c r="AO140" s="27">
        <f t="shared" si="67"/>
        <v>0</v>
      </c>
      <c r="AP140" s="27">
        <f t="shared" si="68"/>
        <v>0</v>
      </c>
      <c r="AQ140" s="23" t="s">
        <v>7</v>
      </c>
      <c r="AV140" s="27">
        <f t="shared" si="69"/>
        <v>0</v>
      </c>
      <c r="AW140" s="27">
        <f t="shared" si="70"/>
        <v>0</v>
      </c>
      <c r="AX140" s="27">
        <f t="shared" si="71"/>
        <v>0</v>
      </c>
      <c r="AY140" s="28" t="s">
        <v>1056</v>
      </c>
      <c r="AZ140" s="28" t="s">
        <v>1093</v>
      </c>
      <c r="BA140" s="20" t="s">
        <v>1106</v>
      </c>
      <c r="BC140" s="27">
        <f t="shared" si="72"/>
        <v>0</v>
      </c>
      <c r="BD140" s="27">
        <f t="shared" si="73"/>
        <v>0</v>
      </c>
      <c r="BE140" s="27">
        <v>0</v>
      </c>
      <c r="BF140" s="27">
        <f t="shared" si="74"/>
        <v>0</v>
      </c>
      <c r="BH140" s="13">
        <f t="shared" si="75"/>
        <v>0</v>
      </c>
      <c r="BI140" s="13">
        <f t="shared" si="76"/>
        <v>0</v>
      </c>
      <c r="BJ140" s="13">
        <f t="shared" si="77"/>
        <v>0</v>
      </c>
    </row>
    <row r="141" spans="1:62" ht="12.75">
      <c r="A141" s="107" t="s">
        <v>71</v>
      </c>
      <c r="B141" s="108" t="s">
        <v>385</v>
      </c>
      <c r="C141" s="109" t="s">
        <v>717</v>
      </c>
      <c r="D141" s="205" t="s">
        <v>1007</v>
      </c>
      <c r="E141" s="110">
        <f>+E23</f>
        <v>10</v>
      </c>
      <c r="F141" s="132">
        <v>0</v>
      </c>
      <c r="G141" s="139">
        <f t="shared" si="52"/>
        <v>0</v>
      </c>
      <c r="H141" s="110">
        <f t="shared" si="53"/>
        <v>0</v>
      </c>
      <c r="I141" s="140">
        <f t="shared" si="54"/>
        <v>0</v>
      </c>
      <c r="J141" s="213">
        <v>0</v>
      </c>
      <c r="K141" s="214">
        <f t="shared" si="55"/>
        <v>0</v>
      </c>
      <c r="L141" s="150" t="s">
        <v>1039</v>
      </c>
      <c r="Z141" s="27">
        <f t="shared" si="56"/>
        <v>0</v>
      </c>
      <c r="AB141" s="27">
        <f t="shared" si="57"/>
        <v>0</v>
      </c>
      <c r="AC141" s="27">
        <f t="shared" si="58"/>
        <v>0</v>
      </c>
      <c r="AD141" s="27">
        <f t="shared" si="59"/>
        <v>0</v>
      </c>
      <c r="AE141" s="27">
        <f t="shared" si="60"/>
        <v>0</v>
      </c>
      <c r="AF141" s="27">
        <f t="shared" si="61"/>
        <v>0</v>
      </c>
      <c r="AG141" s="27">
        <f t="shared" si="62"/>
        <v>0</v>
      </c>
      <c r="AH141" s="27">
        <f t="shared" si="63"/>
        <v>0</v>
      </c>
      <c r="AI141" s="20"/>
      <c r="AJ141" s="13">
        <f t="shared" si="64"/>
        <v>0</v>
      </c>
      <c r="AK141" s="13">
        <f t="shared" si="65"/>
        <v>0</v>
      </c>
      <c r="AL141" s="13">
        <f t="shared" si="66"/>
        <v>0</v>
      </c>
      <c r="AN141" s="27">
        <v>21</v>
      </c>
      <c r="AO141" s="27">
        <f t="shared" si="67"/>
        <v>0</v>
      </c>
      <c r="AP141" s="27">
        <f t="shared" si="68"/>
        <v>0</v>
      </c>
      <c r="AQ141" s="23" t="s">
        <v>7</v>
      </c>
      <c r="AV141" s="27">
        <f t="shared" si="69"/>
        <v>0</v>
      </c>
      <c r="AW141" s="27">
        <f t="shared" si="70"/>
        <v>0</v>
      </c>
      <c r="AX141" s="27">
        <f t="shared" si="71"/>
        <v>0</v>
      </c>
      <c r="AY141" s="28" t="s">
        <v>1056</v>
      </c>
      <c r="AZ141" s="28" t="s">
        <v>1093</v>
      </c>
      <c r="BA141" s="20" t="s">
        <v>1106</v>
      </c>
      <c r="BC141" s="27">
        <f t="shared" si="72"/>
        <v>0</v>
      </c>
      <c r="BD141" s="27">
        <f t="shared" si="73"/>
        <v>0</v>
      </c>
      <c r="BE141" s="27">
        <v>0</v>
      </c>
      <c r="BF141" s="27">
        <f t="shared" si="74"/>
        <v>0</v>
      </c>
      <c r="BH141" s="13">
        <f t="shared" si="75"/>
        <v>0</v>
      </c>
      <c r="BI141" s="13">
        <f t="shared" si="76"/>
        <v>0</v>
      </c>
      <c r="BJ141" s="13">
        <f t="shared" si="77"/>
        <v>0</v>
      </c>
    </row>
    <row r="142" spans="1:62" ht="12.75">
      <c r="A142" s="107" t="s">
        <v>72</v>
      </c>
      <c r="B142" s="108" t="s">
        <v>386</v>
      </c>
      <c r="C142" s="109" t="s">
        <v>718</v>
      </c>
      <c r="D142" s="205" t="s">
        <v>1007</v>
      </c>
      <c r="E142" s="110">
        <f>+E25</f>
        <v>2</v>
      </c>
      <c r="F142" s="132">
        <v>0</v>
      </c>
      <c r="G142" s="139">
        <f t="shared" si="52"/>
        <v>0</v>
      </c>
      <c r="H142" s="110">
        <f t="shared" si="53"/>
        <v>0</v>
      </c>
      <c r="I142" s="140">
        <f t="shared" si="54"/>
        <v>0</v>
      </c>
      <c r="J142" s="213">
        <v>0</v>
      </c>
      <c r="K142" s="214">
        <f t="shared" si="55"/>
        <v>0</v>
      </c>
      <c r="L142" s="150" t="s">
        <v>1039</v>
      </c>
      <c r="Z142" s="27">
        <f t="shared" si="56"/>
        <v>0</v>
      </c>
      <c r="AB142" s="27">
        <f t="shared" si="57"/>
        <v>0</v>
      </c>
      <c r="AC142" s="27">
        <f t="shared" si="58"/>
        <v>0</v>
      </c>
      <c r="AD142" s="27">
        <f t="shared" si="59"/>
        <v>0</v>
      </c>
      <c r="AE142" s="27">
        <f t="shared" si="60"/>
        <v>0</v>
      </c>
      <c r="AF142" s="27">
        <f t="shared" si="61"/>
        <v>0</v>
      </c>
      <c r="AG142" s="27">
        <f t="shared" si="62"/>
        <v>0</v>
      </c>
      <c r="AH142" s="27">
        <f t="shared" si="63"/>
        <v>0</v>
      </c>
      <c r="AI142" s="20"/>
      <c r="AJ142" s="13">
        <f t="shared" si="64"/>
        <v>0</v>
      </c>
      <c r="AK142" s="13">
        <f t="shared" si="65"/>
        <v>0</v>
      </c>
      <c r="AL142" s="13">
        <f t="shared" si="66"/>
        <v>0</v>
      </c>
      <c r="AN142" s="27">
        <v>21</v>
      </c>
      <c r="AO142" s="27">
        <f t="shared" si="67"/>
        <v>0</v>
      </c>
      <c r="AP142" s="27">
        <f t="shared" si="68"/>
        <v>0</v>
      </c>
      <c r="AQ142" s="23" t="s">
        <v>7</v>
      </c>
      <c r="AV142" s="27">
        <f t="shared" si="69"/>
        <v>0</v>
      </c>
      <c r="AW142" s="27">
        <f t="shared" si="70"/>
        <v>0</v>
      </c>
      <c r="AX142" s="27">
        <f t="shared" si="71"/>
        <v>0</v>
      </c>
      <c r="AY142" s="28" t="s">
        <v>1056</v>
      </c>
      <c r="AZ142" s="28" t="s">
        <v>1093</v>
      </c>
      <c r="BA142" s="20" t="s">
        <v>1106</v>
      </c>
      <c r="BC142" s="27">
        <f t="shared" si="72"/>
        <v>0</v>
      </c>
      <c r="BD142" s="27">
        <f t="shared" si="73"/>
        <v>0</v>
      </c>
      <c r="BE142" s="27">
        <v>0</v>
      </c>
      <c r="BF142" s="27">
        <f t="shared" si="74"/>
        <v>0</v>
      </c>
      <c r="BH142" s="13">
        <f t="shared" si="75"/>
        <v>0</v>
      </c>
      <c r="BI142" s="13">
        <f t="shared" si="76"/>
        <v>0</v>
      </c>
      <c r="BJ142" s="13">
        <f t="shared" si="77"/>
        <v>0</v>
      </c>
    </row>
    <row r="143" spans="1:62" ht="12.75">
      <c r="A143" s="107" t="s">
        <v>73</v>
      </c>
      <c r="B143" s="108" t="s">
        <v>387</v>
      </c>
      <c r="C143" s="109" t="s">
        <v>719</v>
      </c>
      <c r="D143" s="205" t="s">
        <v>1005</v>
      </c>
      <c r="E143" s="110">
        <f>+E144</f>
        <v>818</v>
      </c>
      <c r="F143" s="132">
        <v>0</v>
      </c>
      <c r="G143" s="139">
        <f t="shared" si="52"/>
        <v>0</v>
      </c>
      <c r="H143" s="110">
        <f t="shared" si="53"/>
        <v>0</v>
      </c>
      <c r="I143" s="140">
        <f t="shared" si="54"/>
        <v>0</v>
      </c>
      <c r="J143" s="213">
        <v>0</v>
      </c>
      <c r="K143" s="214">
        <f t="shared" si="55"/>
        <v>0</v>
      </c>
      <c r="L143" s="150" t="s">
        <v>1039</v>
      </c>
      <c r="Z143" s="27">
        <f t="shared" si="56"/>
        <v>0</v>
      </c>
      <c r="AB143" s="27">
        <f t="shared" si="57"/>
        <v>0</v>
      </c>
      <c r="AC143" s="27">
        <f t="shared" si="58"/>
        <v>0</v>
      </c>
      <c r="AD143" s="27">
        <f t="shared" si="59"/>
        <v>0</v>
      </c>
      <c r="AE143" s="27">
        <f t="shared" si="60"/>
        <v>0</v>
      </c>
      <c r="AF143" s="27">
        <f t="shared" si="61"/>
        <v>0</v>
      </c>
      <c r="AG143" s="27">
        <f t="shared" si="62"/>
        <v>0</v>
      </c>
      <c r="AH143" s="27">
        <f t="shared" si="63"/>
        <v>0</v>
      </c>
      <c r="AI143" s="20"/>
      <c r="AJ143" s="13">
        <f t="shared" si="64"/>
        <v>0</v>
      </c>
      <c r="AK143" s="13">
        <f t="shared" si="65"/>
        <v>0</v>
      </c>
      <c r="AL143" s="13">
        <f t="shared" si="66"/>
        <v>0</v>
      </c>
      <c r="AN143" s="27">
        <v>21</v>
      </c>
      <c r="AO143" s="27">
        <f t="shared" si="67"/>
        <v>0</v>
      </c>
      <c r="AP143" s="27">
        <f t="shared" si="68"/>
        <v>0</v>
      </c>
      <c r="AQ143" s="23" t="s">
        <v>7</v>
      </c>
      <c r="AV143" s="27">
        <f t="shared" si="69"/>
        <v>0</v>
      </c>
      <c r="AW143" s="27">
        <f t="shared" si="70"/>
        <v>0</v>
      </c>
      <c r="AX143" s="27">
        <f t="shared" si="71"/>
        <v>0</v>
      </c>
      <c r="AY143" s="28" t="s">
        <v>1056</v>
      </c>
      <c r="AZ143" s="28" t="s">
        <v>1093</v>
      </c>
      <c r="BA143" s="20" t="s">
        <v>1106</v>
      </c>
      <c r="BC143" s="27">
        <f t="shared" si="72"/>
        <v>0</v>
      </c>
      <c r="BD143" s="27">
        <f t="shared" si="73"/>
        <v>0</v>
      </c>
      <c r="BE143" s="27">
        <v>0</v>
      </c>
      <c r="BF143" s="27">
        <f t="shared" si="74"/>
        <v>0</v>
      </c>
      <c r="BH143" s="13">
        <f t="shared" si="75"/>
        <v>0</v>
      </c>
      <c r="BI143" s="13">
        <f t="shared" si="76"/>
        <v>0</v>
      </c>
      <c r="BJ143" s="13">
        <f t="shared" si="77"/>
        <v>0</v>
      </c>
    </row>
    <row r="144" spans="1:62" ht="12.75">
      <c r="A144" s="107"/>
      <c r="B144" s="108"/>
      <c r="C144" s="99" t="s">
        <v>1662</v>
      </c>
      <c r="D144" s="100" t="s">
        <v>1005</v>
      </c>
      <c r="E144" s="101">
        <f>+E15</f>
        <v>818</v>
      </c>
      <c r="F144" s="132"/>
      <c r="G144" s="139"/>
      <c r="H144" s="110"/>
      <c r="I144" s="140"/>
      <c r="J144" s="213"/>
      <c r="K144" s="214"/>
      <c r="L144" s="150"/>
      <c r="Z144" s="27"/>
      <c r="AB144" s="27"/>
      <c r="AC144" s="27"/>
      <c r="AD144" s="27"/>
      <c r="AE144" s="27"/>
      <c r="AF144" s="27"/>
      <c r="AG144" s="27"/>
      <c r="AH144" s="27"/>
      <c r="AI144" s="20"/>
      <c r="AJ144" s="13"/>
      <c r="AK144" s="13"/>
      <c r="AL144" s="13"/>
      <c r="AN144" s="27"/>
      <c r="AO144" s="27"/>
      <c r="AP144" s="27"/>
      <c r="AQ144" s="23"/>
      <c r="AV144" s="27"/>
      <c r="AW144" s="27"/>
      <c r="AX144" s="27"/>
      <c r="AY144" s="28"/>
      <c r="AZ144" s="28"/>
      <c r="BA144" s="20"/>
      <c r="BC144" s="27"/>
      <c r="BD144" s="27"/>
      <c r="BE144" s="27"/>
      <c r="BF144" s="27"/>
      <c r="BH144" s="13"/>
      <c r="BI144" s="13"/>
      <c r="BJ144" s="13"/>
    </row>
    <row r="145" spans="1:62" ht="25.5">
      <c r="A145" s="107" t="s">
        <v>74</v>
      </c>
      <c r="B145" s="108" t="s">
        <v>388</v>
      </c>
      <c r="C145" s="109" t="s">
        <v>720</v>
      </c>
      <c r="D145" s="205" t="s">
        <v>1006</v>
      </c>
      <c r="E145" s="110">
        <f>+E146</f>
        <v>1282.437</v>
      </c>
      <c r="F145" s="132">
        <v>0</v>
      </c>
      <c r="G145" s="139">
        <f t="shared" si="52"/>
        <v>0</v>
      </c>
      <c r="H145" s="110">
        <f t="shared" si="53"/>
        <v>0</v>
      </c>
      <c r="I145" s="140">
        <f t="shared" si="54"/>
        <v>0</v>
      </c>
      <c r="J145" s="213">
        <v>0</v>
      </c>
      <c r="K145" s="214">
        <f t="shared" si="55"/>
        <v>0</v>
      </c>
      <c r="L145" s="150" t="s">
        <v>1039</v>
      </c>
      <c r="Z145" s="27">
        <f t="shared" si="56"/>
        <v>0</v>
      </c>
      <c r="AB145" s="27">
        <f t="shared" si="57"/>
        <v>0</v>
      </c>
      <c r="AC145" s="27">
        <f t="shared" si="58"/>
        <v>0</v>
      </c>
      <c r="AD145" s="27">
        <f t="shared" si="59"/>
        <v>0</v>
      </c>
      <c r="AE145" s="27">
        <f t="shared" si="60"/>
        <v>0</v>
      </c>
      <c r="AF145" s="27">
        <f t="shared" si="61"/>
        <v>0</v>
      </c>
      <c r="AG145" s="27">
        <f t="shared" si="62"/>
        <v>0</v>
      </c>
      <c r="AH145" s="27">
        <f t="shared" si="63"/>
        <v>0</v>
      </c>
      <c r="AI145" s="20"/>
      <c r="AJ145" s="13">
        <f t="shared" si="64"/>
        <v>0</v>
      </c>
      <c r="AK145" s="13">
        <f t="shared" si="65"/>
        <v>0</v>
      </c>
      <c r="AL145" s="13">
        <f t="shared" si="66"/>
        <v>0</v>
      </c>
      <c r="AN145" s="27">
        <v>21</v>
      </c>
      <c r="AO145" s="27">
        <f t="shared" si="67"/>
        <v>0</v>
      </c>
      <c r="AP145" s="27">
        <f t="shared" si="68"/>
        <v>0</v>
      </c>
      <c r="AQ145" s="23" t="s">
        <v>7</v>
      </c>
      <c r="AV145" s="27">
        <f t="shared" si="69"/>
        <v>0</v>
      </c>
      <c r="AW145" s="27">
        <f t="shared" si="70"/>
        <v>0</v>
      </c>
      <c r="AX145" s="27">
        <f t="shared" si="71"/>
        <v>0</v>
      </c>
      <c r="AY145" s="28" t="s">
        <v>1056</v>
      </c>
      <c r="AZ145" s="28" t="s">
        <v>1093</v>
      </c>
      <c r="BA145" s="20" t="s">
        <v>1106</v>
      </c>
      <c r="BC145" s="27">
        <f t="shared" si="72"/>
        <v>0</v>
      </c>
      <c r="BD145" s="27">
        <f t="shared" si="73"/>
        <v>0</v>
      </c>
      <c r="BE145" s="27">
        <v>0</v>
      </c>
      <c r="BF145" s="27">
        <f t="shared" si="74"/>
        <v>0</v>
      </c>
      <c r="BH145" s="13">
        <f t="shared" si="75"/>
        <v>0</v>
      </c>
      <c r="BI145" s="13">
        <f t="shared" si="76"/>
        <v>0</v>
      </c>
      <c r="BJ145" s="13">
        <f t="shared" si="77"/>
        <v>0</v>
      </c>
    </row>
    <row r="146" spans="1:62" ht="12.75">
      <c r="A146" s="107"/>
      <c r="B146" s="108"/>
      <c r="C146" s="99" t="s">
        <v>1663</v>
      </c>
      <c r="D146" s="100" t="s">
        <v>1006</v>
      </c>
      <c r="E146" s="101">
        <f>+Výměry!E203</f>
        <v>1282.437</v>
      </c>
      <c r="F146" s="132"/>
      <c r="G146" s="139"/>
      <c r="H146" s="110"/>
      <c r="I146" s="140"/>
      <c r="J146" s="213"/>
      <c r="K146" s="214"/>
      <c r="L146" s="150"/>
      <c r="Z146" s="27"/>
      <c r="AB146" s="27"/>
      <c r="AC146" s="27"/>
      <c r="AD146" s="27"/>
      <c r="AE146" s="27"/>
      <c r="AF146" s="27"/>
      <c r="AG146" s="27"/>
      <c r="AH146" s="27"/>
      <c r="AI146" s="20"/>
      <c r="AJ146" s="13"/>
      <c r="AK146" s="13"/>
      <c r="AL146" s="13"/>
      <c r="AN146" s="27"/>
      <c r="AO146" s="27"/>
      <c r="AP146" s="27"/>
      <c r="AQ146" s="23"/>
      <c r="AV146" s="27"/>
      <c r="AW146" s="27"/>
      <c r="AX146" s="27"/>
      <c r="AY146" s="28"/>
      <c r="AZ146" s="28"/>
      <c r="BA146" s="20"/>
      <c r="BC146" s="27"/>
      <c r="BD146" s="27"/>
      <c r="BE146" s="27"/>
      <c r="BF146" s="27"/>
      <c r="BH146" s="13"/>
      <c r="BI146" s="13"/>
      <c r="BJ146" s="13"/>
    </row>
    <row r="147" spans="1:62" ht="12.75">
      <c r="A147" s="107" t="s">
        <v>75</v>
      </c>
      <c r="B147" s="108" t="s">
        <v>389</v>
      </c>
      <c r="C147" s="109" t="s">
        <v>721</v>
      </c>
      <c r="D147" s="205" t="s">
        <v>1006</v>
      </c>
      <c r="E147" s="110">
        <f>+E148</f>
        <v>8.29</v>
      </c>
      <c r="F147" s="132">
        <v>0</v>
      </c>
      <c r="G147" s="139">
        <f t="shared" si="52"/>
        <v>0</v>
      </c>
      <c r="H147" s="110">
        <f t="shared" si="53"/>
        <v>0</v>
      </c>
      <c r="I147" s="140">
        <f t="shared" si="54"/>
        <v>0</v>
      </c>
      <c r="J147" s="213">
        <v>0</v>
      </c>
      <c r="K147" s="214">
        <f t="shared" si="55"/>
        <v>0</v>
      </c>
      <c r="L147" s="150" t="s">
        <v>1039</v>
      </c>
      <c r="Z147" s="27">
        <f t="shared" si="56"/>
        <v>0</v>
      </c>
      <c r="AB147" s="27">
        <f t="shared" si="57"/>
        <v>0</v>
      </c>
      <c r="AC147" s="27">
        <f t="shared" si="58"/>
        <v>0</v>
      </c>
      <c r="AD147" s="27">
        <f t="shared" si="59"/>
        <v>0</v>
      </c>
      <c r="AE147" s="27">
        <f t="shared" si="60"/>
        <v>0</v>
      </c>
      <c r="AF147" s="27">
        <f t="shared" si="61"/>
        <v>0</v>
      </c>
      <c r="AG147" s="27">
        <f t="shared" si="62"/>
        <v>0</v>
      </c>
      <c r="AH147" s="27">
        <f t="shared" si="63"/>
        <v>0</v>
      </c>
      <c r="AI147" s="20"/>
      <c r="AJ147" s="13">
        <f t="shared" si="64"/>
        <v>0</v>
      </c>
      <c r="AK147" s="13">
        <f t="shared" si="65"/>
        <v>0</v>
      </c>
      <c r="AL147" s="13">
        <f t="shared" si="66"/>
        <v>0</v>
      </c>
      <c r="AN147" s="27">
        <v>21</v>
      </c>
      <c r="AO147" s="27">
        <f t="shared" si="67"/>
        <v>0</v>
      </c>
      <c r="AP147" s="27">
        <f t="shared" si="68"/>
        <v>0</v>
      </c>
      <c r="AQ147" s="23" t="s">
        <v>7</v>
      </c>
      <c r="AV147" s="27">
        <f t="shared" si="69"/>
        <v>0</v>
      </c>
      <c r="AW147" s="27">
        <f t="shared" si="70"/>
        <v>0</v>
      </c>
      <c r="AX147" s="27">
        <f t="shared" si="71"/>
        <v>0</v>
      </c>
      <c r="AY147" s="28" t="s">
        <v>1056</v>
      </c>
      <c r="AZ147" s="28" t="s">
        <v>1093</v>
      </c>
      <c r="BA147" s="20" t="s">
        <v>1106</v>
      </c>
      <c r="BC147" s="27">
        <f t="shared" si="72"/>
        <v>0</v>
      </c>
      <c r="BD147" s="27">
        <f t="shared" si="73"/>
        <v>0</v>
      </c>
      <c r="BE147" s="27">
        <v>0</v>
      </c>
      <c r="BF147" s="27">
        <f t="shared" si="74"/>
        <v>0</v>
      </c>
      <c r="BH147" s="13">
        <f t="shared" si="75"/>
        <v>0</v>
      </c>
      <c r="BI147" s="13">
        <f t="shared" si="76"/>
        <v>0</v>
      </c>
      <c r="BJ147" s="13">
        <f t="shared" si="77"/>
        <v>0</v>
      </c>
    </row>
    <row r="148" spans="1:62" ht="12.75">
      <c r="A148" s="107"/>
      <c r="B148" s="108"/>
      <c r="C148" s="99" t="s">
        <v>1664</v>
      </c>
      <c r="D148" s="100" t="s">
        <v>1006</v>
      </c>
      <c r="E148" s="101">
        <f>+E126</f>
        <v>8.29</v>
      </c>
      <c r="F148" s="132"/>
      <c r="G148" s="139"/>
      <c r="H148" s="110"/>
      <c r="I148" s="140"/>
      <c r="J148" s="213"/>
      <c r="K148" s="214"/>
      <c r="L148" s="150"/>
      <c r="Z148" s="27"/>
      <c r="AB148" s="27"/>
      <c r="AC148" s="27"/>
      <c r="AD148" s="27"/>
      <c r="AE148" s="27"/>
      <c r="AF148" s="27"/>
      <c r="AG148" s="27"/>
      <c r="AH148" s="27"/>
      <c r="AI148" s="20"/>
      <c r="AJ148" s="13"/>
      <c r="AK148" s="13"/>
      <c r="AL148" s="13"/>
      <c r="AN148" s="27"/>
      <c r="AO148" s="27"/>
      <c r="AP148" s="27"/>
      <c r="AQ148" s="23"/>
      <c r="AV148" s="27"/>
      <c r="AW148" s="27"/>
      <c r="AX148" s="27"/>
      <c r="AY148" s="28"/>
      <c r="AZ148" s="28"/>
      <c r="BA148" s="20"/>
      <c r="BC148" s="27"/>
      <c r="BD148" s="27"/>
      <c r="BE148" s="27"/>
      <c r="BF148" s="27"/>
      <c r="BH148" s="13"/>
      <c r="BI148" s="13"/>
      <c r="BJ148" s="13"/>
    </row>
    <row r="149" spans="1:62" ht="12.75">
      <c r="A149" s="116" t="s">
        <v>76</v>
      </c>
      <c r="B149" s="117" t="s">
        <v>390</v>
      </c>
      <c r="C149" s="118" t="s">
        <v>722</v>
      </c>
      <c r="D149" s="207" t="s">
        <v>1006</v>
      </c>
      <c r="E149" s="119">
        <f>+E150</f>
        <v>72.3456</v>
      </c>
      <c r="F149" s="134">
        <v>0</v>
      </c>
      <c r="G149" s="143">
        <f t="shared" si="52"/>
        <v>0</v>
      </c>
      <c r="H149" s="119">
        <f t="shared" si="53"/>
        <v>0</v>
      </c>
      <c r="I149" s="144">
        <f t="shared" si="54"/>
        <v>0</v>
      </c>
      <c r="J149" s="217">
        <v>0</v>
      </c>
      <c r="K149" s="218">
        <f t="shared" si="55"/>
        <v>0</v>
      </c>
      <c r="L149" s="152" t="s">
        <v>1039</v>
      </c>
      <c r="Z149" s="27">
        <f t="shared" si="56"/>
        <v>0</v>
      </c>
      <c r="AB149" s="27">
        <f t="shared" si="57"/>
        <v>0</v>
      </c>
      <c r="AC149" s="27">
        <f t="shared" si="58"/>
        <v>0</v>
      </c>
      <c r="AD149" s="27">
        <f t="shared" si="59"/>
        <v>0</v>
      </c>
      <c r="AE149" s="27">
        <f t="shared" si="60"/>
        <v>0</v>
      </c>
      <c r="AF149" s="27">
        <f t="shared" si="61"/>
        <v>0</v>
      </c>
      <c r="AG149" s="27">
        <f t="shared" si="62"/>
        <v>0</v>
      </c>
      <c r="AH149" s="27">
        <f t="shared" si="63"/>
        <v>0</v>
      </c>
      <c r="AI149" s="20"/>
      <c r="AJ149" s="13">
        <f t="shared" si="64"/>
        <v>0</v>
      </c>
      <c r="AK149" s="13">
        <f t="shared" si="65"/>
        <v>0</v>
      </c>
      <c r="AL149" s="13">
        <f t="shared" si="66"/>
        <v>0</v>
      </c>
      <c r="AN149" s="27">
        <v>21</v>
      </c>
      <c r="AO149" s="27">
        <f t="shared" si="67"/>
        <v>0</v>
      </c>
      <c r="AP149" s="27">
        <f t="shared" si="68"/>
        <v>0</v>
      </c>
      <c r="AQ149" s="23" t="s">
        <v>7</v>
      </c>
      <c r="AV149" s="27">
        <f t="shared" si="69"/>
        <v>0</v>
      </c>
      <c r="AW149" s="27">
        <f t="shared" si="70"/>
        <v>0</v>
      </c>
      <c r="AX149" s="27">
        <f t="shared" si="71"/>
        <v>0</v>
      </c>
      <c r="AY149" s="28" t="s">
        <v>1056</v>
      </c>
      <c r="AZ149" s="28" t="s">
        <v>1093</v>
      </c>
      <c r="BA149" s="20" t="s">
        <v>1106</v>
      </c>
      <c r="BC149" s="27">
        <f t="shared" si="72"/>
        <v>0</v>
      </c>
      <c r="BD149" s="27">
        <f t="shared" si="73"/>
        <v>0</v>
      </c>
      <c r="BE149" s="27">
        <v>0</v>
      </c>
      <c r="BF149" s="27">
        <f t="shared" si="74"/>
        <v>0</v>
      </c>
      <c r="BH149" s="13">
        <f t="shared" si="75"/>
        <v>0</v>
      </c>
      <c r="BI149" s="13">
        <f t="shared" si="76"/>
        <v>0</v>
      </c>
      <c r="BJ149" s="13">
        <f t="shared" si="77"/>
        <v>0</v>
      </c>
    </row>
    <row r="150" spans="1:62" ht="12.75">
      <c r="A150" s="116"/>
      <c r="B150" s="117"/>
      <c r="C150" s="120" t="s">
        <v>1665</v>
      </c>
      <c r="D150" s="208"/>
      <c r="E150" s="121">
        <f>+(3.14*0.4*0.4/4*192*3)</f>
        <v>72.3456</v>
      </c>
      <c r="F150" s="134"/>
      <c r="G150" s="143"/>
      <c r="H150" s="119"/>
      <c r="I150" s="144"/>
      <c r="J150" s="217"/>
      <c r="K150" s="218"/>
      <c r="L150" s="152"/>
      <c r="Z150" s="27"/>
      <c r="AB150" s="27"/>
      <c r="AC150" s="27"/>
      <c r="AD150" s="27"/>
      <c r="AE150" s="27"/>
      <c r="AF150" s="27"/>
      <c r="AG150" s="27"/>
      <c r="AH150" s="27"/>
      <c r="AI150" s="20"/>
      <c r="AJ150" s="13"/>
      <c r="AK150" s="13"/>
      <c r="AL150" s="13"/>
      <c r="AN150" s="27"/>
      <c r="AO150" s="27"/>
      <c r="AP150" s="27"/>
      <c r="AQ150" s="23"/>
      <c r="AV150" s="27"/>
      <c r="AW150" s="27"/>
      <c r="AX150" s="27"/>
      <c r="AY150" s="28"/>
      <c r="AZ150" s="28"/>
      <c r="BA150" s="20"/>
      <c r="BC150" s="27"/>
      <c r="BD150" s="27"/>
      <c r="BE150" s="27"/>
      <c r="BF150" s="27"/>
      <c r="BH150" s="13"/>
      <c r="BI150" s="13"/>
      <c r="BJ150" s="13"/>
    </row>
    <row r="151" spans="1:62" ht="12.75">
      <c r="A151" s="107" t="s">
        <v>77</v>
      </c>
      <c r="B151" s="108" t="s">
        <v>391</v>
      </c>
      <c r="C151" s="109" t="s">
        <v>723</v>
      </c>
      <c r="D151" s="205" t="s">
        <v>1006</v>
      </c>
      <c r="E151" s="110">
        <f>+E152</f>
        <v>6182.239058</v>
      </c>
      <c r="F151" s="132">
        <v>0</v>
      </c>
      <c r="G151" s="139">
        <f t="shared" si="52"/>
        <v>0</v>
      </c>
      <c r="H151" s="110">
        <f t="shared" si="53"/>
        <v>0</v>
      </c>
      <c r="I151" s="140">
        <f t="shared" si="54"/>
        <v>0</v>
      </c>
      <c r="J151" s="213">
        <v>0</v>
      </c>
      <c r="K151" s="214">
        <f t="shared" si="55"/>
        <v>0</v>
      </c>
      <c r="L151" s="150" t="s">
        <v>1039</v>
      </c>
      <c r="Z151" s="27">
        <f t="shared" si="56"/>
        <v>0</v>
      </c>
      <c r="AB151" s="27">
        <f t="shared" si="57"/>
        <v>0</v>
      </c>
      <c r="AC151" s="27">
        <f t="shared" si="58"/>
        <v>0</v>
      </c>
      <c r="AD151" s="27">
        <f t="shared" si="59"/>
        <v>0</v>
      </c>
      <c r="AE151" s="27">
        <f t="shared" si="60"/>
        <v>0</v>
      </c>
      <c r="AF151" s="27">
        <f t="shared" si="61"/>
        <v>0</v>
      </c>
      <c r="AG151" s="27">
        <f t="shared" si="62"/>
        <v>0</v>
      </c>
      <c r="AH151" s="27">
        <f t="shared" si="63"/>
        <v>0</v>
      </c>
      <c r="AI151" s="20"/>
      <c r="AJ151" s="13">
        <f t="shared" si="64"/>
        <v>0</v>
      </c>
      <c r="AK151" s="13">
        <f t="shared" si="65"/>
        <v>0</v>
      </c>
      <c r="AL151" s="13">
        <f t="shared" si="66"/>
        <v>0</v>
      </c>
      <c r="AN151" s="27">
        <v>21</v>
      </c>
      <c r="AO151" s="27">
        <f t="shared" si="67"/>
        <v>0</v>
      </c>
      <c r="AP151" s="27">
        <f t="shared" si="68"/>
        <v>0</v>
      </c>
      <c r="AQ151" s="23" t="s">
        <v>7</v>
      </c>
      <c r="AV151" s="27">
        <f t="shared" si="69"/>
        <v>0</v>
      </c>
      <c r="AW151" s="27">
        <f t="shared" si="70"/>
        <v>0</v>
      </c>
      <c r="AX151" s="27">
        <f t="shared" si="71"/>
        <v>0</v>
      </c>
      <c r="AY151" s="28" t="s">
        <v>1056</v>
      </c>
      <c r="AZ151" s="28" t="s">
        <v>1093</v>
      </c>
      <c r="BA151" s="20" t="s">
        <v>1106</v>
      </c>
      <c r="BC151" s="27">
        <f t="shared" si="72"/>
        <v>0</v>
      </c>
      <c r="BD151" s="27">
        <f t="shared" si="73"/>
        <v>0</v>
      </c>
      <c r="BE151" s="27">
        <v>0</v>
      </c>
      <c r="BF151" s="27">
        <f t="shared" si="74"/>
        <v>0</v>
      </c>
      <c r="BH151" s="13">
        <f t="shared" si="75"/>
        <v>0</v>
      </c>
      <c r="BI151" s="13">
        <f t="shared" si="76"/>
        <v>0</v>
      </c>
      <c r="BJ151" s="13">
        <f t="shared" si="77"/>
        <v>0</v>
      </c>
    </row>
    <row r="152" spans="1:62" ht="12.75">
      <c r="A152" s="107"/>
      <c r="B152" s="108"/>
      <c r="C152" s="99" t="s">
        <v>1666</v>
      </c>
      <c r="D152" s="100" t="s">
        <v>1006</v>
      </c>
      <c r="E152" s="101">
        <f>+Výměry!E215</f>
        <v>6182.239058</v>
      </c>
      <c r="F152" s="132"/>
      <c r="G152" s="139"/>
      <c r="H152" s="110"/>
      <c r="I152" s="140"/>
      <c r="J152" s="213"/>
      <c r="K152" s="214"/>
      <c r="L152" s="150"/>
      <c r="Z152" s="27"/>
      <c r="AB152" s="27"/>
      <c r="AC152" s="27"/>
      <c r="AD152" s="27"/>
      <c r="AE152" s="27"/>
      <c r="AF152" s="27"/>
      <c r="AG152" s="27"/>
      <c r="AH152" s="27"/>
      <c r="AI152" s="20"/>
      <c r="AJ152" s="13"/>
      <c r="AK152" s="13"/>
      <c r="AL152" s="13"/>
      <c r="AN152" s="27"/>
      <c r="AO152" s="27"/>
      <c r="AP152" s="27"/>
      <c r="AQ152" s="23"/>
      <c r="AV152" s="27"/>
      <c r="AW152" s="27"/>
      <c r="AX152" s="27"/>
      <c r="AY152" s="28"/>
      <c r="AZ152" s="28"/>
      <c r="BA152" s="20"/>
      <c r="BC152" s="27"/>
      <c r="BD152" s="27"/>
      <c r="BE152" s="27"/>
      <c r="BF152" s="27"/>
      <c r="BH152" s="13"/>
      <c r="BI152" s="13"/>
      <c r="BJ152" s="13"/>
    </row>
    <row r="153" spans="1:62" ht="12.75">
      <c r="A153" s="107" t="s">
        <v>78</v>
      </c>
      <c r="B153" s="108" t="s">
        <v>392</v>
      </c>
      <c r="C153" s="109" t="s">
        <v>724</v>
      </c>
      <c r="D153" s="205" t="s">
        <v>1005</v>
      </c>
      <c r="E153" s="110">
        <f>+E154</f>
        <v>1633</v>
      </c>
      <c r="F153" s="132">
        <v>0</v>
      </c>
      <c r="G153" s="139">
        <f t="shared" si="52"/>
        <v>0</v>
      </c>
      <c r="H153" s="110">
        <f t="shared" si="53"/>
        <v>0</v>
      </c>
      <c r="I153" s="140">
        <f t="shared" si="54"/>
        <v>0</v>
      </c>
      <c r="J153" s="213">
        <v>0</v>
      </c>
      <c r="K153" s="214">
        <f t="shared" si="55"/>
        <v>0</v>
      </c>
      <c r="L153" s="150" t="s">
        <v>1039</v>
      </c>
      <c r="Z153" s="27">
        <f t="shared" si="56"/>
        <v>0</v>
      </c>
      <c r="AB153" s="27">
        <f t="shared" si="57"/>
        <v>0</v>
      </c>
      <c r="AC153" s="27">
        <f t="shared" si="58"/>
        <v>0</v>
      </c>
      <c r="AD153" s="27">
        <f t="shared" si="59"/>
        <v>0</v>
      </c>
      <c r="AE153" s="27">
        <f t="shared" si="60"/>
        <v>0</v>
      </c>
      <c r="AF153" s="27">
        <f t="shared" si="61"/>
        <v>0</v>
      </c>
      <c r="AG153" s="27">
        <f t="shared" si="62"/>
        <v>0</v>
      </c>
      <c r="AH153" s="27">
        <f t="shared" si="63"/>
        <v>0</v>
      </c>
      <c r="AI153" s="20"/>
      <c r="AJ153" s="13">
        <f t="shared" si="64"/>
        <v>0</v>
      </c>
      <c r="AK153" s="13">
        <f t="shared" si="65"/>
        <v>0</v>
      </c>
      <c r="AL153" s="13">
        <f t="shared" si="66"/>
        <v>0</v>
      </c>
      <c r="AN153" s="27">
        <v>21</v>
      </c>
      <c r="AO153" s="27">
        <f t="shared" si="67"/>
        <v>0</v>
      </c>
      <c r="AP153" s="27">
        <f t="shared" si="68"/>
        <v>0</v>
      </c>
      <c r="AQ153" s="23" t="s">
        <v>7</v>
      </c>
      <c r="AV153" s="27">
        <f t="shared" si="69"/>
        <v>0</v>
      </c>
      <c r="AW153" s="27">
        <f t="shared" si="70"/>
        <v>0</v>
      </c>
      <c r="AX153" s="27">
        <f t="shared" si="71"/>
        <v>0</v>
      </c>
      <c r="AY153" s="28" t="s">
        <v>1056</v>
      </c>
      <c r="AZ153" s="28" t="s">
        <v>1093</v>
      </c>
      <c r="BA153" s="20" t="s">
        <v>1106</v>
      </c>
      <c r="BC153" s="27">
        <f t="shared" si="72"/>
        <v>0</v>
      </c>
      <c r="BD153" s="27">
        <f t="shared" si="73"/>
        <v>0</v>
      </c>
      <c r="BE153" s="27">
        <v>0</v>
      </c>
      <c r="BF153" s="27">
        <f t="shared" si="74"/>
        <v>0</v>
      </c>
      <c r="BH153" s="13">
        <f t="shared" si="75"/>
        <v>0</v>
      </c>
      <c r="BI153" s="13">
        <f t="shared" si="76"/>
        <v>0</v>
      </c>
      <c r="BJ153" s="13">
        <f t="shared" si="77"/>
        <v>0</v>
      </c>
    </row>
    <row r="154" spans="1:62" ht="12.75">
      <c r="A154" s="107"/>
      <c r="B154" s="108"/>
      <c r="C154" s="99" t="s">
        <v>1667</v>
      </c>
      <c r="D154" s="100" t="s">
        <v>1005</v>
      </c>
      <c r="E154" s="101">
        <f>+E19</f>
        <v>1633</v>
      </c>
      <c r="F154" s="132"/>
      <c r="G154" s="139"/>
      <c r="H154" s="110"/>
      <c r="I154" s="140"/>
      <c r="J154" s="213"/>
      <c r="K154" s="214"/>
      <c r="L154" s="150"/>
      <c r="Z154" s="27"/>
      <c r="AB154" s="27"/>
      <c r="AC154" s="27"/>
      <c r="AD154" s="27"/>
      <c r="AE154" s="27"/>
      <c r="AF154" s="27"/>
      <c r="AG154" s="27"/>
      <c r="AH154" s="27"/>
      <c r="AI154" s="20"/>
      <c r="AJ154" s="13"/>
      <c r="AK154" s="13"/>
      <c r="AL154" s="13"/>
      <c r="AN154" s="27"/>
      <c r="AO154" s="27"/>
      <c r="AP154" s="27"/>
      <c r="AQ154" s="23"/>
      <c r="AV154" s="27"/>
      <c r="AW154" s="27"/>
      <c r="AX154" s="27"/>
      <c r="AY154" s="28"/>
      <c r="AZ154" s="28"/>
      <c r="BA154" s="20"/>
      <c r="BC154" s="27"/>
      <c r="BD154" s="27"/>
      <c r="BE154" s="27"/>
      <c r="BF154" s="27"/>
      <c r="BH154" s="13"/>
      <c r="BI154" s="13"/>
      <c r="BJ154" s="13"/>
    </row>
    <row r="155" spans="1:62" ht="12.75">
      <c r="A155" s="107" t="s">
        <v>79</v>
      </c>
      <c r="B155" s="108" t="s">
        <v>393</v>
      </c>
      <c r="C155" s="109" t="s">
        <v>725</v>
      </c>
      <c r="D155" s="205" t="s">
        <v>1006</v>
      </c>
      <c r="E155" s="110">
        <f>+E156</f>
        <v>163.3</v>
      </c>
      <c r="F155" s="132">
        <v>0</v>
      </c>
      <c r="G155" s="139">
        <f t="shared" si="52"/>
        <v>0</v>
      </c>
      <c r="H155" s="110">
        <f t="shared" si="53"/>
        <v>0</v>
      </c>
      <c r="I155" s="140">
        <f t="shared" si="54"/>
        <v>0</v>
      </c>
      <c r="J155" s="213">
        <v>0</v>
      </c>
      <c r="K155" s="214">
        <f t="shared" si="55"/>
        <v>0</v>
      </c>
      <c r="L155" s="150" t="s">
        <v>1039</v>
      </c>
      <c r="Z155" s="27">
        <f t="shared" si="56"/>
        <v>0</v>
      </c>
      <c r="AB155" s="27">
        <f t="shared" si="57"/>
        <v>0</v>
      </c>
      <c r="AC155" s="27">
        <f t="shared" si="58"/>
        <v>0</v>
      </c>
      <c r="AD155" s="27">
        <f t="shared" si="59"/>
        <v>0</v>
      </c>
      <c r="AE155" s="27">
        <f t="shared" si="60"/>
        <v>0</v>
      </c>
      <c r="AF155" s="27">
        <f t="shared" si="61"/>
        <v>0</v>
      </c>
      <c r="AG155" s="27">
        <f t="shared" si="62"/>
        <v>0</v>
      </c>
      <c r="AH155" s="27">
        <f t="shared" si="63"/>
        <v>0</v>
      </c>
      <c r="AI155" s="20"/>
      <c r="AJ155" s="13">
        <f t="shared" si="64"/>
        <v>0</v>
      </c>
      <c r="AK155" s="13">
        <f t="shared" si="65"/>
        <v>0</v>
      </c>
      <c r="AL155" s="13">
        <f t="shared" si="66"/>
        <v>0</v>
      </c>
      <c r="AN155" s="27">
        <v>21</v>
      </c>
      <c r="AO155" s="27">
        <f t="shared" si="67"/>
        <v>0</v>
      </c>
      <c r="AP155" s="27">
        <f t="shared" si="68"/>
        <v>0</v>
      </c>
      <c r="AQ155" s="23" t="s">
        <v>7</v>
      </c>
      <c r="AV155" s="27">
        <f t="shared" si="69"/>
        <v>0</v>
      </c>
      <c r="AW155" s="27">
        <f t="shared" si="70"/>
        <v>0</v>
      </c>
      <c r="AX155" s="27">
        <f t="shared" si="71"/>
        <v>0</v>
      </c>
      <c r="AY155" s="28" t="s">
        <v>1056</v>
      </c>
      <c r="AZ155" s="28" t="s">
        <v>1093</v>
      </c>
      <c r="BA155" s="20" t="s">
        <v>1106</v>
      </c>
      <c r="BC155" s="27">
        <f t="shared" si="72"/>
        <v>0</v>
      </c>
      <c r="BD155" s="27">
        <f t="shared" si="73"/>
        <v>0</v>
      </c>
      <c r="BE155" s="27">
        <v>0</v>
      </c>
      <c r="BF155" s="27">
        <f t="shared" si="74"/>
        <v>0</v>
      </c>
      <c r="BH155" s="13">
        <f t="shared" si="75"/>
        <v>0</v>
      </c>
      <c r="BI155" s="13">
        <f t="shared" si="76"/>
        <v>0</v>
      </c>
      <c r="BJ155" s="13">
        <f t="shared" si="77"/>
        <v>0</v>
      </c>
    </row>
    <row r="156" spans="1:62" ht="12.75">
      <c r="A156" s="107"/>
      <c r="B156" s="108"/>
      <c r="C156" s="99" t="s">
        <v>1668</v>
      </c>
      <c r="D156" s="100" t="s">
        <v>1006</v>
      </c>
      <c r="E156" s="101">
        <f>+E19*0.1</f>
        <v>163.3</v>
      </c>
      <c r="F156" s="132"/>
      <c r="G156" s="139"/>
      <c r="H156" s="110"/>
      <c r="I156" s="140"/>
      <c r="J156" s="213"/>
      <c r="K156" s="214"/>
      <c r="L156" s="150"/>
      <c r="Z156" s="27"/>
      <c r="AB156" s="27"/>
      <c r="AC156" s="27"/>
      <c r="AD156" s="27"/>
      <c r="AE156" s="27"/>
      <c r="AF156" s="27"/>
      <c r="AG156" s="27"/>
      <c r="AH156" s="27"/>
      <c r="AI156" s="20"/>
      <c r="AJ156" s="13"/>
      <c r="AK156" s="13"/>
      <c r="AL156" s="13"/>
      <c r="AN156" s="27"/>
      <c r="AO156" s="27"/>
      <c r="AP156" s="27"/>
      <c r="AQ156" s="23"/>
      <c r="AV156" s="27"/>
      <c r="AW156" s="27"/>
      <c r="AX156" s="27"/>
      <c r="AY156" s="28"/>
      <c r="AZ156" s="28"/>
      <c r="BA156" s="20"/>
      <c r="BC156" s="27"/>
      <c r="BD156" s="27"/>
      <c r="BE156" s="27"/>
      <c r="BF156" s="27"/>
      <c r="BH156" s="13"/>
      <c r="BI156" s="13"/>
      <c r="BJ156" s="13"/>
    </row>
    <row r="157" spans="1:62" ht="12.75">
      <c r="A157" s="107" t="s">
        <v>80</v>
      </c>
      <c r="B157" s="108" t="s">
        <v>394</v>
      </c>
      <c r="C157" s="109" t="s">
        <v>726</v>
      </c>
      <c r="D157" s="205" t="s">
        <v>1006</v>
      </c>
      <c r="E157" s="110">
        <f>+E158</f>
        <v>1541.4625429999999</v>
      </c>
      <c r="F157" s="132">
        <v>0</v>
      </c>
      <c r="G157" s="139">
        <f t="shared" si="52"/>
        <v>0</v>
      </c>
      <c r="H157" s="110">
        <f t="shared" si="53"/>
        <v>0</v>
      </c>
      <c r="I157" s="140">
        <f t="shared" si="54"/>
        <v>0</v>
      </c>
      <c r="J157" s="213">
        <v>0</v>
      </c>
      <c r="K157" s="214">
        <f t="shared" si="55"/>
        <v>0</v>
      </c>
      <c r="L157" s="150" t="s">
        <v>1039</v>
      </c>
      <c r="Z157" s="27">
        <f t="shared" si="56"/>
        <v>0</v>
      </c>
      <c r="AB157" s="27">
        <f t="shared" si="57"/>
        <v>0</v>
      </c>
      <c r="AC157" s="27">
        <f t="shared" si="58"/>
        <v>0</v>
      </c>
      <c r="AD157" s="27">
        <f t="shared" si="59"/>
        <v>0</v>
      </c>
      <c r="AE157" s="27">
        <f t="shared" si="60"/>
        <v>0</v>
      </c>
      <c r="AF157" s="27">
        <f t="shared" si="61"/>
        <v>0</v>
      </c>
      <c r="AG157" s="27">
        <f t="shared" si="62"/>
        <v>0</v>
      </c>
      <c r="AH157" s="27">
        <f t="shared" si="63"/>
        <v>0</v>
      </c>
      <c r="AI157" s="20"/>
      <c r="AJ157" s="13">
        <f t="shared" si="64"/>
        <v>0</v>
      </c>
      <c r="AK157" s="13">
        <f t="shared" si="65"/>
        <v>0</v>
      </c>
      <c r="AL157" s="13">
        <f t="shared" si="66"/>
        <v>0</v>
      </c>
      <c r="AN157" s="27">
        <v>21</v>
      </c>
      <c r="AO157" s="27">
        <f t="shared" si="67"/>
        <v>0</v>
      </c>
      <c r="AP157" s="27">
        <f t="shared" si="68"/>
        <v>0</v>
      </c>
      <c r="AQ157" s="23" t="s">
        <v>7</v>
      </c>
      <c r="AV157" s="27">
        <f t="shared" si="69"/>
        <v>0</v>
      </c>
      <c r="AW157" s="27">
        <f t="shared" si="70"/>
        <v>0</v>
      </c>
      <c r="AX157" s="27">
        <f t="shared" si="71"/>
        <v>0</v>
      </c>
      <c r="AY157" s="28" t="s">
        <v>1056</v>
      </c>
      <c r="AZ157" s="28" t="s">
        <v>1093</v>
      </c>
      <c r="BA157" s="20" t="s">
        <v>1106</v>
      </c>
      <c r="BC157" s="27">
        <f t="shared" si="72"/>
        <v>0</v>
      </c>
      <c r="BD157" s="27">
        <f t="shared" si="73"/>
        <v>0</v>
      </c>
      <c r="BE157" s="27">
        <v>0</v>
      </c>
      <c r="BF157" s="27">
        <f t="shared" si="74"/>
        <v>0</v>
      </c>
      <c r="BH157" s="13">
        <f t="shared" si="75"/>
        <v>0</v>
      </c>
      <c r="BI157" s="13">
        <f t="shared" si="76"/>
        <v>0</v>
      </c>
      <c r="BJ157" s="13">
        <f t="shared" si="77"/>
        <v>0</v>
      </c>
    </row>
    <row r="158" spans="1:62" ht="12.75">
      <c r="A158" s="107"/>
      <c r="B158" s="108"/>
      <c r="C158" s="99" t="s">
        <v>1686</v>
      </c>
      <c r="D158" s="100" t="s">
        <v>1006</v>
      </c>
      <c r="E158" s="101">
        <f>+Výměry!E223</f>
        <v>1541.4625429999999</v>
      </c>
      <c r="F158" s="132"/>
      <c r="G158" s="139"/>
      <c r="H158" s="110"/>
      <c r="I158" s="140"/>
      <c r="J158" s="213"/>
      <c r="K158" s="214"/>
      <c r="L158" s="150"/>
      <c r="Z158" s="27"/>
      <c r="AB158" s="27"/>
      <c r="AC158" s="27"/>
      <c r="AD158" s="27"/>
      <c r="AE158" s="27"/>
      <c r="AF158" s="27"/>
      <c r="AG158" s="27"/>
      <c r="AH158" s="27"/>
      <c r="AI158" s="20"/>
      <c r="AJ158" s="13"/>
      <c r="AK158" s="13"/>
      <c r="AL158" s="13"/>
      <c r="AN158" s="27"/>
      <c r="AO158" s="27"/>
      <c r="AP158" s="27"/>
      <c r="AQ158" s="23"/>
      <c r="AV158" s="27"/>
      <c r="AW158" s="27"/>
      <c r="AX158" s="27"/>
      <c r="AY158" s="28"/>
      <c r="AZ158" s="28"/>
      <c r="BA158" s="20"/>
      <c r="BC158" s="27"/>
      <c r="BD158" s="27"/>
      <c r="BE158" s="27"/>
      <c r="BF158" s="27"/>
      <c r="BH158" s="13"/>
      <c r="BI158" s="13"/>
      <c r="BJ158" s="13"/>
    </row>
    <row r="159" spans="1:62" ht="12.75">
      <c r="A159" s="107" t="s">
        <v>81</v>
      </c>
      <c r="B159" s="108" t="s">
        <v>395</v>
      </c>
      <c r="C159" s="109" t="s">
        <v>727</v>
      </c>
      <c r="D159" s="205" t="s">
        <v>1005</v>
      </c>
      <c r="E159" s="110">
        <v>1633</v>
      </c>
      <c r="F159" s="132">
        <v>0</v>
      </c>
      <c r="G159" s="139">
        <f t="shared" si="52"/>
        <v>0</v>
      </c>
      <c r="H159" s="110">
        <f t="shared" si="53"/>
        <v>0</v>
      </c>
      <c r="I159" s="140">
        <f t="shared" si="54"/>
        <v>0</v>
      </c>
      <c r="J159" s="213">
        <v>0</v>
      </c>
      <c r="K159" s="214">
        <f t="shared" si="55"/>
        <v>0</v>
      </c>
      <c r="L159" s="150" t="s">
        <v>1039</v>
      </c>
      <c r="Z159" s="27">
        <f t="shared" si="56"/>
        <v>0</v>
      </c>
      <c r="AB159" s="27">
        <f t="shared" si="57"/>
        <v>0</v>
      </c>
      <c r="AC159" s="27">
        <f t="shared" si="58"/>
        <v>0</v>
      </c>
      <c r="AD159" s="27">
        <f t="shared" si="59"/>
        <v>0</v>
      </c>
      <c r="AE159" s="27">
        <f t="shared" si="60"/>
        <v>0</v>
      </c>
      <c r="AF159" s="27">
        <f t="shared" si="61"/>
        <v>0</v>
      </c>
      <c r="AG159" s="27">
        <f t="shared" si="62"/>
        <v>0</v>
      </c>
      <c r="AH159" s="27">
        <f t="shared" si="63"/>
        <v>0</v>
      </c>
      <c r="AI159" s="20"/>
      <c r="AJ159" s="13">
        <f t="shared" si="64"/>
        <v>0</v>
      </c>
      <c r="AK159" s="13">
        <f t="shared" si="65"/>
        <v>0</v>
      </c>
      <c r="AL159" s="13">
        <f t="shared" si="66"/>
        <v>0</v>
      </c>
      <c r="AN159" s="27">
        <v>21</v>
      </c>
      <c r="AO159" s="27">
        <f t="shared" si="67"/>
        <v>0</v>
      </c>
      <c r="AP159" s="27">
        <f t="shared" si="68"/>
        <v>0</v>
      </c>
      <c r="AQ159" s="23" t="s">
        <v>7</v>
      </c>
      <c r="AV159" s="27">
        <f t="shared" si="69"/>
        <v>0</v>
      </c>
      <c r="AW159" s="27">
        <f t="shared" si="70"/>
        <v>0</v>
      </c>
      <c r="AX159" s="27">
        <f t="shared" si="71"/>
        <v>0</v>
      </c>
      <c r="AY159" s="28" t="s">
        <v>1056</v>
      </c>
      <c r="AZ159" s="28" t="s">
        <v>1093</v>
      </c>
      <c r="BA159" s="20" t="s">
        <v>1106</v>
      </c>
      <c r="BC159" s="27">
        <f t="shared" si="72"/>
        <v>0</v>
      </c>
      <c r="BD159" s="27">
        <f t="shared" si="73"/>
        <v>0</v>
      </c>
      <c r="BE159" s="27">
        <v>0</v>
      </c>
      <c r="BF159" s="27">
        <f t="shared" si="74"/>
        <v>0</v>
      </c>
      <c r="BH159" s="13">
        <f t="shared" si="75"/>
        <v>0</v>
      </c>
      <c r="BI159" s="13">
        <f t="shared" si="76"/>
        <v>0</v>
      </c>
      <c r="BJ159" s="13">
        <f t="shared" si="77"/>
        <v>0</v>
      </c>
    </row>
    <row r="160" spans="1:47" ht="12.75">
      <c r="A160" s="111"/>
      <c r="B160" s="112" t="s">
        <v>23</v>
      </c>
      <c r="C160" s="113" t="s">
        <v>728</v>
      </c>
      <c r="D160" s="206" t="s">
        <v>6</v>
      </c>
      <c r="E160" s="114" t="s">
        <v>6</v>
      </c>
      <c r="F160" s="133" t="s">
        <v>6</v>
      </c>
      <c r="G160" s="141">
        <f>SUM(G161:G167)</f>
        <v>0</v>
      </c>
      <c r="H160" s="115">
        <f>SUM(H161:H167)</f>
        <v>0</v>
      </c>
      <c r="I160" s="142">
        <f>SUM(I161:I167)</f>
        <v>0</v>
      </c>
      <c r="J160" s="215"/>
      <c r="K160" s="216">
        <f>SUM(K161:K167)</f>
        <v>0</v>
      </c>
      <c r="L160" s="151"/>
      <c r="AI160" s="20"/>
      <c r="AS160" s="29">
        <f>SUM(AJ161:AJ167)</f>
        <v>0</v>
      </c>
      <c r="AT160" s="29">
        <f>SUM(AK161:AK167)</f>
        <v>0</v>
      </c>
      <c r="AU160" s="29">
        <f>SUM(AL161:AL167)</f>
        <v>0</v>
      </c>
    </row>
    <row r="161" spans="1:62" ht="12.75">
      <c r="A161" s="107" t="s">
        <v>82</v>
      </c>
      <c r="B161" s="108" t="s">
        <v>396</v>
      </c>
      <c r="C161" s="109" t="s">
        <v>729</v>
      </c>
      <c r="D161" s="205" t="s">
        <v>1006</v>
      </c>
      <c r="E161" s="110">
        <f>+E162</f>
        <v>3.76</v>
      </c>
      <c r="F161" s="132">
        <v>0</v>
      </c>
      <c r="G161" s="139">
        <f>E161*AO161</f>
        <v>0</v>
      </c>
      <c r="H161" s="110">
        <f>E161*AP161</f>
        <v>0</v>
      </c>
      <c r="I161" s="140">
        <f>E161*F161</f>
        <v>0</v>
      </c>
      <c r="J161" s="213">
        <v>0</v>
      </c>
      <c r="K161" s="214">
        <f>E161*J161</f>
        <v>0</v>
      </c>
      <c r="L161" s="150" t="s">
        <v>1039</v>
      </c>
      <c r="Z161" s="27">
        <f>IF(AQ161="5",BJ161,0)</f>
        <v>0</v>
      </c>
      <c r="AB161" s="27">
        <f>IF(AQ161="1",BH161,0)</f>
        <v>0</v>
      </c>
      <c r="AC161" s="27">
        <f>IF(AQ161="1",BI161,0)</f>
        <v>0</v>
      </c>
      <c r="AD161" s="27">
        <f>IF(AQ161="7",BH161,0)</f>
        <v>0</v>
      </c>
      <c r="AE161" s="27">
        <f>IF(AQ161="7",BI161,0)</f>
        <v>0</v>
      </c>
      <c r="AF161" s="27">
        <f>IF(AQ161="2",BH161,0)</f>
        <v>0</v>
      </c>
      <c r="AG161" s="27">
        <f>IF(AQ161="2",BI161,0)</f>
        <v>0</v>
      </c>
      <c r="AH161" s="27">
        <f>IF(AQ161="0",BJ161,0)</f>
        <v>0</v>
      </c>
      <c r="AI161" s="20"/>
      <c r="AJ161" s="13">
        <f>IF(AN161=0,I161,0)</f>
        <v>0</v>
      </c>
      <c r="AK161" s="13">
        <f>IF(AN161=15,I161,0)</f>
        <v>0</v>
      </c>
      <c r="AL161" s="13">
        <f>IF(AN161=21,I161,0)</f>
        <v>0</v>
      </c>
      <c r="AN161" s="27">
        <v>21</v>
      </c>
      <c r="AO161" s="27">
        <f>F161*0</f>
        <v>0</v>
      </c>
      <c r="AP161" s="27">
        <f>F161*(1-0)</f>
        <v>0</v>
      </c>
      <c r="AQ161" s="23" t="s">
        <v>7</v>
      </c>
      <c r="AV161" s="27">
        <f>AW161+AX161</f>
        <v>0</v>
      </c>
      <c r="AW161" s="27">
        <f>E161*AO161</f>
        <v>0</v>
      </c>
      <c r="AX161" s="27">
        <f>E161*AP161</f>
        <v>0</v>
      </c>
      <c r="AY161" s="28" t="s">
        <v>1057</v>
      </c>
      <c r="AZ161" s="28" t="s">
        <v>1093</v>
      </c>
      <c r="BA161" s="20" t="s">
        <v>1106</v>
      </c>
      <c r="BC161" s="27">
        <f>AW161+AX161</f>
        <v>0</v>
      </c>
      <c r="BD161" s="27">
        <f>F161/(100-BE161)*100</f>
        <v>0</v>
      </c>
      <c r="BE161" s="27">
        <v>0</v>
      </c>
      <c r="BF161" s="27">
        <f>K161</f>
        <v>0</v>
      </c>
      <c r="BH161" s="13">
        <f>E161*AO161</f>
        <v>0</v>
      </c>
      <c r="BI161" s="13">
        <f>E161*AP161</f>
        <v>0</v>
      </c>
      <c r="BJ161" s="13">
        <f>E161*F161</f>
        <v>0</v>
      </c>
    </row>
    <row r="162" spans="1:62" ht="12.75">
      <c r="A162" s="107"/>
      <c r="B162" s="108"/>
      <c r="C162" s="99" t="s">
        <v>1669</v>
      </c>
      <c r="D162" s="100" t="s">
        <v>1006</v>
      </c>
      <c r="E162" s="101">
        <f>1.88*1*2</f>
        <v>3.76</v>
      </c>
      <c r="F162" s="132"/>
      <c r="G162" s="139"/>
      <c r="H162" s="110"/>
      <c r="I162" s="140"/>
      <c r="J162" s="213"/>
      <c r="K162" s="214"/>
      <c r="L162" s="150"/>
      <c r="Z162" s="27"/>
      <c r="AB162" s="27"/>
      <c r="AC162" s="27"/>
      <c r="AD162" s="27"/>
      <c r="AE162" s="27"/>
      <c r="AF162" s="27"/>
      <c r="AG162" s="27"/>
      <c r="AH162" s="27"/>
      <c r="AI162" s="20"/>
      <c r="AJ162" s="13"/>
      <c r="AK162" s="13"/>
      <c r="AL162" s="13"/>
      <c r="AN162" s="27"/>
      <c r="AO162" s="27"/>
      <c r="AP162" s="27"/>
      <c r="AQ162" s="23"/>
      <c r="AV162" s="27"/>
      <c r="AW162" s="27"/>
      <c r="AX162" s="27"/>
      <c r="AY162" s="28"/>
      <c r="AZ162" s="28"/>
      <c r="BA162" s="20"/>
      <c r="BC162" s="27"/>
      <c r="BD162" s="27"/>
      <c r="BE162" s="27"/>
      <c r="BF162" s="27"/>
      <c r="BH162" s="13"/>
      <c r="BI162" s="13"/>
      <c r="BJ162" s="13"/>
    </row>
    <row r="163" spans="1:62" ht="12.75">
      <c r="A163" s="107" t="s">
        <v>83</v>
      </c>
      <c r="B163" s="108" t="s">
        <v>397</v>
      </c>
      <c r="C163" s="109" t="s">
        <v>730</v>
      </c>
      <c r="D163" s="205" t="s">
        <v>1006</v>
      </c>
      <c r="E163" s="110">
        <f>+E164</f>
        <v>37.26</v>
      </c>
      <c r="F163" s="132">
        <v>0</v>
      </c>
      <c r="G163" s="139">
        <f>E163*AO163</f>
        <v>0</v>
      </c>
      <c r="H163" s="110">
        <f>E163*AP163</f>
        <v>0</v>
      </c>
      <c r="I163" s="140">
        <f>E163*F163</f>
        <v>0</v>
      </c>
      <c r="J163" s="213">
        <v>0</v>
      </c>
      <c r="K163" s="214">
        <f>E163*J163</f>
        <v>0</v>
      </c>
      <c r="L163" s="150" t="s">
        <v>1039</v>
      </c>
      <c r="Z163" s="27">
        <f>IF(AQ163="5",BJ163,0)</f>
        <v>0</v>
      </c>
      <c r="AB163" s="27">
        <f>IF(AQ163="1",BH163,0)</f>
        <v>0</v>
      </c>
      <c r="AC163" s="27">
        <f>IF(AQ163="1",BI163,0)</f>
        <v>0</v>
      </c>
      <c r="AD163" s="27">
        <f>IF(AQ163="7",BH163,0)</f>
        <v>0</v>
      </c>
      <c r="AE163" s="27">
        <f>IF(AQ163="7",BI163,0)</f>
        <v>0</v>
      </c>
      <c r="AF163" s="27">
        <f>IF(AQ163="2",BH163,0)</f>
        <v>0</v>
      </c>
      <c r="AG163" s="27">
        <f>IF(AQ163="2",BI163,0)</f>
        <v>0</v>
      </c>
      <c r="AH163" s="27">
        <f>IF(AQ163="0",BJ163,0)</f>
        <v>0</v>
      </c>
      <c r="AI163" s="20"/>
      <c r="AJ163" s="13">
        <f>IF(AN163=0,I163,0)</f>
        <v>0</v>
      </c>
      <c r="AK163" s="13">
        <f>IF(AN163=15,I163,0)</f>
        <v>0</v>
      </c>
      <c r="AL163" s="13">
        <f>IF(AN163=21,I163,0)</f>
        <v>0</v>
      </c>
      <c r="AN163" s="27">
        <v>21</v>
      </c>
      <c r="AO163" s="27">
        <f>F163*0</f>
        <v>0</v>
      </c>
      <c r="AP163" s="27">
        <f>F163*(1-0)</f>
        <v>0</v>
      </c>
      <c r="AQ163" s="23" t="s">
        <v>7</v>
      </c>
      <c r="AV163" s="27">
        <f>AW163+AX163</f>
        <v>0</v>
      </c>
      <c r="AW163" s="27">
        <f>E163*AO163</f>
        <v>0</v>
      </c>
      <c r="AX163" s="27">
        <f>E163*AP163</f>
        <v>0</v>
      </c>
      <c r="AY163" s="28" t="s">
        <v>1057</v>
      </c>
      <c r="AZ163" s="28" t="s">
        <v>1093</v>
      </c>
      <c r="BA163" s="20" t="s">
        <v>1106</v>
      </c>
      <c r="BC163" s="27">
        <f>AW163+AX163</f>
        <v>0</v>
      </c>
      <c r="BD163" s="27">
        <f>F163/(100-BE163)*100</f>
        <v>0</v>
      </c>
      <c r="BE163" s="27">
        <v>0</v>
      </c>
      <c r="BF163" s="27">
        <f>K163</f>
        <v>0</v>
      </c>
      <c r="BH163" s="13">
        <f>E163*AO163</f>
        <v>0</v>
      </c>
      <c r="BI163" s="13">
        <f>E163*AP163</f>
        <v>0</v>
      </c>
      <c r="BJ163" s="13">
        <f>E163*F163</f>
        <v>0</v>
      </c>
    </row>
    <row r="164" spans="1:62" ht="12.75">
      <c r="A164" s="107"/>
      <c r="B164" s="108"/>
      <c r="C164" s="99" t="s">
        <v>1685</v>
      </c>
      <c r="D164" s="100" t="s">
        <v>1006</v>
      </c>
      <c r="E164" s="101">
        <f>+Výměry!E250</f>
        <v>37.26</v>
      </c>
      <c r="F164" s="132"/>
      <c r="G164" s="139"/>
      <c r="H164" s="110"/>
      <c r="I164" s="140"/>
      <c r="J164" s="213"/>
      <c r="K164" s="214"/>
      <c r="L164" s="150"/>
      <c r="Z164" s="27"/>
      <c r="AB164" s="27"/>
      <c r="AC164" s="27"/>
      <c r="AD164" s="27"/>
      <c r="AE164" s="27"/>
      <c r="AF164" s="27"/>
      <c r="AG164" s="27"/>
      <c r="AH164" s="27"/>
      <c r="AI164" s="20"/>
      <c r="AJ164" s="13"/>
      <c r="AK164" s="13"/>
      <c r="AL164" s="13"/>
      <c r="AN164" s="27"/>
      <c r="AO164" s="27"/>
      <c r="AP164" s="27"/>
      <c r="AQ164" s="23"/>
      <c r="AV164" s="27"/>
      <c r="AW164" s="27"/>
      <c r="AX164" s="27"/>
      <c r="AY164" s="28"/>
      <c r="AZ164" s="28"/>
      <c r="BA164" s="20"/>
      <c r="BC164" s="27"/>
      <c r="BD164" s="27"/>
      <c r="BE164" s="27"/>
      <c r="BF164" s="27"/>
      <c r="BH164" s="13"/>
      <c r="BI164" s="13"/>
      <c r="BJ164" s="13"/>
    </row>
    <row r="165" spans="1:62" ht="12.75">
      <c r="A165" s="107" t="s">
        <v>84</v>
      </c>
      <c r="B165" s="108" t="s">
        <v>398</v>
      </c>
      <c r="C165" s="109" t="s">
        <v>731</v>
      </c>
      <c r="D165" s="205" t="s">
        <v>1006</v>
      </c>
      <c r="E165" s="110">
        <f>+E166</f>
        <v>2347.785850500001</v>
      </c>
      <c r="F165" s="132">
        <v>0</v>
      </c>
      <c r="G165" s="139">
        <f>E165*AO165</f>
        <v>0</v>
      </c>
      <c r="H165" s="110">
        <f>E165*AP165</f>
        <v>0</v>
      </c>
      <c r="I165" s="140">
        <f>E165*F165</f>
        <v>0</v>
      </c>
      <c r="J165" s="213">
        <v>0</v>
      </c>
      <c r="K165" s="214">
        <f>E165*J165</f>
        <v>0</v>
      </c>
      <c r="L165" s="150" t="s">
        <v>1039</v>
      </c>
      <c r="Z165" s="27">
        <f>IF(AQ165="5",BJ165,0)</f>
        <v>0</v>
      </c>
      <c r="AB165" s="27">
        <f>IF(AQ165="1",BH165,0)</f>
        <v>0</v>
      </c>
      <c r="AC165" s="27">
        <f>IF(AQ165="1",BI165,0)</f>
        <v>0</v>
      </c>
      <c r="AD165" s="27">
        <f>IF(AQ165="7",BH165,0)</f>
        <v>0</v>
      </c>
      <c r="AE165" s="27">
        <f>IF(AQ165="7",BI165,0)</f>
        <v>0</v>
      </c>
      <c r="AF165" s="27">
        <f>IF(AQ165="2",BH165,0)</f>
        <v>0</v>
      </c>
      <c r="AG165" s="27">
        <f>IF(AQ165="2",BI165,0)</f>
        <v>0</v>
      </c>
      <c r="AH165" s="27">
        <f>IF(AQ165="0",BJ165,0)</f>
        <v>0</v>
      </c>
      <c r="AI165" s="20"/>
      <c r="AJ165" s="13">
        <f>IF(AN165=0,I165,0)</f>
        <v>0</v>
      </c>
      <c r="AK165" s="13">
        <f>IF(AN165=15,I165,0)</f>
        <v>0</v>
      </c>
      <c r="AL165" s="13">
        <f>IF(AN165=21,I165,0)</f>
        <v>0</v>
      </c>
      <c r="AN165" s="27">
        <v>21</v>
      </c>
      <c r="AO165" s="27">
        <f>F165*0</f>
        <v>0</v>
      </c>
      <c r="AP165" s="27">
        <f>F165*(1-0)</f>
        <v>0</v>
      </c>
      <c r="AQ165" s="23" t="s">
        <v>7</v>
      </c>
      <c r="AV165" s="27">
        <f>AW165+AX165</f>
        <v>0</v>
      </c>
      <c r="AW165" s="27">
        <f>E165*AO165</f>
        <v>0</v>
      </c>
      <c r="AX165" s="27">
        <f>E165*AP165</f>
        <v>0</v>
      </c>
      <c r="AY165" s="28" t="s">
        <v>1057</v>
      </c>
      <c r="AZ165" s="28" t="s">
        <v>1093</v>
      </c>
      <c r="BA165" s="20" t="s">
        <v>1106</v>
      </c>
      <c r="BC165" s="27">
        <f>AW165+AX165</f>
        <v>0</v>
      </c>
      <c r="BD165" s="27">
        <f>F165/(100-BE165)*100</f>
        <v>0</v>
      </c>
      <c r="BE165" s="27">
        <v>0</v>
      </c>
      <c r="BF165" s="27">
        <f>K165</f>
        <v>0</v>
      </c>
      <c r="BH165" s="13">
        <f>E165*AO165</f>
        <v>0</v>
      </c>
      <c r="BI165" s="13">
        <f>E165*AP165</f>
        <v>0</v>
      </c>
      <c r="BJ165" s="13">
        <f>E165*F165</f>
        <v>0</v>
      </c>
    </row>
    <row r="166" spans="1:62" ht="12.75">
      <c r="A166" s="107"/>
      <c r="B166" s="108"/>
      <c r="C166" s="99" t="s">
        <v>1683</v>
      </c>
      <c r="D166" s="100" t="s">
        <v>1006</v>
      </c>
      <c r="E166" s="101">
        <f>+Výměry!E247</f>
        <v>2347.785850500001</v>
      </c>
      <c r="F166" s="132"/>
      <c r="G166" s="139"/>
      <c r="H166" s="110"/>
      <c r="I166" s="140"/>
      <c r="J166" s="213"/>
      <c r="K166" s="214"/>
      <c r="L166" s="150"/>
      <c r="Z166" s="27"/>
      <c r="AB166" s="27"/>
      <c r="AC166" s="27"/>
      <c r="AD166" s="27"/>
      <c r="AE166" s="27"/>
      <c r="AF166" s="27"/>
      <c r="AG166" s="27"/>
      <c r="AH166" s="27"/>
      <c r="AI166" s="20"/>
      <c r="AJ166" s="13"/>
      <c r="AK166" s="13"/>
      <c r="AL166" s="13"/>
      <c r="AN166" s="27"/>
      <c r="AO166" s="27"/>
      <c r="AP166" s="27"/>
      <c r="AQ166" s="23"/>
      <c r="AV166" s="27"/>
      <c r="AW166" s="27"/>
      <c r="AX166" s="27"/>
      <c r="AY166" s="28"/>
      <c r="AZ166" s="28"/>
      <c r="BA166" s="20"/>
      <c r="BC166" s="27"/>
      <c r="BD166" s="27"/>
      <c r="BE166" s="27"/>
      <c r="BF166" s="27"/>
      <c r="BH166" s="13"/>
      <c r="BI166" s="13"/>
      <c r="BJ166" s="13"/>
    </row>
    <row r="167" spans="1:62" ht="12.75">
      <c r="A167" s="107" t="s">
        <v>85</v>
      </c>
      <c r="B167" s="108" t="s">
        <v>399</v>
      </c>
      <c r="C167" s="109" t="s">
        <v>732</v>
      </c>
      <c r="D167" s="205" t="s">
        <v>1006</v>
      </c>
      <c r="E167" s="110">
        <f>+E168</f>
        <v>879.48881524375</v>
      </c>
      <c r="F167" s="132">
        <v>0</v>
      </c>
      <c r="G167" s="139">
        <f>E167*AO167</f>
        <v>0</v>
      </c>
      <c r="H167" s="110">
        <f>E167*AP167</f>
        <v>0</v>
      </c>
      <c r="I167" s="140">
        <f>E167*F167</f>
        <v>0</v>
      </c>
      <c r="J167" s="213">
        <v>0</v>
      </c>
      <c r="K167" s="214">
        <f>E167*J167</f>
        <v>0</v>
      </c>
      <c r="L167" s="150" t="s">
        <v>1039</v>
      </c>
      <c r="Z167" s="27">
        <f>IF(AQ167="5",BJ167,0)</f>
        <v>0</v>
      </c>
      <c r="AB167" s="27">
        <f>IF(AQ167="1",BH167,0)</f>
        <v>0</v>
      </c>
      <c r="AC167" s="27">
        <f>IF(AQ167="1",BI167,0)</f>
        <v>0</v>
      </c>
      <c r="AD167" s="27">
        <f>IF(AQ167="7",BH167,0)</f>
        <v>0</v>
      </c>
      <c r="AE167" s="27">
        <f>IF(AQ167="7",BI167,0)</f>
        <v>0</v>
      </c>
      <c r="AF167" s="27">
        <f>IF(AQ167="2",BH167,0)</f>
        <v>0</v>
      </c>
      <c r="AG167" s="27">
        <f>IF(AQ167="2",BI167,0)</f>
        <v>0</v>
      </c>
      <c r="AH167" s="27">
        <f>IF(AQ167="0",BJ167,0)</f>
        <v>0</v>
      </c>
      <c r="AI167" s="20"/>
      <c r="AJ167" s="13">
        <f>IF(AN167=0,I167,0)</f>
        <v>0</v>
      </c>
      <c r="AK167" s="13">
        <f>IF(AN167=15,I167,0)</f>
        <v>0</v>
      </c>
      <c r="AL167" s="13">
        <f>IF(AN167=21,I167,0)</f>
        <v>0</v>
      </c>
      <c r="AN167" s="27">
        <v>21</v>
      </c>
      <c r="AO167" s="27">
        <f>F167*0</f>
        <v>0</v>
      </c>
      <c r="AP167" s="27">
        <f>F167*(1-0)</f>
        <v>0</v>
      </c>
      <c r="AQ167" s="23" t="s">
        <v>7</v>
      </c>
      <c r="AV167" s="27">
        <f>AW167+AX167</f>
        <v>0</v>
      </c>
      <c r="AW167" s="27">
        <f>E167*AO167</f>
        <v>0</v>
      </c>
      <c r="AX167" s="27">
        <f>E167*AP167</f>
        <v>0</v>
      </c>
      <c r="AY167" s="28" t="s">
        <v>1057</v>
      </c>
      <c r="AZ167" s="28" t="s">
        <v>1093</v>
      </c>
      <c r="BA167" s="20" t="s">
        <v>1106</v>
      </c>
      <c r="BC167" s="27">
        <f>AW167+AX167</f>
        <v>0</v>
      </c>
      <c r="BD167" s="27">
        <f>F167/(100-BE167)*100</f>
        <v>0</v>
      </c>
      <c r="BE167" s="27">
        <v>0</v>
      </c>
      <c r="BF167" s="27">
        <f>K167</f>
        <v>0</v>
      </c>
      <c r="BH167" s="13">
        <f>E167*AO167</f>
        <v>0</v>
      </c>
      <c r="BI167" s="13">
        <f>E167*AP167</f>
        <v>0</v>
      </c>
      <c r="BJ167" s="13">
        <f>E167*F167</f>
        <v>0</v>
      </c>
    </row>
    <row r="168" spans="1:62" ht="12.75">
      <c r="A168" s="107"/>
      <c r="B168" s="108"/>
      <c r="C168" s="99" t="s">
        <v>1687</v>
      </c>
      <c r="D168" s="100" t="s">
        <v>1006</v>
      </c>
      <c r="E168" s="101">
        <f>+Výměry!E276</f>
        <v>879.48881524375</v>
      </c>
      <c r="F168" s="132"/>
      <c r="G168" s="139"/>
      <c r="H168" s="110"/>
      <c r="I168" s="140"/>
      <c r="J168" s="213"/>
      <c r="K168" s="214"/>
      <c r="L168" s="150"/>
      <c r="Z168" s="27"/>
      <c r="AB168" s="27"/>
      <c r="AC168" s="27"/>
      <c r="AD168" s="27"/>
      <c r="AE168" s="27"/>
      <c r="AF168" s="27"/>
      <c r="AG168" s="27"/>
      <c r="AH168" s="27"/>
      <c r="AI168" s="20"/>
      <c r="AJ168" s="13"/>
      <c r="AK168" s="13"/>
      <c r="AL168" s="13"/>
      <c r="AN168" s="27"/>
      <c r="AO168" s="27"/>
      <c r="AP168" s="27"/>
      <c r="AQ168" s="23"/>
      <c r="AV168" s="27"/>
      <c r="AW168" s="27"/>
      <c r="AX168" s="27"/>
      <c r="AY168" s="28"/>
      <c r="AZ168" s="28"/>
      <c r="BA168" s="20"/>
      <c r="BC168" s="27"/>
      <c r="BD168" s="27"/>
      <c r="BE168" s="27"/>
      <c r="BF168" s="27"/>
      <c r="BH168" s="13"/>
      <c r="BI168" s="13"/>
      <c r="BJ168" s="13"/>
    </row>
    <row r="169" spans="1:47" ht="12.75">
      <c r="A169" s="111"/>
      <c r="B169" s="112" t="s">
        <v>24</v>
      </c>
      <c r="C169" s="113" t="s">
        <v>733</v>
      </c>
      <c r="D169" s="206" t="s">
        <v>6</v>
      </c>
      <c r="E169" s="114" t="s">
        <v>6</v>
      </c>
      <c r="F169" s="133" t="s">
        <v>6</v>
      </c>
      <c r="G169" s="141">
        <f>SUM(G170:G184)</f>
        <v>0</v>
      </c>
      <c r="H169" s="115">
        <f>SUM(H170:H184)</f>
        <v>0</v>
      </c>
      <c r="I169" s="142">
        <f>SUM(I170:I184)</f>
        <v>0</v>
      </c>
      <c r="J169" s="215"/>
      <c r="K169" s="216">
        <f>SUM(K170:K184)</f>
        <v>0.56296</v>
      </c>
      <c r="L169" s="151"/>
      <c r="AI169" s="20"/>
      <c r="AS169" s="29">
        <f>SUM(AJ170:AJ184)</f>
        <v>0</v>
      </c>
      <c r="AT169" s="29">
        <f>SUM(AK170:AK184)</f>
        <v>0</v>
      </c>
      <c r="AU169" s="29">
        <f>SUM(AL170:AL184)</f>
        <v>0</v>
      </c>
    </row>
    <row r="170" spans="1:62" ht="12.75">
      <c r="A170" s="107" t="s">
        <v>86</v>
      </c>
      <c r="B170" s="108" t="s">
        <v>400</v>
      </c>
      <c r="C170" s="109" t="s">
        <v>734</v>
      </c>
      <c r="D170" s="205" t="s">
        <v>1005</v>
      </c>
      <c r="E170" s="110">
        <f>+E171</f>
        <v>1633</v>
      </c>
      <c r="F170" s="132">
        <v>0</v>
      </c>
      <c r="G170" s="139">
        <f aca="true" t="shared" si="78" ref="G170:G184">E170*AO170</f>
        <v>0</v>
      </c>
      <c r="H170" s="110">
        <f aca="true" t="shared" si="79" ref="H170:H184">E170*AP170</f>
        <v>0</v>
      </c>
      <c r="I170" s="140">
        <f aca="true" t="shared" si="80" ref="I170:I184">E170*F170</f>
        <v>0</v>
      </c>
      <c r="J170" s="213">
        <v>0</v>
      </c>
      <c r="K170" s="214">
        <f aca="true" t="shared" si="81" ref="K170:K184">E170*J170</f>
        <v>0</v>
      </c>
      <c r="L170" s="150" t="s">
        <v>1039</v>
      </c>
      <c r="Z170" s="27">
        <f aca="true" t="shared" si="82" ref="Z170:Z184">IF(AQ170="5",BJ170,0)</f>
        <v>0</v>
      </c>
      <c r="AB170" s="27">
        <f aca="true" t="shared" si="83" ref="AB170:AB184">IF(AQ170="1",BH170,0)</f>
        <v>0</v>
      </c>
      <c r="AC170" s="27">
        <f aca="true" t="shared" si="84" ref="AC170:AC184">IF(AQ170="1",BI170,0)</f>
        <v>0</v>
      </c>
      <c r="AD170" s="27">
        <f aca="true" t="shared" si="85" ref="AD170:AD184">IF(AQ170="7",BH170,0)</f>
        <v>0</v>
      </c>
      <c r="AE170" s="27">
        <f aca="true" t="shared" si="86" ref="AE170:AE184">IF(AQ170="7",BI170,0)</f>
        <v>0</v>
      </c>
      <c r="AF170" s="27">
        <f aca="true" t="shared" si="87" ref="AF170:AF184">IF(AQ170="2",BH170,0)</f>
        <v>0</v>
      </c>
      <c r="AG170" s="27">
        <f aca="true" t="shared" si="88" ref="AG170:AG184">IF(AQ170="2",BI170,0)</f>
        <v>0</v>
      </c>
      <c r="AH170" s="27">
        <f aca="true" t="shared" si="89" ref="AH170:AH184">IF(AQ170="0",BJ170,0)</f>
        <v>0</v>
      </c>
      <c r="AI170" s="20"/>
      <c r="AJ170" s="13">
        <f aca="true" t="shared" si="90" ref="AJ170:AJ184">IF(AN170=0,I170,0)</f>
        <v>0</v>
      </c>
      <c r="AK170" s="13">
        <f aca="true" t="shared" si="91" ref="AK170:AK184">IF(AN170=15,I170,0)</f>
        <v>0</v>
      </c>
      <c r="AL170" s="13">
        <f aca="true" t="shared" si="92" ref="AL170:AL184">IF(AN170=21,I170,0)</f>
        <v>0</v>
      </c>
      <c r="AN170" s="27">
        <v>21</v>
      </c>
      <c r="AO170" s="27">
        <f>F170*0.0697095435684647</f>
        <v>0</v>
      </c>
      <c r="AP170" s="27">
        <f>F170*(1-0.0697095435684647)</f>
        <v>0</v>
      </c>
      <c r="AQ170" s="23" t="s">
        <v>7</v>
      </c>
      <c r="AV170" s="27">
        <f aca="true" t="shared" si="93" ref="AV170:AV184">AW170+AX170</f>
        <v>0</v>
      </c>
      <c r="AW170" s="27">
        <f aca="true" t="shared" si="94" ref="AW170:AW184">E170*AO170</f>
        <v>0</v>
      </c>
      <c r="AX170" s="27">
        <f aca="true" t="shared" si="95" ref="AX170:AX184">E170*AP170</f>
        <v>0</v>
      </c>
      <c r="AY170" s="28" t="s">
        <v>1058</v>
      </c>
      <c r="AZ170" s="28" t="s">
        <v>1093</v>
      </c>
      <c r="BA170" s="20" t="s">
        <v>1106</v>
      </c>
      <c r="BC170" s="27">
        <f aca="true" t="shared" si="96" ref="BC170:BC184">AW170+AX170</f>
        <v>0</v>
      </c>
      <c r="BD170" s="27">
        <f aca="true" t="shared" si="97" ref="BD170:BD184">F170/(100-BE170)*100</f>
        <v>0</v>
      </c>
      <c r="BE170" s="27">
        <v>0</v>
      </c>
      <c r="BF170" s="27">
        <f aca="true" t="shared" si="98" ref="BF170:BF184">K170</f>
        <v>0</v>
      </c>
      <c r="BH170" s="13">
        <f aca="true" t="shared" si="99" ref="BH170:BH184">E170*AO170</f>
        <v>0</v>
      </c>
      <c r="BI170" s="13">
        <f aca="true" t="shared" si="100" ref="BI170:BI184">E170*AP170</f>
        <v>0</v>
      </c>
      <c r="BJ170" s="13">
        <f aca="true" t="shared" si="101" ref="BJ170:BJ184">E170*F170</f>
        <v>0</v>
      </c>
    </row>
    <row r="171" spans="1:62" ht="12.75">
      <c r="A171" s="107"/>
      <c r="B171" s="108"/>
      <c r="C171" s="99" t="s">
        <v>1667</v>
      </c>
      <c r="D171" s="100" t="s">
        <v>1005</v>
      </c>
      <c r="E171" s="101">
        <f>+E20</f>
        <v>1633</v>
      </c>
      <c r="F171" s="132"/>
      <c r="G171" s="139"/>
      <c r="H171" s="110"/>
      <c r="I171" s="140"/>
      <c r="J171" s="213"/>
      <c r="K171" s="214"/>
      <c r="L171" s="150"/>
      <c r="Z171" s="27"/>
      <c r="AB171" s="27"/>
      <c r="AC171" s="27"/>
      <c r="AD171" s="27"/>
      <c r="AE171" s="27"/>
      <c r="AF171" s="27"/>
      <c r="AG171" s="27"/>
      <c r="AH171" s="27"/>
      <c r="AI171" s="20"/>
      <c r="AJ171" s="13"/>
      <c r="AK171" s="13"/>
      <c r="AL171" s="13"/>
      <c r="AN171" s="27"/>
      <c r="AO171" s="27"/>
      <c r="AP171" s="27"/>
      <c r="AQ171" s="23"/>
      <c r="AV171" s="27"/>
      <c r="AW171" s="27"/>
      <c r="AX171" s="27"/>
      <c r="AY171" s="28"/>
      <c r="AZ171" s="28"/>
      <c r="BA171" s="20"/>
      <c r="BC171" s="27"/>
      <c r="BD171" s="27"/>
      <c r="BE171" s="27"/>
      <c r="BF171" s="27"/>
      <c r="BH171" s="13"/>
      <c r="BI171" s="13"/>
      <c r="BJ171" s="13"/>
    </row>
    <row r="172" spans="1:62" ht="12.75">
      <c r="A172" s="107" t="s">
        <v>87</v>
      </c>
      <c r="B172" s="108" t="s">
        <v>401</v>
      </c>
      <c r="C172" s="109" t="s">
        <v>735</v>
      </c>
      <c r="D172" s="205" t="s">
        <v>1005</v>
      </c>
      <c r="E172" s="110">
        <f>+E173</f>
        <v>204.37399</v>
      </c>
      <c r="F172" s="132">
        <v>0</v>
      </c>
      <c r="G172" s="139">
        <f t="shared" si="78"/>
        <v>0</v>
      </c>
      <c r="H172" s="110">
        <f t="shared" si="79"/>
        <v>0</v>
      </c>
      <c r="I172" s="140">
        <f t="shared" si="80"/>
        <v>0</v>
      </c>
      <c r="J172" s="213">
        <v>0</v>
      </c>
      <c r="K172" s="214">
        <f t="shared" si="81"/>
        <v>0</v>
      </c>
      <c r="L172" s="150" t="s">
        <v>1039</v>
      </c>
      <c r="Z172" s="27">
        <f t="shared" si="82"/>
        <v>0</v>
      </c>
      <c r="AB172" s="27">
        <f t="shared" si="83"/>
        <v>0</v>
      </c>
      <c r="AC172" s="27">
        <f t="shared" si="84"/>
        <v>0</v>
      </c>
      <c r="AD172" s="27">
        <f t="shared" si="85"/>
        <v>0</v>
      </c>
      <c r="AE172" s="27">
        <f t="shared" si="86"/>
        <v>0</v>
      </c>
      <c r="AF172" s="27">
        <f t="shared" si="87"/>
        <v>0</v>
      </c>
      <c r="AG172" s="27">
        <f t="shared" si="88"/>
        <v>0</v>
      </c>
      <c r="AH172" s="27">
        <f t="shared" si="89"/>
        <v>0</v>
      </c>
      <c r="AI172" s="20"/>
      <c r="AJ172" s="13">
        <f t="shared" si="90"/>
        <v>0</v>
      </c>
      <c r="AK172" s="13">
        <f t="shared" si="91"/>
        <v>0</v>
      </c>
      <c r="AL172" s="13">
        <f t="shared" si="92"/>
        <v>0</v>
      </c>
      <c r="AN172" s="27">
        <v>21</v>
      </c>
      <c r="AO172" s="27">
        <f>F172*0.0454053817020044</f>
        <v>0</v>
      </c>
      <c r="AP172" s="27">
        <f>F172*(1-0.0454053817020044)</f>
        <v>0</v>
      </c>
      <c r="AQ172" s="23" t="s">
        <v>7</v>
      </c>
      <c r="AV172" s="27">
        <f t="shared" si="93"/>
        <v>0</v>
      </c>
      <c r="AW172" s="27">
        <f t="shared" si="94"/>
        <v>0</v>
      </c>
      <c r="AX172" s="27">
        <f t="shared" si="95"/>
        <v>0</v>
      </c>
      <c r="AY172" s="28" t="s">
        <v>1058</v>
      </c>
      <c r="AZ172" s="28" t="s">
        <v>1093</v>
      </c>
      <c r="BA172" s="20" t="s">
        <v>1106</v>
      </c>
      <c r="BC172" s="27">
        <f t="shared" si="96"/>
        <v>0</v>
      </c>
      <c r="BD172" s="27">
        <f t="shared" si="97"/>
        <v>0</v>
      </c>
      <c r="BE172" s="27">
        <v>0</v>
      </c>
      <c r="BF172" s="27">
        <f t="shared" si="98"/>
        <v>0</v>
      </c>
      <c r="BH172" s="13">
        <f t="shared" si="99"/>
        <v>0</v>
      </c>
      <c r="BI172" s="13">
        <f t="shared" si="100"/>
        <v>0</v>
      </c>
      <c r="BJ172" s="13">
        <f t="shared" si="101"/>
        <v>0</v>
      </c>
    </row>
    <row r="173" spans="1:62" ht="12.75">
      <c r="A173" s="107"/>
      <c r="B173" s="108"/>
      <c r="C173" s="99" t="s">
        <v>1688</v>
      </c>
      <c r="D173" s="100" t="s">
        <v>1005</v>
      </c>
      <c r="E173" s="101">
        <f>+(80.99+94.74)/2*2.326</f>
        <v>204.37399</v>
      </c>
      <c r="F173" s="132"/>
      <c r="G173" s="139"/>
      <c r="H173" s="110"/>
      <c r="I173" s="140"/>
      <c r="J173" s="213"/>
      <c r="K173" s="214"/>
      <c r="L173" s="150"/>
      <c r="Z173" s="27"/>
      <c r="AB173" s="27"/>
      <c r="AC173" s="27"/>
      <c r="AD173" s="27"/>
      <c r="AE173" s="27"/>
      <c r="AF173" s="27"/>
      <c r="AG173" s="27"/>
      <c r="AH173" s="27"/>
      <c r="AI173" s="20"/>
      <c r="AJ173" s="13"/>
      <c r="AK173" s="13"/>
      <c r="AL173" s="13"/>
      <c r="AN173" s="27"/>
      <c r="AO173" s="27"/>
      <c r="AP173" s="27"/>
      <c r="AQ173" s="23"/>
      <c r="AV173" s="27"/>
      <c r="AW173" s="27"/>
      <c r="AX173" s="27"/>
      <c r="AY173" s="28"/>
      <c r="AZ173" s="28"/>
      <c r="BA173" s="20"/>
      <c r="BC173" s="27"/>
      <c r="BD173" s="27"/>
      <c r="BE173" s="27"/>
      <c r="BF173" s="27"/>
      <c r="BH173" s="13"/>
      <c r="BI173" s="13"/>
      <c r="BJ173" s="13"/>
    </row>
    <row r="174" spans="1:62" ht="12.75">
      <c r="A174" s="107" t="s">
        <v>88</v>
      </c>
      <c r="B174" s="108" t="s">
        <v>402</v>
      </c>
      <c r="C174" s="109" t="s">
        <v>736</v>
      </c>
      <c r="D174" s="205" t="s">
        <v>1005</v>
      </c>
      <c r="E174" s="110">
        <f>+E20</f>
        <v>1633</v>
      </c>
      <c r="F174" s="132">
        <v>0</v>
      </c>
      <c r="G174" s="139">
        <f t="shared" si="78"/>
        <v>0</v>
      </c>
      <c r="H174" s="110">
        <f t="shared" si="79"/>
        <v>0</v>
      </c>
      <c r="I174" s="140">
        <f t="shared" si="80"/>
        <v>0</v>
      </c>
      <c r="J174" s="213">
        <v>0</v>
      </c>
      <c r="K174" s="214">
        <f t="shared" si="81"/>
        <v>0</v>
      </c>
      <c r="L174" s="150" t="s">
        <v>1039</v>
      </c>
      <c r="Z174" s="27">
        <f t="shared" si="82"/>
        <v>0</v>
      </c>
      <c r="AB174" s="27">
        <f t="shared" si="83"/>
        <v>0</v>
      </c>
      <c r="AC174" s="27">
        <f t="shared" si="84"/>
        <v>0</v>
      </c>
      <c r="AD174" s="27">
        <f t="shared" si="85"/>
        <v>0</v>
      </c>
      <c r="AE174" s="27">
        <f t="shared" si="86"/>
        <v>0</v>
      </c>
      <c r="AF174" s="27">
        <f t="shared" si="87"/>
        <v>0</v>
      </c>
      <c r="AG174" s="27">
        <f t="shared" si="88"/>
        <v>0</v>
      </c>
      <c r="AH174" s="27">
        <f t="shared" si="89"/>
        <v>0</v>
      </c>
      <c r="AI174" s="20"/>
      <c r="AJ174" s="13">
        <f t="shared" si="90"/>
        <v>0</v>
      </c>
      <c r="AK174" s="13">
        <f t="shared" si="91"/>
        <v>0</v>
      </c>
      <c r="AL174" s="13">
        <f t="shared" si="92"/>
        <v>0</v>
      </c>
      <c r="AN174" s="27">
        <v>21</v>
      </c>
      <c r="AO174" s="27">
        <f>F174*0</f>
        <v>0</v>
      </c>
      <c r="AP174" s="27">
        <f>F174*(1-0)</f>
        <v>0</v>
      </c>
      <c r="AQ174" s="23" t="s">
        <v>7</v>
      </c>
      <c r="AV174" s="27">
        <f t="shared" si="93"/>
        <v>0</v>
      </c>
      <c r="AW174" s="27">
        <f t="shared" si="94"/>
        <v>0</v>
      </c>
      <c r="AX174" s="27">
        <f t="shared" si="95"/>
        <v>0</v>
      </c>
      <c r="AY174" s="28" t="s">
        <v>1058</v>
      </c>
      <c r="AZ174" s="28" t="s">
        <v>1093</v>
      </c>
      <c r="BA174" s="20" t="s">
        <v>1106</v>
      </c>
      <c r="BC174" s="27">
        <f t="shared" si="96"/>
        <v>0</v>
      </c>
      <c r="BD174" s="27">
        <f t="shared" si="97"/>
        <v>0</v>
      </c>
      <c r="BE174" s="27">
        <v>0</v>
      </c>
      <c r="BF174" s="27">
        <f t="shared" si="98"/>
        <v>0</v>
      </c>
      <c r="BH174" s="13">
        <f t="shared" si="99"/>
        <v>0</v>
      </c>
      <c r="BI174" s="13">
        <f t="shared" si="100"/>
        <v>0</v>
      </c>
      <c r="BJ174" s="13">
        <f t="shared" si="101"/>
        <v>0</v>
      </c>
    </row>
    <row r="175" spans="1:62" ht="12.75">
      <c r="A175" s="107"/>
      <c r="B175" s="108"/>
      <c r="C175" s="99" t="s">
        <v>1667</v>
      </c>
      <c r="D175" s="100"/>
      <c r="E175" s="101"/>
      <c r="F175" s="132"/>
      <c r="G175" s="139"/>
      <c r="H175" s="110"/>
      <c r="I175" s="140"/>
      <c r="J175" s="213"/>
      <c r="K175" s="214"/>
      <c r="L175" s="150"/>
      <c r="Z175" s="27"/>
      <c r="AB175" s="27"/>
      <c r="AC175" s="27"/>
      <c r="AD175" s="27"/>
      <c r="AE175" s="27"/>
      <c r="AF175" s="27"/>
      <c r="AG175" s="27"/>
      <c r="AH175" s="27"/>
      <c r="AI175" s="20"/>
      <c r="AJ175" s="13"/>
      <c r="AK175" s="13"/>
      <c r="AL175" s="13"/>
      <c r="AN175" s="27"/>
      <c r="AO175" s="27"/>
      <c r="AP175" s="27"/>
      <c r="AQ175" s="23"/>
      <c r="AV175" s="27"/>
      <c r="AW175" s="27"/>
      <c r="AX175" s="27"/>
      <c r="AY175" s="28"/>
      <c r="AZ175" s="28"/>
      <c r="BA175" s="20"/>
      <c r="BC175" s="27"/>
      <c r="BD175" s="27"/>
      <c r="BE175" s="27"/>
      <c r="BF175" s="27"/>
      <c r="BH175" s="13"/>
      <c r="BI175" s="13"/>
      <c r="BJ175" s="13"/>
    </row>
    <row r="176" spans="1:62" ht="12.75">
      <c r="A176" s="107" t="s">
        <v>89</v>
      </c>
      <c r="B176" s="108" t="s">
        <v>403</v>
      </c>
      <c r="C176" s="109" t="s">
        <v>737</v>
      </c>
      <c r="D176" s="205" t="s">
        <v>1005</v>
      </c>
      <c r="E176" s="110">
        <f>+E177</f>
        <v>1240</v>
      </c>
      <c r="F176" s="132">
        <v>0</v>
      </c>
      <c r="G176" s="139">
        <f t="shared" si="78"/>
        <v>0</v>
      </c>
      <c r="H176" s="110">
        <f t="shared" si="79"/>
        <v>0</v>
      </c>
      <c r="I176" s="140">
        <f t="shared" si="80"/>
        <v>0</v>
      </c>
      <c r="J176" s="213">
        <v>0</v>
      </c>
      <c r="K176" s="214">
        <f t="shared" si="81"/>
        <v>0</v>
      </c>
      <c r="L176" s="150" t="s">
        <v>1039</v>
      </c>
      <c r="Z176" s="27">
        <f t="shared" si="82"/>
        <v>0</v>
      </c>
      <c r="AB176" s="27">
        <f t="shared" si="83"/>
        <v>0</v>
      </c>
      <c r="AC176" s="27">
        <f t="shared" si="84"/>
        <v>0</v>
      </c>
      <c r="AD176" s="27">
        <f t="shared" si="85"/>
        <v>0</v>
      </c>
      <c r="AE176" s="27">
        <f t="shared" si="86"/>
        <v>0</v>
      </c>
      <c r="AF176" s="27">
        <f t="shared" si="87"/>
        <v>0</v>
      </c>
      <c r="AG176" s="27">
        <f t="shared" si="88"/>
        <v>0</v>
      </c>
      <c r="AH176" s="27">
        <f t="shared" si="89"/>
        <v>0</v>
      </c>
      <c r="AI176" s="20"/>
      <c r="AJ176" s="13">
        <f t="shared" si="90"/>
        <v>0</v>
      </c>
      <c r="AK176" s="13">
        <f t="shared" si="91"/>
        <v>0</v>
      </c>
      <c r="AL176" s="13">
        <f t="shared" si="92"/>
        <v>0</v>
      </c>
      <c r="AN176" s="27">
        <v>21</v>
      </c>
      <c r="AO176" s="27">
        <f>F176*0</f>
        <v>0</v>
      </c>
      <c r="AP176" s="27">
        <f>F176*(1-0)</f>
        <v>0</v>
      </c>
      <c r="AQ176" s="23" t="s">
        <v>7</v>
      </c>
      <c r="AV176" s="27">
        <f t="shared" si="93"/>
        <v>0</v>
      </c>
      <c r="AW176" s="27">
        <f t="shared" si="94"/>
        <v>0</v>
      </c>
      <c r="AX176" s="27">
        <f t="shared" si="95"/>
        <v>0</v>
      </c>
      <c r="AY176" s="28" t="s">
        <v>1058</v>
      </c>
      <c r="AZ176" s="28" t="s">
        <v>1093</v>
      </c>
      <c r="BA176" s="20" t="s">
        <v>1106</v>
      </c>
      <c r="BC176" s="27">
        <f t="shared" si="96"/>
        <v>0</v>
      </c>
      <c r="BD176" s="27">
        <f t="shared" si="97"/>
        <v>0</v>
      </c>
      <c r="BE176" s="27">
        <v>0</v>
      </c>
      <c r="BF176" s="27">
        <f t="shared" si="98"/>
        <v>0</v>
      </c>
      <c r="BH176" s="13">
        <f t="shared" si="99"/>
        <v>0</v>
      </c>
      <c r="BI176" s="13">
        <f t="shared" si="100"/>
        <v>0</v>
      </c>
      <c r="BJ176" s="13">
        <f t="shared" si="101"/>
        <v>0</v>
      </c>
    </row>
    <row r="177" spans="1:62" ht="12.75">
      <c r="A177" s="107"/>
      <c r="B177" s="108"/>
      <c r="C177" s="99" t="s">
        <v>1690</v>
      </c>
      <c r="D177" s="100" t="s">
        <v>1005</v>
      </c>
      <c r="E177" s="101">
        <f>+Výměry!E304</f>
        <v>1240</v>
      </c>
      <c r="F177" s="132"/>
      <c r="G177" s="139"/>
      <c r="H177" s="110"/>
      <c r="I177" s="140"/>
      <c r="J177" s="213"/>
      <c r="K177" s="214"/>
      <c r="L177" s="150"/>
      <c r="Z177" s="27"/>
      <c r="AB177" s="27"/>
      <c r="AC177" s="27"/>
      <c r="AD177" s="27"/>
      <c r="AE177" s="27"/>
      <c r="AF177" s="27"/>
      <c r="AG177" s="27"/>
      <c r="AH177" s="27"/>
      <c r="AI177" s="20"/>
      <c r="AJ177" s="13"/>
      <c r="AK177" s="13"/>
      <c r="AL177" s="13"/>
      <c r="AN177" s="27"/>
      <c r="AO177" s="27"/>
      <c r="AP177" s="27"/>
      <c r="AQ177" s="23"/>
      <c r="AV177" s="27"/>
      <c r="AW177" s="27"/>
      <c r="AX177" s="27"/>
      <c r="AY177" s="28"/>
      <c r="AZ177" s="28"/>
      <c r="BA177" s="20"/>
      <c r="BC177" s="27"/>
      <c r="BD177" s="27"/>
      <c r="BE177" s="27"/>
      <c r="BF177" s="27"/>
      <c r="BH177" s="13"/>
      <c r="BI177" s="13"/>
      <c r="BJ177" s="13"/>
    </row>
    <row r="178" spans="1:62" ht="12.75">
      <c r="A178" s="107" t="s">
        <v>90</v>
      </c>
      <c r="B178" s="108" t="s">
        <v>404</v>
      </c>
      <c r="C178" s="109" t="s">
        <v>738</v>
      </c>
      <c r="D178" s="205" t="s">
        <v>1005</v>
      </c>
      <c r="E178" s="110">
        <f>+E179</f>
        <v>204.37399</v>
      </c>
      <c r="F178" s="132">
        <v>0</v>
      </c>
      <c r="G178" s="139">
        <f t="shared" si="78"/>
        <v>0</v>
      </c>
      <c r="H178" s="110">
        <f t="shared" si="79"/>
        <v>0</v>
      </c>
      <c r="I178" s="140">
        <f t="shared" si="80"/>
        <v>0</v>
      </c>
      <c r="J178" s="213">
        <v>0</v>
      </c>
      <c r="K178" s="214">
        <f t="shared" si="81"/>
        <v>0</v>
      </c>
      <c r="L178" s="150" t="s">
        <v>1039</v>
      </c>
      <c r="Z178" s="27">
        <f t="shared" si="82"/>
        <v>0</v>
      </c>
      <c r="AB178" s="27">
        <f t="shared" si="83"/>
        <v>0</v>
      </c>
      <c r="AC178" s="27">
        <f t="shared" si="84"/>
        <v>0</v>
      </c>
      <c r="AD178" s="27">
        <f t="shared" si="85"/>
        <v>0</v>
      </c>
      <c r="AE178" s="27">
        <f t="shared" si="86"/>
        <v>0</v>
      </c>
      <c r="AF178" s="27">
        <f t="shared" si="87"/>
        <v>0</v>
      </c>
      <c r="AG178" s="27">
        <f t="shared" si="88"/>
        <v>0</v>
      </c>
      <c r="AH178" s="27">
        <f t="shared" si="89"/>
        <v>0</v>
      </c>
      <c r="AI178" s="20"/>
      <c r="AJ178" s="13">
        <f t="shared" si="90"/>
        <v>0</v>
      </c>
      <c r="AK178" s="13">
        <f t="shared" si="91"/>
        <v>0</v>
      </c>
      <c r="AL178" s="13">
        <f t="shared" si="92"/>
        <v>0</v>
      </c>
      <c r="AN178" s="27">
        <v>21</v>
      </c>
      <c r="AO178" s="27">
        <f>F178*0</f>
        <v>0</v>
      </c>
      <c r="AP178" s="27">
        <f>F178*(1-0)</f>
        <v>0</v>
      </c>
      <c r="AQ178" s="23" t="s">
        <v>7</v>
      </c>
      <c r="AV178" s="27">
        <f t="shared" si="93"/>
        <v>0</v>
      </c>
      <c r="AW178" s="27">
        <f t="shared" si="94"/>
        <v>0</v>
      </c>
      <c r="AX178" s="27">
        <f t="shared" si="95"/>
        <v>0</v>
      </c>
      <c r="AY178" s="28" t="s">
        <v>1058</v>
      </c>
      <c r="AZ178" s="28" t="s">
        <v>1093</v>
      </c>
      <c r="BA178" s="20" t="s">
        <v>1106</v>
      </c>
      <c r="BC178" s="27">
        <f t="shared" si="96"/>
        <v>0</v>
      </c>
      <c r="BD178" s="27">
        <f t="shared" si="97"/>
        <v>0</v>
      </c>
      <c r="BE178" s="27">
        <v>0</v>
      </c>
      <c r="BF178" s="27">
        <f t="shared" si="98"/>
        <v>0</v>
      </c>
      <c r="BH178" s="13">
        <f t="shared" si="99"/>
        <v>0</v>
      </c>
      <c r="BI178" s="13">
        <f t="shared" si="100"/>
        <v>0</v>
      </c>
      <c r="BJ178" s="13">
        <f t="shared" si="101"/>
        <v>0</v>
      </c>
    </row>
    <row r="179" spans="1:62" ht="12.75">
      <c r="A179" s="107"/>
      <c r="B179" s="108"/>
      <c r="C179" s="99" t="s">
        <v>1691</v>
      </c>
      <c r="D179" s="100" t="s">
        <v>1005</v>
      </c>
      <c r="E179" s="101">
        <f>+E172</f>
        <v>204.37399</v>
      </c>
      <c r="F179" s="132"/>
      <c r="G179" s="139"/>
      <c r="H179" s="110"/>
      <c r="I179" s="140"/>
      <c r="J179" s="213"/>
      <c r="K179" s="214"/>
      <c r="L179" s="150"/>
      <c r="Z179" s="27"/>
      <c r="AB179" s="27"/>
      <c r="AC179" s="27"/>
      <c r="AD179" s="27"/>
      <c r="AE179" s="27"/>
      <c r="AF179" s="27"/>
      <c r="AG179" s="27"/>
      <c r="AH179" s="27"/>
      <c r="AI179" s="20"/>
      <c r="AJ179" s="13"/>
      <c r="AK179" s="13"/>
      <c r="AL179" s="13"/>
      <c r="AN179" s="27"/>
      <c r="AO179" s="27"/>
      <c r="AP179" s="27"/>
      <c r="AQ179" s="23"/>
      <c r="AV179" s="27"/>
      <c r="AW179" s="27"/>
      <c r="AX179" s="27"/>
      <c r="AY179" s="28"/>
      <c r="AZ179" s="28"/>
      <c r="BA179" s="20"/>
      <c r="BC179" s="27"/>
      <c r="BD179" s="27"/>
      <c r="BE179" s="27"/>
      <c r="BF179" s="27"/>
      <c r="BH179" s="13"/>
      <c r="BI179" s="13"/>
      <c r="BJ179" s="13"/>
    </row>
    <row r="180" spans="1:62" ht="12.75">
      <c r="A180" s="107" t="s">
        <v>91</v>
      </c>
      <c r="B180" s="108" t="s">
        <v>405</v>
      </c>
      <c r="C180" s="109" t="s">
        <v>739</v>
      </c>
      <c r="D180" s="205" t="s">
        <v>1007</v>
      </c>
      <c r="E180" s="110">
        <v>8</v>
      </c>
      <c r="F180" s="132">
        <v>0</v>
      </c>
      <c r="G180" s="139">
        <f t="shared" si="78"/>
        <v>0</v>
      </c>
      <c r="H180" s="110">
        <f t="shared" si="79"/>
        <v>0</v>
      </c>
      <c r="I180" s="140">
        <f t="shared" si="80"/>
        <v>0</v>
      </c>
      <c r="J180" s="213">
        <v>0.01397</v>
      </c>
      <c r="K180" s="214">
        <f t="shared" si="81"/>
        <v>0.11176</v>
      </c>
      <c r="L180" s="150" t="s">
        <v>1039</v>
      </c>
      <c r="Z180" s="27">
        <f t="shared" si="82"/>
        <v>0</v>
      </c>
      <c r="AB180" s="27">
        <f t="shared" si="83"/>
        <v>0</v>
      </c>
      <c r="AC180" s="27">
        <f t="shared" si="84"/>
        <v>0</v>
      </c>
      <c r="AD180" s="27">
        <f t="shared" si="85"/>
        <v>0</v>
      </c>
      <c r="AE180" s="27">
        <f t="shared" si="86"/>
        <v>0</v>
      </c>
      <c r="AF180" s="27">
        <f t="shared" si="87"/>
        <v>0</v>
      </c>
      <c r="AG180" s="27">
        <f t="shared" si="88"/>
        <v>0</v>
      </c>
      <c r="AH180" s="27">
        <f t="shared" si="89"/>
        <v>0</v>
      </c>
      <c r="AI180" s="20"/>
      <c r="AJ180" s="13">
        <f t="shared" si="90"/>
        <v>0</v>
      </c>
      <c r="AK180" s="13">
        <f t="shared" si="91"/>
        <v>0</v>
      </c>
      <c r="AL180" s="13">
        <f t="shared" si="92"/>
        <v>0</v>
      </c>
      <c r="AN180" s="27">
        <v>21</v>
      </c>
      <c r="AO180" s="27">
        <f>F180*0.140982198747032</f>
        <v>0</v>
      </c>
      <c r="AP180" s="27">
        <f>F180*(1-0.140982198747032)</f>
        <v>0</v>
      </c>
      <c r="AQ180" s="23" t="s">
        <v>7</v>
      </c>
      <c r="AV180" s="27">
        <f t="shared" si="93"/>
        <v>0</v>
      </c>
      <c r="AW180" s="27">
        <f t="shared" si="94"/>
        <v>0</v>
      </c>
      <c r="AX180" s="27">
        <f t="shared" si="95"/>
        <v>0</v>
      </c>
      <c r="AY180" s="28" t="s">
        <v>1058</v>
      </c>
      <c r="AZ180" s="28" t="s">
        <v>1093</v>
      </c>
      <c r="BA180" s="20" t="s">
        <v>1106</v>
      </c>
      <c r="BC180" s="27">
        <f t="shared" si="96"/>
        <v>0</v>
      </c>
      <c r="BD180" s="27">
        <f t="shared" si="97"/>
        <v>0</v>
      </c>
      <c r="BE180" s="27">
        <v>0</v>
      </c>
      <c r="BF180" s="27">
        <f t="shared" si="98"/>
        <v>0.11176</v>
      </c>
      <c r="BH180" s="13">
        <f t="shared" si="99"/>
        <v>0</v>
      </c>
      <c r="BI180" s="13">
        <f t="shared" si="100"/>
        <v>0</v>
      </c>
      <c r="BJ180" s="13">
        <f t="shared" si="101"/>
        <v>0</v>
      </c>
    </row>
    <row r="181" spans="1:62" ht="12.75">
      <c r="A181" s="107"/>
      <c r="B181" s="108"/>
      <c r="C181" s="99" t="s">
        <v>1692</v>
      </c>
      <c r="D181" s="205"/>
      <c r="E181" s="110"/>
      <c r="F181" s="132"/>
      <c r="G181" s="139"/>
      <c r="H181" s="110"/>
      <c r="I181" s="140"/>
      <c r="J181" s="213"/>
      <c r="K181" s="214"/>
      <c r="L181" s="150"/>
      <c r="Z181" s="27"/>
      <c r="AB181" s="27"/>
      <c r="AC181" s="27"/>
      <c r="AD181" s="27"/>
      <c r="AE181" s="27"/>
      <c r="AF181" s="27"/>
      <c r="AG181" s="27"/>
      <c r="AH181" s="27"/>
      <c r="AI181" s="20"/>
      <c r="AJ181" s="13"/>
      <c r="AK181" s="13"/>
      <c r="AL181" s="13"/>
      <c r="AN181" s="27"/>
      <c r="AO181" s="27"/>
      <c r="AP181" s="27"/>
      <c r="AQ181" s="23"/>
      <c r="AV181" s="27"/>
      <c r="AW181" s="27"/>
      <c r="AX181" s="27"/>
      <c r="AY181" s="28"/>
      <c r="AZ181" s="28"/>
      <c r="BA181" s="20"/>
      <c r="BC181" s="27"/>
      <c r="BD181" s="27"/>
      <c r="BE181" s="27"/>
      <c r="BF181" s="27"/>
      <c r="BH181" s="13"/>
      <c r="BI181" s="13"/>
      <c r="BJ181" s="13"/>
    </row>
    <row r="182" spans="1:62" ht="12.75">
      <c r="A182" s="107" t="s">
        <v>92</v>
      </c>
      <c r="B182" s="108" t="s">
        <v>406</v>
      </c>
      <c r="C182" s="109" t="s">
        <v>740</v>
      </c>
      <c r="D182" s="205" t="s">
        <v>1005</v>
      </c>
      <c r="E182" s="110">
        <f>+E183</f>
        <v>48</v>
      </c>
      <c r="F182" s="132">
        <v>0</v>
      </c>
      <c r="G182" s="139">
        <f t="shared" si="78"/>
        <v>0</v>
      </c>
      <c r="H182" s="110">
        <f t="shared" si="79"/>
        <v>0</v>
      </c>
      <c r="I182" s="140">
        <f t="shared" si="80"/>
        <v>0</v>
      </c>
      <c r="J182" s="213">
        <v>0.0094</v>
      </c>
      <c r="K182" s="214">
        <f t="shared" si="81"/>
        <v>0.45120000000000005</v>
      </c>
      <c r="L182" s="150" t="s">
        <v>1039</v>
      </c>
      <c r="Z182" s="27">
        <f t="shared" si="82"/>
        <v>0</v>
      </c>
      <c r="AB182" s="27">
        <f t="shared" si="83"/>
        <v>0</v>
      </c>
      <c r="AC182" s="27">
        <f t="shared" si="84"/>
        <v>0</v>
      </c>
      <c r="AD182" s="27">
        <f t="shared" si="85"/>
        <v>0</v>
      </c>
      <c r="AE182" s="27">
        <f t="shared" si="86"/>
        <v>0</v>
      </c>
      <c r="AF182" s="27">
        <f t="shared" si="87"/>
        <v>0</v>
      </c>
      <c r="AG182" s="27">
        <f t="shared" si="88"/>
        <v>0</v>
      </c>
      <c r="AH182" s="27">
        <f t="shared" si="89"/>
        <v>0</v>
      </c>
      <c r="AI182" s="20"/>
      <c r="AJ182" s="13">
        <f t="shared" si="90"/>
        <v>0</v>
      </c>
      <c r="AK182" s="13">
        <f t="shared" si="91"/>
        <v>0</v>
      </c>
      <c r="AL182" s="13">
        <f t="shared" si="92"/>
        <v>0</v>
      </c>
      <c r="AN182" s="27">
        <v>21</v>
      </c>
      <c r="AO182" s="27">
        <f>F182*0.204419889502762</f>
        <v>0</v>
      </c>
      <c r="AP182" s="27">
        <f>F182*(1-0.204419889502762)</f>
        <v>0</v>
      </c>
      <c r="AQ182" s="23" t="s">
        <v>7</v>
      </c>
      <c r="AV182" s="27">
        <f t="shared" si="93"/>
        <v>0</v>
      </c>
      <c r="AW182" s="27">
        <f t="shared" si="94"/>
        <v>0</v>
      </c>
      <c r="AX182" s="27">
        <f t="shared" si="95"/>
        <v>0</v>
      </c>
      <c r="AY182" s="28" t="s">
        <v>1058</v>
      </c>
      <c r="AZ182" s="28" t="s">
        <v>1093</v>
      </c>
      <c r="BA182" s="20" t="s">
        <v>1106</v>
      </c>
      <c r="BC182" s="27">
        <f t="shared" si="96"/>
        <v>0</v>
      </c>
      <c r="BD182" s="27">
        <f t="shared" si="97"/>
        <v>0</v>
      </c>
      <c r="BE182" s="27">
        <v>0</v>
      </c>
      <c r="BF182" s="27">
        <f t="shared" si="98"/>
        <v>0.45120000000000005</v>
      </c>
      <c r="BH182" s="13">
        <f t="shared" si="99"/>
        <v>0</v>
      </c>
      <c r="BI182" s="13">
        <f t="shared" si="100"/>
        <v>0</v>
      </c>
      <c r="BJ182" s="13">
        <f t="shared" si="101"/>
        <v>0</v>
      </c>
    </row>
    <row r="183" spans="1:62" ht="12.75">
      <c r="A183" s="107"/>
      <c r="B183" s="108"/>
      <c r="C183" s="99" t="s">
        <v>1693</v>
      </c>
      <c r="D183" s="100" t="s">
        <v>1005</v>
      </c>
      <c r="E183" s="101">
        <f>0.5*4*2*12</f>
        <v>48</v>
      </c>
      <c r="F183" s="132"/>
      <c r="G183" s="139"/>
      <c r="H183" s="110"/>
      <c r="I183" s="140"/>
      <c r="J183" s="213"/>
      <c r="K183" s="214"/>
      <c r="L183" s="150"/>
      <c r="Z183" s="27"/>
      <c r="AB183" s="27"/>
      <c r="AC183" s="27"/>
      <c r="AD183" s="27"/>
      <c r="AE183" s="27"/>
      <c r="AF183" s="27"/>
      <c r="AG183" s="27"/>
      <c r="AH183" s="27"/>
      <c r="AI183" s="20"/>
      <c r="AJ183" s="13"/>
      <c r="AK183" s="13"/>
      <c r="AL183" s="13"/>
      <c r="AN183" s="27"/>
      <c r="AO183" s="27"/>
      <c r="AP183" s="27"/>
      <c r="AQ183" s="23"/>
      <c r="AV183" s="27"/>
      <c r="AW183" s="27"/>
      <c r="AX183" s="27"/>
      <c r="AY183" s="28"/>
      <c r="AZ183" s="28"/>
      <c r="BA183" s="20"/>
      <c r="BC183" s="27"/>
      <c r="BD183" s="27"/>
      <c r="BE183" s="27"/>
      <c r="BF183" s="27"/>
      <c r="BH183" s="13"/>
      <c r="BI183" s="13"/>
      <c r="BJ183" s="13"/>
    </row>
    <row r="184" spans="1:62" ht="12.75">
      <c r="A184" s="107" t="s">
        <v>93</v>
      </c>
      <c r="B184" s="108" t="s">
        <v>407</v>
      </c>
      <c r="C184" s="109" t="s">
        <v>741</v>
      </c>
      <c r="D184" s="205" t="s">
        <v>1005</v>
      </c>
      <c r="E184" s="110">
        <v>48</v>
      </c>
      <c r="F184" s="132">
        <v>0</v>
      </c>
      <c r="G184" s="139">
        <f t="shared" si="78"/>
        <v>0</v>
      </c>
      <c r="H184" s="110">
        <f t="shared" si="79"/>
        <v>0</v>
      </c>
      <c r="I184" s="140">
        <f t="shared" si="80"/>
        <v>0</v>
      </c>
      <c r="J184" s="213">
        <v>0</v>
      </c>
      <c r="K184" s="214">
        <f t="shared" si="81"/>
        <v>0</v>
      </c>
      <c r="L184" s="150" t="s">
        <v>1039</v>
      </c>
      <c r="Z184" s="27">
        <f t="shared" si="82"/>
        <v>0</v>
      </c>
      <c r="AB184" s="27">
        <f t="shared" si="83"/>
        <v>0</v>
      </c>
      <c r="AC184" s="27">
        <f t="shared" si="84"/>
        <v>0</v>
      </c>
      <c r="AD184" s="27">
        <f t="shared" si="85"/>
        <v>0</v>
      </c>
      <c r="AE184" s="27">
        <f t="shared" si="86"/>
        <v>0</v>
      </c>
      <c r="AF184" s="27">
        <f t="shared" si="87"/>
        <v>0</v>
      </c>
      <c r="AG184" s="27">
        <f t="shared" si="88"/>
        <v>0</v>
      </c>
      <c r="AH184" s="27">
        <f t="shared" si="89"/>
        <v>0</v>
      </c>
      <c r="AI184" s="20"/>
      <c r="AJ184" s="13">
        <f t="shared" si="90"/>
        <v>0</v>
      </c>
      <c r="AK184" s="13">
        <f t="shared" si="91"/>
        <v>0</v>
      </c>
      <c r="AL184" s="13">
        <f t="shared" si="92"/>
        <v>0</v>
      </c>
      <c r="AN184" s="27">
        <v>21</v>
      </c>
      <c r="AO184" s="27">
        <f>F184*0</f>
        <v>0</v>
      </c>
      <c r="AP184" s="27">
        <f>F184*(1-0)</f>
        <v>0</v>
      </c>
      <c r="AQ184" s="23" t="s">
        <v>7</v>
      </c>
      <c r="AV184" s="27">
        <f t="shared" si="93"/>
        <v>0</v>
      </c>
      <c r="AW184" s="27">
        <f t="shared" si="94"/>
        <v>0</v>
      </c>
      <c r="AX184" s="27">
        <f t="shared" si="95"/>
        <v>0</v>
      </c>
      <c r="AY184" s="28" t="s">
        <v>1058</v>
      </c>
      <c r="AZ184" s="28" t="s">
        <v>1093</v>
      </c>
      <c r="BA184" s="20" t="s">
        <v>1106</v>
      </c>
      <c r="BC184" s="27">
        <f t="shared" si="96"/>
        <v>0</v>
      </c>
      <c r="BD184" s="27">
        <f t="shared" si="97"/>
        <v>0</v>
      </c>
      <c r="BE184" s="27">
        <v>0</v>
      </c>
      <c r="BF184" s="27">
        <f t="shared" si="98"/>
        <v>0</v>
      </c>
      <c r="BH184" s="13">
        <f t="shared" si="99"/>
        <v>0</v>
      </c>
      <c r="BI184" s="13">
        <f t="shared" si="100"/>
        <v>0</v>
      </c>
      <c r="BJ184" s="13">
        <f t="shared" si="101"/>
        <v>0</v>
      </c>
    </row>
    <row r="185" spans="1:47" ht="25.5">
      <c r="A185" s="111"/>
      <c r="B185" s="112" t="s">
        <v>25</v>
      </c>
      <c r="C185" s="113" t="s">
        <v>742</v>
      </c>
      <c r="D185" s="206" t="s">
        <v>6</v>
      </c>
      <c r="E185" s="114" t="s">
        <v>6</v>
      </c>
      <c r="F185" s="133" t="s">
        <v>6</v>
      </c>
      <c r="G185" s="141">
        <f>SUM(G186:G190)</f>
        <v>0</v>
      </c>
      <c r="H185" s="115">
        <f>SUM(H186:H190)</f>
        <v>0</v>
      </c>
      <c r="I185" s="142">
        <f>SUM(I186:I190)</f>
        <v>0</v>
      </c>
      <c r="J185" s="215"/>
      <c r="K185" s="216">
        <f>SUM(K186:K190)</f>
        <v>0</v>
      </c>
      <c r="L185" s="151"/>
      <c r="AI185" s="20"/>
      <c r="AS185" s="29">
        <f>SUM(AJ186:AJ190)</f>
        <v>0</v>
      </c>
      <c r="AT185" s="29">
        <f>SUM(AK186:AK190)</f>
        <v>0</v>
      </c>
      <c r="AU185" s="29">
        <f>SUM(AL186:AL190)</f>
        <v>0</v>
      </c>
    </row>
    <row r="186" spans="1:62" ht="12.75">
      <c r="A186" s="107" t="s">
        <v>94</v>
      </c>
      <c r="B186" s="108" t="s">
        <v>408</v>
      </c>
      <c r="C186" s="109" t="s">
        <v>743</v>
      </c>
      <c r="D186" s="205" t="s">
        <v>1006</v>
      </c>
      <c r="E186" s="110">
        <f>+E187</f>
        <v>334.262601</v>
      </c>
      <c r="F186" s="132">
        <v>0</v>
      </c>
      <c r="G186" s="139">
        <f>E186*AO186</f>
        <v>0</v>
      </c>
      <c r="H186" s="110">
        <f>E186*AP186</f>
        <v>0</v>
      </c>
      <c r="I186" s="140">
        <f>E186*F186</f>
        <v>0</v>
      </c>
      <c r="J186" s="213">
        <v>0</v>
      </c>
      <c r="K186" s="214">
        <f>E186*J186</f>
        <v>0</v>
      </c>
      <c r="L186" s="150" t="s">
        <v>1039</v>
      </c>
      <c r="Z186" s="27">
        <f>IF(AQ186="5",BJ186,0)</f>
        <v>0</v>
      </c>
      <c r="AB186" s="27">
        <f>IF(AQ186="1",BH186,0)</f>
        <v>0</v>
      </c>
      <c r="AC186" s="27">
        <f>IF(AQ186="1",BI186,0)</f>
        <v>0</v>
      </c>
      <c r="AD186" s="27">
        <f>IF(AQ186="7",BH186,0)</f>
        <v>0</v>
      </c>
      <c r="AE186" s="27">
        <f>IF(AQ186="7",BI186,0)</f>
        <v>0</v>
      </c>
      <c r="AF186" s="27">
        <f>IF(AQ186="2",BH186,0)</f>
        <v>0</v>
      </c>
      <c r="AG186" s="27">
        <f>IF(AQ186="2",BI186,0)</f>
        <v>0</v>
      </c>
      <c r="AH186" s="27">
        <f>IF(AQ186="0",BJ186,0)</f>
        <v>0</v>
      </c>
      <c r="AI186" s="20"/>
      <c r="AJ186" s="13">
        <f>IF(AN186=0,I186,0)</f>
        <v>0</v>
      </c>
      <c r="AK186" s="13">
        <f>IF(AN186=15,I186,0)</f>
        <v>0</v>
      </c>
      <c r="AL186" s="13">
        <f>IF(AN186=21,I186,0)</f>
        <v>0</v>
      </c>
      <c r="AN186" s="27">
        <v>21</v>
      </c>
      <c r="AO186" s="27">
        <f>F186*0</f>
        <v>0</v>
      </c>
      <c r="AP186" s="27">
        <f>F186*(1-0)</f>
        <v>0</v>
      </c>
      <c r="AQ186" s="23" t="s">
        <v>7</v>
      </c>
      <c r="AV186" s="27">
        <f>AW186+AX186</f>
        <v>0</v>
      </c>
      <c r="AW186" s="27">
        <f>E186*AO186</f>
        <v>0</v>
      </c>
      <c r="AX186" s="27">
        <f>E186*AP186</f>
        <v>0</v>
      </c>
      <c r="AY186" s="28" t="s">
        <v>1059</v>
      </c>
      <c r="AZ186" s="28" t="s">
        <v>1093</v>
      </c>
      <c r="BA186" s="20" t="s">
        <v>1106</v>
      </c>
      <c r="BC186" s="27">
        <f>AW186+AX186</f>
        <v>0</v>
      </c>
      <c r="BD186" s="27">
        <f>F186/(100-BE186)*100</f>
        <v>0</v>
      </c>
      <c r="BE186" s="27">
        <v>0</v>
      </c>
      <c r="BF186" s="27">
        <f>K186</f>
        <v>0</v>
      </c>
      <c r="BH186" s="13">
        <f>E186*AO186</f>
        <v>0</v>
      </c>
      <c r="BI186" s="13">
        <f>E186*AP186</f>
        <v>0</v>
      </c>
      <c r="BJ186" s="13">
        <f>E186*F186</f>
        <v>0</v>
      </c>
    </row>
    <row r="187" spans="1:62" ht="12.75">
      <c r="A187" s="107"/>
      <c r="B187" s="108"/>
      <c r="C187" s="99" t="s">
        <v>1694</v>
      </c>
      <c r="D187" s="100" t="s">
        <v>1006</v>
      </c>
      <c r="E187" s="101">
        <f>+E73-E176*0.3-E19*0.1-E178*0.1</f>
        <v>334.262601</v>
      </c>
      <c r="F187" s="132"/>
      <c r="G187" s="139"/>
      <c r="H187" s="110"/>
      <c r="I187" s="140"/>
      <c r="J187" s="213"/>
      <c r="K187" s="214"/>
      <c r="L187" s="150"/>
      <c r="Z187" s="27"/>
      <c r="AB187" s="27"/>
      <c r="AC187" s="27"/>
      <c r="AD187" s="27"/>
      <c r="AE187" s="27"/>
      <c r="AF187" s="27"/>
      <c r="AG187" s="27"/>
      <c r="AH187" s="27"/>
      <c r="AI187" s="20"/>
      <c r="AJ187" s="13"/>
      <c r="AK187" s="13"/>
      <c r="AL187" s="13"/>
      <c r="AN187" s="27"/>
      <c r="AO187" s="27"/>
      <c r="AP187" s="27"/>
      <c r="AQ187" s="23"/>
      <c r="AV187" s="27"/>
      <c r="AW187" s="27"/>
      <c r="AX187" s="27"/>
      <c r="AY187" s="28"/>
      <c r="AZ187" s="28"/>
      <c r="BA187" s="20"/>
      <c r="BC187" s="27"/>
      <c r="BD187" s="27"/>
      <c r="BE187" s="27"/>
      <c r="BF187" s="27"/>
      <c r="BH187" s="13"/>
      <c r="BI187" s="13"/>
      <c r="BJ187" s="13"/>
    </row>
    <row r="188" spans="1:62" ht="12.75">
      <c r="A188" s="107" t="s">
        <v>95</v>
      </c>
      <c r="B188" s="108" t="s">
        <v>409</v>
      </c>
      <c r="C188" s="109" t="s">
        <v>744</v>
      </c>
      <c r="D188" s="205" t="s">
        <v>1006</v>
      </c>
      <c r="E188" s="110">
        <f>+E189</f>
        <v>4284.182018</v>
      </c>
      <c r="F188" s="132">
        <v>0</v>
      </c>
      <c r="G188" s="139">
        <f>E188*AO188</f>
        <v>0</v>
      </c>
      <c r="H188" s="110">
        <f>E188*AP188</f>
        <v>0</v>
      </c>
      <c r="I188" s="140">
        <f>E188*F188</f>
        <v>0</v>
      </c>
      <c r="J188" s="213">
        <v>0</v>
      </c>
      <c r="K188" s="214">
        <f>E188*J188</f>
        <v>0</v>
      </c>
      <c r="L188" s="150" t="s">
        <v>1039</v>
      </c>
      <c r="Z188" s="27">
        <f>IF(AQ188="5",BJ188,0)</f>
        <v>0</v>
      </c>
      <c r="AB188" s="27">
        <f>IF(AQ188="1",BH188,0)</f>
        <v>0</v>
      </c>
      <c r="AC188" s="27">
        <f>IF(AQ188="1",BI188,0)</f>
        <v>0</v>
      </c>
      <c r="AD188" s="27">
        <f>IF(AQ188="7",BH188,0)</f>
        <v>0</v>
      </c>
      <c r="AE188" s="27">
        <f>IF(AQ188="7",BI188,0)</f>
        <v>0</v>
      </c>
      <c r="AF188" s="27">
        <f>IF(AQ188="2",BH188,0)</f>
        <v>0</v>
      </c>
      <c r="AG188" s="27">
        <f>IF(AQ188="2",BI188,0)</f>
        <v>0</v>
      </c>
      <c r="AH188" s="27">
        <f>IF(AQ188="0",BJ188,0)</f>
        <v>0</v>
      </c>
      <c r="AI188" s="20"/>
      <c r="AJ188" s="13">
        <f>IF(AN188=0,I188,0)</f>
        <v>0</v>
      </c>
      <c r="AK188" s="13">
        <f>IF(AN188=15,I188,0)</f>
        <v>0</v>
      </c>
      <c r="AL188" s="13">
        <f>IF(AN188=21,I188,0)</f>
        <v>0</v>
      </c>
      <c r="AN188" s="27">
        <v>21</v>
      </c>
      <c r="AO188" s="27">
        <f>F188*0</f>
        <v>0</v>
      </c>
      <c r="AP188" s="27">
        <f>F188*(1-0)</f>
        <v>0</v>
      </c>
      <c r="AQ188" s="23" t="s">
        <v>7</v>
      </c>
      <c r="AV188" s="27">
        <f>AW188+AX188</f>
        <v>0</v>
      </c>
      <c r="AW188" s="27">
        <f>E188*AO188</f>
        <v>0</v>
      </c>
      <c r="AX188" s="27">
        <f>E188*AP188</f>
        <v>0</v>
      </c>
      <c r="AY188" s="28" t="s">
        <v>1059</v>
      </c>
      <c r="AZ188" s="28" t="s">
        <v>1093</v>
      </c>
      <c r="BA188" s="20" t="s">
        <v>1106</v>
      </c>
      <c r="BC188" s="27">
        <f>AW188+AX188</f>
        <v>0</v>
      </c>
      <c r="BD188" s="27">
        <f>F188/(100-BE188)*100</f>
        <v>0</v>
      </c>
      <c r="BE188" s="27">
        <v>0</v>
      </c>
      <c r="BF188" s="27">
        <f>K188</f>
        <v>0</v>
      </c>
      <c r="BH188" s="13">
        <f>E188*AO188</f>
        <v>0</v>
      </c>
      <c r="BI188" s="13">
        <f>E188*AP188</f>
        <v>0</v>
      </c>
      <c r="BJ188" s="13">
        <f>E188*F188</f>
        <v>0</v>
      </c>
    </row>
    <row r="189" spans="1:62" ht="12.75">
      <c r="A189" s="107"/>
      <c r="B189" s="108"/>
      <c r="C189" s="99" t="s">
        <v>1699</v>
      </c>
      <c r="D189" s="100" t="s">
        <v>1006</v>
      </c>
      <c r="E189" s="101">
        <f>+Výměry!E316</f>
        <v>4284.182018</v>
      </c>
      <c r="F189" s="132"/>
      <c r="G189" s="139"/>
      <c r="H189" s="110"/>
      <c r="I189" s="140"/>
      <c r="J189" s="213"/>
      <c r="K189" s="214"/>
      <c r="L189" s="150"/>
      <c r="Z189" s="27"/>
      <c r="AB189" s="27"/>
      <c r="AC189" s="27"/>
      <c r="AD189" s="27"/>
      <c r="AE189" s="27"/>
      <c r="AF189" s="27"/>
      <c r="AG189" s="27"/>
      <c r="AH189" s="27"/>
      <c r="AI189" s="20"/>
      <c r="AJ189" s="13"/>
      <c r="AK189" s="13"/>
      <c r="AL189" s="13"/>
      <c r="AN189" s="27"/>
      <c r="AO189" s="27"/>
      <c r="AP189" s="27"/>
      <c r="AQ189" s="23"/>
      <c r="AV189" s="27"/>
      <c r="AW189" s="27"/>
      <c r="AX189" s="27"/>
      <c r="AY189" s="28"/>
      <c r="AZ189" s="28"/>
      <c r="BA189" s="20"/>
      <c r="BC189" s="27"/>
      <c r="BD189" s="27"/>
      <c r="BE189" s="27"/>
      <c r="BF189" s="27"/>
      <c r="BH189" s="13"/>
      <c r="BI189" s="13"/>
      <c r="BJ189" s="13"/>
    </row>
    <row r="190" spans="1:62" ht="12.75">
      <c r="A190" s="107" t="s">
        <v>96</v>
      </c>
      <c r="B190" s="108" t="s">
        <v>410</v>
      </c>
      <c r="C190" s="109" t="s">
        <v>745</v>
      </c>
      <c r="D190" s="205" t="s">
        <v>1011</v>
      </c>
      <c r="E190" s="110">
        <f>+E191</f>
        <v>86.81472000000001</v>
      </c>
      <c r="F190" s="132">
        <v>0</v>
      </c>
      <c r="G190" s="139">
        <f>E190*AO190</f>
        <v>0</v>
      </c>
      <c r="H190" s="110">
        <f>E190*AP190</f>
        <v>0</v>
      </c>
      <c r="I190" s="140">
        <f>E190*F190</f>
        <v>0</v>
      </c>
      <c r="J190" s="213">
        <v>0</v>
      </c>
      <c r="K190" s="214">
        <f>E190*J190</f>
        <v>0</v>
      </c>
      <c r="L190" s="150"/>
      <c r="Z190" s="27">
        <f>IF(AQ190="5",BJ190,0)</f>
        <v>0</v>
      </c>
      <c r="AB190" s="27">
        <f>IF(AQ190="1",BH190,0)</f>
        <v>0</v>
      </c>
      <c r="AC190" s="27">
        <f>IF(AQ190="1",BI190,0)</f>
        <v>0</v>
      </c>
      <c r="AD190" s="27">
        <f>IF(AQ190="7",BH190,0)</f>
        <v>0</v>
      </c>
      <c r="AE190" s="27">
        <f>IF(AQ190="7",BI190,0)</f>
        <v>0</v>
      </c>
      <c r="AF190" s="27">
        <f>IF(AQ190="2",BH190,0)</f>
        <v>0</v>
      </c>
      <c r="AG190" s="27">
        <f>IF(AQ190="2",BI190,0)</f>
        <v>0</v>
      </c>
      <c r="AH190" s="27">
        <f>IF(AQ190="0",BJ190,0)</f>
        <v>0</v>
      </c>
      <c r="AI190" s="20"/>
      <c r="AJ190" s="13">
        <f>IF(AN190=0,I190,0)</f>
        <v>0</v>
      </c>
      <c r="AK190" s="13">
        <f>IF(AN190=15,I190,0)</f>
        <v>0</v>
      </c>
      <c r="AL190" s="13">
        <f>IF(AN190=21,I190,0)</f>
        <v>0</v>
      </c>
      <c r="AN190" s="27">
        <v>21</v>
      </c>
      <c r="AO190" s="27">
        <f>F190*0</f>
        <v>0</v>
      </c>
      <c r="AP190" s="27">
        <f>F190*(1-0)</f>
        <v>0</v>
      </c>
      <c r="AQ190" s="23" t="s">
        <v>7</v>
      </c>
      <c r="AV190" s="27">
        <f>AW190+AX190</f>
        <v>0</v>
      </c>
      <c r="AW190" s="27">
        <f>E190*AO190</f>
        <v>0</v>
      </c>
      <c r="AX190" s="27">
        <f>E190*AP190</f>
        <v>0</v>
      </c>
      <c r="AY190" s="28" t="s">
        <v>1059</v>
      </c>
      <c r="AZ190" s="28" t="s">
        <v>1093</v>
      </c>
      <c r="BA190" s="20" t="s">
        <v>1106</v>
      </c>
      <c r="BC190" s="27">
        <f>AW190+AX190</f>
        <v>0</v>
      </c>
      <c r="BD190" s="27">
        <f>F190/(100-BE190)*100</f>
        <v>0</v>
      </c>
      <c r="BE190" s="27">
        <v>0</v>
      </c>
      <c r="BF190" s="27">
        <f>K190</f>
        <v>0</v>
      </c>
      <c r="BH190" s="13">
        <f>E190*AO190</f>
        <v>0</v>
      </c>
      <c r="BI190" s="13">
        <f>E190*AP190</f>
        <v>0</v>
      </c>
      <c r="BJ190" s="13">
        <f>E190*F190</f>
        <v>0</v>
      </c>
    </row>
    <row r="191" spans="1:62" ht="12.75">
      <c r="A191" s="107"/>
      <c r="B191" s="108"/>
      <c r="C191" s="99" t="s">
        <v>1700</v>
      </c>
      <c r="D191" s="100" t="s">
        <v>1011</v>
      </c>
      <c r="E191" s="101">
        <f>+E150*1.2</f>
        <v>86.81472000000001</v>
      </c>
      <c r="F191" s="132"/>
      <c r="G191" s="139"/>
      <c r="H191" s="110"/>
      <c r="I191" s="140"/>
      <c r="J191" s="213"/>
      <c r="K191" s="214"/>
      <c r="L191" s="150"/>
      <c r="Z191" s="27"/>
      <c r="AB191" s="27"/>
      <c r="AC191" s="27"/>
      <c r="AD191" s="27"/>
      <c r="AE191" s="27"/>
      <c r="AF191" s="27"/>
      <c r="AG191" s="27"/>
      <c r="AH191" s="27"/>
      <c r="AI191" s="20"/>
      <c r="AJ191" s="13"/>
      <c r="AK191" s="13"/>
      <c r="AL191" s="13"/>
      <c r="AN191" s="27"/>
      <c r="AO191" s="27"/>
      <c r="AP191" s="27"/>
      <c r="AQ191" s="23"/>
      <c r="AV191" s="27"/>
      <c r="AW191" s="27"/>
      <c r="AX191" s="27"/>
      <c r="AY191" s="28"/>
      <c r="AZ191" s="28"/>
      <c r="BA191" s="20"/>
      <c r="BC191" s="27"/>
      <c r="BD191" s="27"/>
      <c r="BE191" s="27"/>
      <c r="BF191" s="27"/>
      <c r="BH191" s="13"/>
      <c r="BI191" s="13"/>
      <c r="BJ191" s="13"/>
    </row>
    <row r="192" spans="1:47" ht="12.75">
      <c r="A192" s="111"/>
      <c r="B192" s="112" t="s">
        <v>27</v>
      </c>
      <c r="C192" s="113" t="s">
        <v>746</v>
      </c>
      <c r="D192" s="206" t="s">
        <v>6</v>
      </c>
      <c r="E192" s="114" t="s">
        <v>6</v>
      </c>
      <c r="F192" s="133" t="s">
        <v>6</v>
      </c>
      <c r="G192" s="141">
        <f>SUM(G193:G193)</f>
        <v>0</v>
      </c>
      <c r="H192" s="115">
        <f>SUM(H193:H193)</f>
        <v>0</v>
      </c>
      <c r="I192" s="142">
        <f>SUM(I193:I193)</f>
        <v>0</v>
      </c>
      <c r="J192" s="215"/>
      <c r="K192" s="216">
        <f>SUM(K193:K193)</f>
        <v>17.4604</v>
      </c>
      <c r="L192" s="151"/>
      <c r="AI192" s="20"/>
      <c r="AS192" s="29">
        <f>SUM(AJ193:AJ193)</f>
        <v>0</v>
      </c>
      <c r="AT192" s="29">
        <f>SUM(AK193:AK193)</f>
        <v>0</v>
      </c>
      <c r="AU192" s="29">
        <f>SUM(AL193:AL193)</f>
        <v>0</v>
      </c>
    </row>
    <row r="193" spans="1:62" ht="12.75">
      <c r="A193" s="107" t="s">
        <v>97</v>
      </c>
      <c r="B193" s="108" t="s">
        <v>411</v>
      </c>
      <c r="C193" s="109" t="s">
        <v>747</v>
      </c>
      <c r="D193" s="205" t="s">
        <v>1008</v>
      </c>
      <c r="E193" s="110">
        <f>+E194</f>
        <v>40</v>
      </c>
      <c r="F193" s="132">
        <v>0</v>
      </c>
      <c r="G193" s="139">
        <f>E193*AO193</f>
        <v>0</v>
      </c>
      <c r="H193" s="110">
        <f>E193*AP193</f>
        <v>0</v>
      </c>
      <c r="I193" s="140">
        <f>E193*F193</f>
        <v>0</v>
      </c>
      <c r="J193" s="213">
        <v>0.43651</v>
      </c>
      <c r="K193" s="214">
        <f>E193*J193</f>
        <v>17.4604</v>
      </c>
      <c r="L193" s="150" t="s">
        <v>1039</v>
      </c>
      <c r="Z193" s="27">
        <f>IF(AQ193="5",BJ193,0)</f>
        <v>0</v>
      </c>
      <c r="AB193" s="27">
        <f>IF(AQ193="1",BH193,0)</f>
        <v>0</v>
      </c>
      <c r="AC193" s="27">
        <f>IF(AQ193="1",BI193,0)</f>
        <v>0</v>
      </c>
      <c r="AD193" s="27">
        <f>IF(AQ193="7",BH193,0)</f>
        <v>0</v>
      </c>
      <c r="AE193" s="27">
        <f>IF(AQ193="7",BI193,0)</f>
        <v>0</v>
      </c>
      <c r="AF193" s="27">
        <f>IF(AQ193="2",BH193,0)</f>
        <v>0</v>
      </c>
      <c r="AG193" s="27">
        <f>IF(AQ193="2",BI193,0)</f>
        <v>0</v>
      </c>
      <c r="AH193" s="27">
        <f>IF(AQ193="0",BJ193,0)</f>
        <v>0</v>
      </c>
      <c r="AI193" s="20"/>
      <c r="AJ193" s="13">
        <f>IF(AN193=0,I193,0)</f>
        <v>0</v>
      </c>
      <c r="AK193" s="13">
        <f>IF(AN193=15,I193,0)</f>
        <v>0</v>
      </c>
      <c r="AL193" s="13">
        <f>IF(AN193=21,I193,0)</f>
        <v>0</v>
      </c>
      <c r="AN193" s="27">
        <v>21</v>
      </c>
      <c r="AO193" s="27">
        <f>F193*0.412436184248265</f>
        <v>0</v>
      </c>
      <c r="AP193" s="27">
        <f>F193*(1-0.412436184248265)</f>
        <v>0</v>
      </c>
      <c r="AQ193" s="23" t="s">
        <v>7</v>
      </c>
      <c r="AV193" s="27">
        <f>AW193+AX193</f>
        <v>0</v>
      </c>
      <c r="AW193" s="27">
        <f>E193*AO193</f>
        <v>0</v>
      </c>
      <c r="AX193" s="27">
        <f>E193*AP193</f>
        <v>0</v>
      </c>
      <c r="AY193" s="28" t="s">
        <v>1060</v>
      </c>
      <c r="AZ193" s="28" t="s">
        <v>1094</v>
      </c>
      <c r="BA193" s="20" t="s">
        <v>1106</v>
      </c>
      <c r="BC193" s="27">
        <f>AW193+AX193</f>
        <v>0</v>
      </c>
      <c r="BD193" s="27">
        <f>F193/(100-BE193)*100</f>
        <v>0</v>
      </c>
      <c r="BE193" s="27">
        <v>0</v>
      </c>
      <c r="BF193" s="27">
        <f>K193</f>
        <v>17.4604</v>
      </c>
      <c r="BH193" s="13">
        <f>E193*AO193</f>
        <v>0</v>
      </c>
      <c r="BI193" s="13">
        <f>E193*AP193</f>
        <v>0</v>
      </c>
      <c r="BJ193" s="13">
        <f>E193*F193</f>
        <v>0</v>
      </c>
    </row>
    <row r="194" spans="1:62" ht="12.75">
      <c r="A194" s="107"/>
      <c r="B194" s="108"/>
      <c r="C194" s="99" t="s">
        <v>1701</v>
      </c>
      <c r="D194" s="100" t="s">
        <v>1008</v>
      </c>
      <c r="E194" s="101">
        <f>+(6+3.5)*2+(7+3.5)*2</f>
        <v>40</v>
      </c>
      <c r="F194" s="132"/>
      <c r="G194" s="139"/>
      <c r="H194" s="110"/>
      <c r="I194" s="140"/>
      <c r="J194" s="213"/>
      <c r="K194" s="214"/>
      <c r="L194" s="150"/>
      <c r="Z194" s="27"/>
      <c r="AB194" s="27"/>
      <c r="AC194" s="27"/>
      <c r="AD194" s="27"/>
      <c r="AE194" s="27"/>
      <c r="AF194" s="27"/>
      <c r="AG194" s="27"/>
      <c r="AH194" s="27"/>
      <c r="AI194" s="20"/>
      <c r="AJ194" s="13"/>
      <c r="AK194" s="13"/>
      <c r="AL194" s="13"/>
      <c r="AN194" s="27"/>
      <c r="AO194" s="27"/>
      <c r="AP194" s="27"/>
      <c r="AQ194" s="23"/>
      <c r="AV194" s="27"/>
      <c r="AW194" s="27"/>
      <c r="AX194" s="27"/>
      <c r="AY194" s="28"/>
      <c r="AZ194" s="28"/>
      <c r="BA194" s="20"/>
      <c r="BC194" s="27"/>
      <c r="BD194" s="27"/>
      <c r="BE194" s="27"/>
      <c r="BF194" s="27"/>
      <c r="BH194" s="13"/>
      <c r="BI194" s="13"/>
      <c r="BJ194" s="13"/>
    </row>
    <row r="195" spans="1:47" ht="12.75">
      <c r="A195" s="111"/>
      <c r="B195" s="112" t="s">
        <v>29</v>
      </c>
      <c r="C195" s="113" t="s">
        <v>748</v>
      </c>
      <c r="D195" s="206" t="s">
        <v>6</v>
      </c>
      <c r="E195" s="114" t="s">
        <v>6</v>
      </c>
      <c r="F195" s="133" t="s">
        <v>6</v>
      </c>
      <c r="G195" s="141">
        <f>SUM(G196:G196)</f>
        <v>0</v>
      </c>
      <c r="H195" s="115">
        <f>SUM(H196:H196)</f>
        <v>0</v>
      </c>
      <c r="I195" s="142">
        <f>SUM(I196:I196)</f>
        <v>0</v>
      </c>
      <c r="J195" s="215"/>
      <c r="K195" s="216">
        <f>SUM(K196:K196)</f>
        <v>0.02</v>
      </c>
      <c r="L195" s="151"/>
      <c r="AI195" s="20"/>
      <c r="AS195" s="29">
        <f>SUM(AJ196:AJ196)</f>
        <v>0</v>
      </c>
      <c r="AT195" s="29">
        <f>SUM(AK196:AK196)</f>
        <v>0</v>
      </c>
      <c r="AU195" s="29">
        <f>SUM(AL196:AL196)</f>
        <v>0</v>
      </c>
    </row>
    <row r="196" spans="1:62" ht="25.5">
      <c r="A196" s="107" t="s">
        <v>98</v>
      </c>
      <c r="B196" s="108" t="s">
        <v>412</v>
      </c>
      <c r="C196" s="109" t="s">
        <v>749</v>
      </c>
      <c r="D196" s="205" t="s">
        <v>1007</v>
      </c>
      <c r="E196" s="110">
        <v>2</v>
      </c>
      <c r="F196" s="132">
        <v>0</v>
      </c>
      <c r="G196" s="139">
        <f>E196*AO196</f>
        <v>0</v>
      </c>
      <c r="H196" s="110">
        <f>E196*AP196</f>
        <v>0</v>
      </c>
      <c r="I196" s="140">
        <f>E196*F196</f>
        <v>0</v>
      </c>
      <c r="J196" s="213">
        <v>0.01</v>
      </c>
      <c r="K196" s="214">
        <f>E196*J196</f>
        <v>0.02</v>
      </c>
      <c r="L196" s="150"/>
      <c r="Z196" s="27">
        <f>IF(AQ196="5",BJ196,0)</f>
        <v>0</v>
      </c>
      <c r="AB196" s="27">
        <f>IF(AQ196="1",BH196,0)</f>
        <v>0</v>
      </c>
      <c r="AC196" s="27">
        <f>IF(AQ196="1",BI196,0)</f>
        <v>0</v>
      </c>
      <c r="AD196" s="27">
        <f>IF(AQ196="7",BH196,0)</f>
        <v>0</v>
      </c>
      <c r="AE196" s="27">
        <f>IF(AQ196="7",BI196,0)</f>
        <v>0</v>
      </c>
      <c r="AF196" s="27">
        <f>IF(AQ196="2",BH196,0)</f>
        <v>0</v>
      </c>
      <c r="AG196" s="27">
        <f>IF(AQ196="2",BI196,0)</f>
        <v>0</v>
      </c>
      <c r="AH196" s="27">
        <f>IF(AQ196="0",BJ196,0)</f>
        <v>0</v>
      </c>
      <c r="AI196" s="20"/>
      <c r="AJ196" s="13">
        <f>IF(AN196=0,I196,0)</f>
        <v>0</v>
      </c>
      <c r="AK196" s="13">
        <f>IF(AN196=15,I196,0)</f>
        <v>0</v>
      </c>
      <c r="AL196" s="13">
        <f>IF(AN196=21,I196,0)</f>
        <v>0</v>
      </c>
      <c r="AN196" s="27">
        <v>21</v>
      </c>
      <c r="AO196" s="27">
        <f>F196*0.976190476190476</f>
        <v>0</v>
      </c>
      <c r="AP196" s="27">
        <f>F196*(1-0.976190476190476)</f>
        <v>0</v>
      </c>
      <c r="AQ196" s="23" t="s">
        <v>7</v>
      </c>
      <c r="AV196" s="27">
        <f>AW196+AX196</f>
        <v>0</v>
      </c>
      <c r="AW196" s="27">
        <f>E196*AO196</f>
        <v>0</v>
      </c>
      <c r="AX196" s="27">
        <f>E196*AP196</f>
        <v>0</v>
      </c>
      <c r="AY196" s="28" t="s">
        <v>1061</v>
      </c>
      <c r="AZ196" s="28" t="s">
        <v>1094</v>
      </c>
      <c r="BA196" s="20" t="s">
        <v>1106</v>
      </c>
      <c r="BC196" s="27">
        <f>AW196+AX196</f>
        <v>0</v>
      </c>
      <c r="BD196" s="27">
        <f>F196/(100-BE196)*100</f>
        <v>0</v>
      </c>
      <c r="BE196" s="27">
        <v>0</v>
      </c>
      <c r="BF196" s="27">
        <f>K196</f>
        <v>0.02</v>
      </c>
      <c r="BH196" s="13">
        <f>E196*AO196</f>
        <v>0</v>
      </c>
      <c r="BI196" s="13">
        <f>E196*AP196</f>
        <v>0</v>
      </c>
      <c r="BJ196" s="13">
        <f>E196*F196</f>
        <v>0</v>
      </c>
    </row>
    <row r="197" spans="1:62" ht="12.75">
      <c r="A197" s="107"/>
      <c r="B197" s="108"/>
      <c r="C197" s="99" t="s">
        <v>1702</v>
      </c>
      <c r="D197" s="205"/>
      <c r="E197" s="110"/>
      <c r="F197" s="132"/>
      <c r="G197" s="139"/>
      <c r="H197" s="110"/>
      <c r="I197" s="140"/>
      <c r="J197" s="213"/>
      <c r="K197" s="214"/>
      <c r="L197" s="150"/>
      <c r="Z197" s="27"/>
      <c r="AB197" s="27"/>
      <c r="AC197" s="27"/>
      <c r="AD197" s="27"/>
      <c r="AE197" s="27"/>
      <c r="AF197" s="27"/>
      <c r="AG197" s="27"/>
      <c r="AH197" s="27"/>
      <c r="AI197" s="20"/>
      <c r="AJ197" s="13"/>
      <c r="AK197" s="13"/>
      <c r="AL197" s="13"/>
      <c r="AN197" s="27"/>
      <c r="AO197" s="27"/>
      <c r="AP197" s="27"/>
      <c r="AQ197" s="23"/>
      <c r="AV197" s="27"/>
      <c r="AW197" s="27"/>
      <c r="AX197" s="27"/>
      <c r="AY197" s="28"/>
      <c r="AZ197" s="28"/>
      <c r="BA197" s="20"/>
      <c r="BC197" s="27"/>
      <c r="BD197" s="27"/>
      <c r="BE197" s="27"/>
      <c r="BF197" s="27"/>
      <c r="BH197" s="13"/>
      <c r="BI197" s="13"/>
      <c r="BJ197" s="13"/>
    </row>
    <row r="198" spans="1:47" ht="12.75">
      <c r="A198" s="111"/>
      <c r="B198" s="112" t="s">
        <v>33</v>
      </c>
      <c r="C198" s="113" t="s">
        <v>750</v>
      </c>
      <c r="D198" s="206" t="s">
        <v>6</v>
      </c>
      <c r="E198" s="114" t="s">
        <v>6</v>
      </c>
      <c r="F198" s="133" t="s">
        <v>6</v>
      </c>
      <c r="G198" s="141">
        <f>SUM(G199:G199)</f>
        <v>0</v>
      </c>
      <c r="H198" s="115">
        <f>SUM(H199:H199)</f>
        <v>0</v>
      </c>
      <c r="I198" s="142">
        <f>SUM(I199:I199)</f>
        <v>0</v>
      </c>
      <c r="J198" s="215"/>
      <c r="K198" s="216">
        <f>SUM(K199:K199)</f>
        <v>0.2424</v>
      </c>
      <c r="L198" s="151"/>
      <c r="AI198" s="20"/>
      <c r="AS198" s="29">
        <f>SUM(AJ199:AJ199)</f>
        <v>0</v>
      </c>
      <c r="AT198" s="29">
        <f>SUM(AK199:AK199)</f>
        <v>0</v>
      </c>
      <c r="AU198" s="29">
        <f>SUM(AL199:AL199)</f>
        <v>0</v>
      </c>
    </row>
    <row r="199" spans="1:62" ht="12.75">
      <c r="A199" s="107" t="s">
        <v>99</v>
      </c>
      <c r="B199" s="108" t="s">
        <v>413</v>
      </c>
      <c r="C199" s="109" t="s">
        <v>751</v>
      </c>
      <c r="D199" s="205" t="s">
        <v>1006</v>
      </c>
      <c r="E199" s="110">
        <v>0.096</v>
      </c>
      <c r="F199" s="132">
        <v>0</v>
      </c>
      <c r="G199" s="139">
        <f>E199*AO199</f>
        <v>0</v>
      </c>
      <c r="H199" s="110">
        <f>E199*AP199</f>
        <v>0</v>
      </c>
      <c r="I199" s="140">
        <f>E199*F199</f>
        <v>0</v>
      </c>
      <c r="J199" s="213">
        <v>2.525</v>
      </c>
      <c r="K199" s="214">
        <f>E199*J199</f>
        <v>0.2424</v>
      </c>
      <c r="L199" s="150" t="s">
        <v>1039</v>
      </c>
      <c r="Z199" s="27">
        <f>IF(AQ199="5",BJ199,0)</f>
        <v>0</v>
      </c>
      <c r="AB199" s="27">
        <f>IF(AQ199="1",BH199,0)</f>
        <v>0</v>
      </c>
      <c r="AC199" s="27">
        <f>IF(AQ199="1",BI199,0)</f>
        <v>0</v>
      </c>
      <c r="AD199" s="27">
        <f>IF(AQ199="7",BH199,0)</f>
        <v>0</v>
      </c>
      <c r="AE199" s="27">
        <f>IF(AQ199="7",BI199,0)</f>
        <v>0</v>
      </c>
      <c r="AF199" s="27">
        <f>IF(AQ199="2",BH199,0)</f>
        <v>0</v>
      </c>
      <c r="AG199" s="27">
        <f>IF(AQ199="2",BI199,0)</f>
        <v>0</v>
      </c>
      <c r="AH199" s="27">
        <f>IF(AQ199="0",BJ199,0)</f>
        <v>0</v>
      </c>
      <c r="AI199" s="20"/>
      <c r="AJ199" s="13">
        <f>IF(AN199=0,I199,0)</f>
        <v>0</v>
      </c>
      <c r="AK199" s="13">
        <f>IF(AN199=15,I199,0)</f>
        <v>0</v>
      </c>
      <c r="AL199" s="13">
        <f>IF(AN199=21,I199,0)</f>
        <v>0</v>
      </c>
      <c r="AN199" s="27">
        <v>21</v>
      </c>
      <c r="AO199" s="27">
        <f>F199*0.544296028880866</f>
        <v>0</v>
      </c>
      <c r="AP199" s="27">
        <f>F199*(1-0.544296028880866)</f>
        <v>0</v>
      </c>
      <c r="AQ199" s="23" t="s">
        <v>7</v>
      </c>
      <c r="AV199" s="27">
        <f>AW199+AX199</f>
        <v>0</v>
      </c>
      <c r="AW199" s="27">
        <f>E199*AO199</f>
        <v>0</v>
      </c>
      <c r="AX199" s="27">
        <f>E199*AP199</f>
        <v>0</v>
      </c>
      <c r="AY199" s="28" t="s">
        <v>1062</v>
      </c>
      <c r="AZ199" s="28" t="s">
        <v>1094</v>
      </c>
      <c r="BA199" s="20" t="s">
        <v>1106</v>
      </c>
      <c r="BC199" s="27">
        <f>AW199+AX199</f>
        <v>0</v>
      </c>
      <c r="BD199" s="27">
        <f>F199/(100-BE199)*100</f>
        <v>0</v>
      </c>
      <c r="BE199" s="27">
        <v>0</v>
      </c>
      <c r="BF199" s="27">
        <f>K199</f>
        <v>0.2424</v>
      </c>
      <c r="BH199" s="13">
        <f>E199*AO199</f>
        <v>0</v>
      </c>
      <c r="BI199" s="13">
        <f>E199*AP199</f>
        <v>0</v>
      </c>
      <c r="BJ199" s="13">
        <f>E199*F199</f>
        <v>0</v>
      </c>
    </row>
    <row r="200" spans="1:62" ht="12.75">
      <c r="A200" s="107"/>
      <c r="B200" s="108"/>
      <c r="C200" s="99" t="s">
        <v>1703</v>
      </c>
      <c r="D200" s="100" t="s">
        <v>1006</v>
      </c>
      <c r="E200" s="101">
        <f>0.4*0.4*0.6</f>
        <v>0.09600000000000002</v>
      </c>
      <c r="F200" s="132"/>
      <c r="G200" s="139"/>
      <c r="H200" s="110"/>
      <c r="I200" s="140"/>
      <c r="J200" s="213"/>
      <c r="K200" s="214"/>
      <c r="L200" s="150"/>
      <c r="Z200" s="27"/>
      <c r="AB200" s="27"/>
      <c r="AC200" s="27"/>
      <c r="AD200" s="27"/>
      <c r="AE200" s="27"/>
      <c r="AF200" s="27"/>
      <c r="AG200" s="27"/>
      <c r="AH200" s="27"/>
      <c r="AI200" s="20"/>
      <c r="AJ200" s="13"/>
      <c r="AK200" s="13"/>
      <c r="AL200" s="13"/>
      <c r="AN200" s="27"/>
      <c r="AO200" s="27"/>
      <c r="AP200" s="27"/>
      <c r="AQ200" s="23"/>
      <c r="AV200" s="27"/>
      <c r="AW200" s="27"/>
      <c r="AX200" s="27"/>
      <c r="AY200" s="28"/>
      <c r="AZ200" s="28"/>
      <c r="BA200" s="20"/>
      <c r="BC200" s="27"/>
      <c r="BD200" s="27"/>
      <c r="BE200" s="27"/>
      <c r="BF200" s="27"/>
      <c r="BH200" s="13"/>
      <c r="BI200" s="13"/>
      <c r="BJ200" s="13"/>
    </row>
    <row r="201" spans="1:47" ht="12.75">
      <c r="A201" s="111"/>
      <c r="B201" s="112" t="s">
        <v>39</v>
      </c>
      <c r="C201" s="113" t="s">
        <v>752</v>
      </c>
      <c r="D201" s="206" t="s">
        <v>6</v>
      </c>
      <c r="E201" s="114" t="s">
        <v>6</v>
      </c>
      <c r="F201" s="133" t="s">
        <v>6</v>
      </c>
      <c r="G201" s="141">
        <f>SUM(G202:G202)</f>
        <v>0</v>
      </c>
      <c r="H201" s="115">
        <f>SUM(H202:H202)</f>
        <v>0</v>
      </c>
      <c r="I201" s="142">
        <f>SUM(I202:I202)</f>
        <v>0</v>
      </c>
      <c r="J201" s="215"/>
      <c r="K201" s="216">
        <f>SUM(K202:K202)</f>
        <v>24.616153088000008</v>
      </c>
      <c r="L201" s="151"/>
      <c r="AI201" s="20"/>
      <c r="AS201" s="29">
        <f>SUM(AJ202:AJ202)</f>
        <v>0</v>
      </c>
      <c r="AT201" s="29">
        <f>SUM(AK202:AK202)</f>
        <v>0</v>
      </c>
      <c r="AU201" s="29">
        <f>SUM(AL202:AL202)</f>
        <v>0</v>
      </c>
    </row>
    <row r="202" spans="1:62" ht="25.5">
      <c r="A202" s="107" t="s">
        <v>100</v>
      </c>
      <c r="B202" s="108" t="s">
        <v>414</v>
      </c>
      <c r="C202" s="109" t="s">
        <v>753</v>
      </c>
      <c r="D202" s="205" t="s">
        <v>1006</v>
      </c>
      <c r="E202" s="110">
        <f>+E203</f>
        <v>9.748971520000003</v>
      </c>
      <c r="F202" s="132">
        <v>0</v>
      </c>
      <c r="G202" s="139">
        <f>E202*AO202</f>
        <v>0</v>
      </c>
      <c r="H202" s="110">
        <f>E202*AP202</f>
        <v>0</v>
      </c>
      <c r="I202" s="140">
        <f>E202*F202</f>
        <v>0</v>
      </c>
      <c r="J202" s="213">
        <v>2.525</v>
      </c>
      <c r="K202" s="214">
        <f>E202*J202</f>
        <v>24.616153088000008</v>
      </c>
      <c r="L202" s="150" t="s">
        <v>1039</v>
      </c>
      <c r="Z202" s="27">
        <f>IF(AQ202="5",BJ202,0)</f>
        <v>0</v>
      </c>
      <c r="AB202" s="27">
        <f>IF(AQ202="1",BH202,0)</f>
        <v>0</v>
      </c>
      <c r="AC202" s="27">
        <f>IF(AQ202="1",BI202,0)</f>
        <v>0</v>
      </c>
      <c r="AD202" s="27">
        <f>IF(AQ202="7",BH202,0)</f>
        <v>0</v>
      </c>
      <c r="AE202" s="27">
        <f>IF(AQ202="7",BI202,0)</f>
        <v>0</v>
      </c>
      <c r="AF202" s="27">
        <f>IF(AQ202="2",BH202,0)</f>
        <v>0</v>
      </c>
      <c r="AG202" s="27">
        <f>IF(AQ202="2",BI202,0)</f>
        <v>0</v>
      </c>
      <c r="AH202" s="27">
        <f>IF(AQ202="0",BJ202,0)</f>
        <v>0</v>
      </c>
      <c r="AI202" s="20"/>
      <c r="AJ202" s="13">
        <f>IF(AN202=0,I202,0)</f>
        <v>0</v>
      </c>
      <c r="AK202" s="13">
        <f>IF(AN202=15,I202,0)</f>
        <v>0</v>
      </c>
      <c r="AL202" s="13">
        <f>IF(AN202=21,I202,0)</f>
        <v>0</v>
      </c>
      <c r="AN202" s="27">
        <v>21</v>
      </c>
      <c r="AO202" s="27">
        <f>F202*0.553882246929989</f>
        <v>0</v>
      </c>
      <c r="AP202" s="27">
        <f>F202*(1-0.553882246929989)</f>
        <v>0</v>
      </c>
      <c r="AQ202" s="23" t="s">
        <v>7</v>
      </c>
      <c r="AV202" s="27">
        <f>AW202+AX202</f>
        <v>0</v>
      </c>
      <c r="AW202" s="27">
        <f>E202*AO202</f>
        <v>0</v>
      </c>
      <c r="AX202" s="27">
        <f>E202*AP202</f>
        <v>0</v>
      </c>
      <c r="AY202" s="28" t="s">
        <v>1063</v>
      </c>
      <c r="AZ202" s="28" t="s">
        <v>1095</v>
      </c>
      <c r="BA202" s="20" t="s">
        <v>1106</v>
      </c>
      <c r="BC202" s="27">
        <f>AW202+AX202</f>
        <v>0</v>
      </c>
      <c r="BD202" s="27">
        <f>F202/(100-BE202)*100</f>
        <v>0</v>
      </c>
      <c r="BE202" s="27">
        <v>0</v>
      </c>
      <c r="BF202" s="27">
        <f>K202</f>
        <v>24.616153088000008</v>
      </c>
      <c r="BH202" s="13">
        <f>E202*AO202</f>
        <v>0</v>
      </c>
      <c r="BI202" s="13">
        <f>E202*AP202</f>
        <v>0</v>
      </c>
      <c r="BJ202" s="13">
        <f>E202*F202</f>
        <v>0</v>
      </c>
    </row>
    <row r="203" spans="1:62" ht="25.5">
      <c r="A203" s="107"/>
      <c r="B203" s="108"/>
      <c r="C203" s="99" t="s">
        <v>1704</v>
      </c>
      <c r="D203" s="100" t="s">
        <v>1006</v>
      </c>
      <c r="E203" s="101">
        <f>+(3.14*0.886*0.886/4-3.14*0.63*0.63/4)*32</f>
        <v>9.748971520000003</v>
      </c>
      <c r="F203" s="132"/>
      <c r="G203" s="139"/>
      <c r="H203" s="110"/>
      <c r="I203" s="140"/>
      <c r="J203" s="213"/>
      <c r="K203" s="214"/>
      <c r="L203" s="150"/>
      <c r="Z203" s="27"/>
      <c r="AB203" s="27"/>
      <c r="AC203" s="27"/>
      <c r="AD203" s="27"/>
      <c r="AE203" s="27"/>
      <c r="AF203" s="27"/>
      <c r="AG203" s="27"/>
      <c r="AH203" s="27"/>
      <c r="AI203" s="20"/>
      <c r="AJ203" s="13"/>
      <c r="AK203" s="13"/>
      <c r="AL203" s="13"/>
      <c r="AN203" s="27"/>
      <c r="AO203" s="27"/>
      <c r="AP203" s="27"/>
      <c r="AQ203" s="23"/>
      <c r="AV203" s="27"/>
      <c r="AW203" s="27"/>
      <c r="AX203" s="27"/>
      <c r="AY203" s="28"/>
      <c r="AZ203" s="28"/>
      <c r="BA203" s="20"/>
      <c r="BC203" s="27"/>
      <c r="BD203" s="27"/>
      <c r="BE203" s="27"/>
      <c r="BF203" s="27"/>
      <c r="BH203" s="13"/>
      <c r="BI203" s="13"/>
      <c r="BJ203" s="13"/>
    </row>
    <row r="204" spans="1:47" ht="12.75">
      <c r="A204" s="111"/>
      <c r="B204" s="112" t="s">
        <v>44</v>
      </c>
      <c r="C204" s="113" t="s">
        <v>754</v>
      </c>
      <c r="D204" s="206" t="s">
        <v>6</v>
      </c>
      <c r="E204" s="114" t="s">
        <v>6</v>
      </c>
      <c r="F204" s="133" t="s">
        <v>6</v>
      </c>
      <c r="G204" s="141">
        <f>SUM(G205:G211)</f>
        <v>0</v>
      </c>
      <c r="H204" s="115">
        <f>SUM(H205:H211)</f>
        <v>0</v>
      </c>
      <c r="I204" s="142">
        <f>SUM(I205:I211)</f>
        <v>0</v>
      </c>
      <c r="J204" s="215"/>
      <c r="K204" s="216">
        <f>SUM(K205:K211)</f>
        <v>0.12468</v>
      </c>
      <c r="L204" s="151"/>
      <c r="AI204" s="20"/>
      <c r="AS204" s="29">
        <f>SUM(AJ205:AJ211)</f>
        <v>0</v>
      </c>
      <c r="AT204" s="29">
        <f>SUM(AK205:AK211)</f>
        <v>0</v>
      </c>
      <c r="AU204" s="29">
        <f>SUM(AL205:AL211)</f>
        <v>0</v>
      </c>
    </row>
    <row r="205" spans="1:62" ht="12.75">
      <c r="A205" s="107" t="s">
        <v>101</v>
      </c>
      <c r="B205" s="108" t="s">
        <v>415</v>
      </c>
      <c r="C205" s="109" t="s">
        <v>755</v>
      </c>
      <c r="D205" s="205" t="s">
        <v>1012</v>
      </c>
      <c r="E205" s="110">
        <v>9.8</v>
      </c>
      <c r="F205" s="132">
        <v>0</v>
      </c>
      <c r="G205" s="139">
        <f>E205*AO205</f>
        <v>0</v>
      </c>
      <c r="H205" s="110">
        <f>E205*AP205</f>
        <v>0</v>
      </c>
      <c r="I205" s="140">
        <f>E205*F205</f>
        <v>0</v>
      </c>
      <c r="J205" s="213">
        <v>0.001</v>
      </c>
      <c r="K205" s="214">
        <f>E205*J205</f>
        <v>0.009800000000000001</v>
      </c>
      <c r="L205" s="150" t="s">
        <v>1039</v>
      </c>
      <c r="Z205" s="27">
        <f>IF(AQ205="5",BJ205,0)</f>
        <v>0</v>
      </c>
      <c r="AB205" s="27">
        <f>IF(AQ205="1",BH205,0)</f>
        <v>0</v>
      </c>
      <c r="AC205" s="27">
        <f>IF(AQ205="1",BI205,0)</f>
        <v>0</v>
      </c>
      <c r="AD205" s="27">
        <f>IF(AQ205="7",BH205,0)</f>
        <v>0</v>
      </c>
      <c r="AE205" s="27">
        <f>IF(AQ205="7",BI205,0)</f>
        <v>0</v>
      </c>
      <c r="AF205" s="27">
        <f>IF(AQ205="2",BH205,0)</f>
        <v>0</v>
      </c>
      <c r="AG205" s="27">
        <f>IF(AQ205="2",BI205,0)</f>
        <v>0</v>
      </c>
      <c r="AH205" s="27">
        <f>IF(AQ205="0",BJ205,0)</f>
        <v>0</v>
      </c>
      <c r="AI205" s="20"/>
      <c r="AJ205" s="13">
        <f>IF(AN205=0,I205,0)</f>
        <v>0</v>
      </c>
      <c r="AK205" s="13">
        <f>IF(AN205=15,I205,0)</f>
        <v>0</v>
      </c>
      <c r="AL205" s="13">
        <f>IF(AN205=21,I205,0)</f>
        <v>0</v>
      </c>
      <c r="AN205" s="27">
        <v>21</v>
      </c>
      <c r="AO205" s="27">
        <f>F205*0.804713375796178</f>
        <v>0</v>
      </c>
      <c r="AP205" s="27">
        <f>F205*(1-0.804713375796178)</f>
        <v>0</v>
      </c>
      <c r="AQ205" s="23" t="s">
        <v>7</v>
      </c>
      <c r="AV205" s="27">
        <f>AW205+AX205</f>
        <v>0</v>
      </c>
      <c r="AW205" s="27">
        <f>E205*AO205</f>
        <v>0</v>
      </c>
      <c r="AX205" s="27">
        <f>E205*AP205</f>
        <v>0</v>
      </c>
      <c r="AY205" s="28" t="s">
        <v>1064</v>
      </c>
      <c r="AZ205" s="28" t="s">
        <v>1095</v>
      </c>
      <c r="BA205" s="20" t="s">
        <v>1106</v>
      </c>
      <c r="BC205" s="27">
        <f>AW205+AX205</f>
        <v>0</v>
      </c>
      <c r="BD205" s="27">
        <f>F205/(100-BE205)*100</f>
        <v>0</v>
      </c>
      <c r="BE205" s="27">
        <v>0</v>
      </c>
      <c r="BF205" s="27">
        <f>K205</f>
        <v>0.009800000000000001</v>
      </c>
      <c r="BH205" s="13">
        <f>E205*AO205</f>
        <v>0</v>
      </c>
      <c r="BI205" s="13">
        <f>E205*AP205</f>
        <v>0</v>
      </c>
      <c r="BJ205" s="13">
        <f>E205*F205</f>
        <v>0</v>
      </c>
    </row>
    <row r="206" spans="1:62" ht="12.75">
      <c r="A206" s="107"/>
      <c r="B206" s="108"/>
      <c r="C206" s="99" t="s">
        <v>1705</v>
      </c>
      <c r="D206" s="205"/>
      <c r="E206" s="110"/>
      <c r="F206" s="132"/>
      <c r="G206" s="139"/>
      <c r="H206" s="110"/>
      <c r="I206" s="140"/>
      <c r="J206" s="213"/>
      <c r="K206" s="214"/>
      <c r="L206" s="150"/>
      <c r="Z206" s="27"/>
      <c r="AB206" s="27"/>
      <c r="AC206" s="27"/>
      <c r="AD206" s="27"/>
      <c r="AE206" s="27"/>
      <c r="AF206" s="27"/>
      <c r="AG206" s="27"/>
      <c r="AH206" s="27"/>
      <c r="AI206" s="20"/>
      <c r="AJ206" s="13"/>
      <c r="AK206" s="13"/>
      <c r="AL206" s="13"/>
      <c r="AN206" s="27"/>
      <c r="AO206" s="27"/>
      <c r="AP206" s="27"/>
      <c r="AQ206" s="23"/>
      <c r="AV206" s="27"/>
      <c r="AW206" s="27"/>
      <c r="AX206" s="27"/>
      <c r="AY206" s="28"/>
      <c r="AZ206" s="28"/>
      <c r="BA206" s="20"/>
      <c r="BC206" s="27"/>
      <c r="BD206" s="27"/>
      <c r="BE206" s="27"/>
      <c r="BF206" s="27"/>
      <c r="BH206" s="13"/>
      <c r="BI206" s="13"/>
      <c r="BJ206" s="13"/>
    </row>
    <row r="207" spans="1:62" ht="12.75">
      <c r="A207" s="107" t="s">
        <v>102</v>
      </c>
      <c r="B207" s="108" t="s">
        <v>416</v>
      </c>
      <c r="C207" s="109" t="s">
        <v>756</v>
      </c>
      <c r="D207" s="205" t="s">
        <v>1012</v>
      </c>
      <c r="E207" s="110">
        <f>+E208</f>
        <v>99.88</v>
      </c>
      <c r="F207" s="132">
        <v>0</v>
      </c>
      <c r="G207" s="139">
        <f>E207*AO207</f>
        <v>0</v>
      </c>
      <c r="H207" s="110">
        <f>E207*AP207</f>
        <v>0</v>
      </c>
      <c r="I207" s="140">
        <f>E207*F207</f>
        <v>0</v>
      </c>
      <c r="J207" s="213">
        <v>0</v>
      </c>
      <c r="K207" s="214">
        <f>E207*J207</f>
        <v>0</v>
      </c>
      <c r="L207" s="150" t="s">
        <v>1040</v>
      </c>
      <c r="Z207" s="27">
        <f>IF(AQ207="5",BJ207,0)</f>
        <v>0</v>
      </c>
      <c r="AB207" s="27">
        <f>IF(AQ207="1",BH207,0)</f>
        <v>0</v>
      </c>
      <c r="AC207" s="27">
        <f>IF(AQ207="1",BI207,0)</f>
        <v>0</v>
      </c>
      <c r="AD207" s="27">
        <f>IF(AQ207="7",BH207,0)</f>
        <v>0</v>
      </c>
      <c r="AE207" s="27">
        <f>IF(AQ207="7",BI207,0)</f>
        <v>0</v>
      </c>
      <c r="AF207" s="27">
        <f>IF(AQ207="2",BH207,0)</f>
        <v>0</v>
      </c>
      <c r="AG207" s="27">
        <f>IF(AQ207="2",BI207,0)</f>
        <v>0</v>
      </c>
      <c r="AH207" s="27">
        <f>IF(AQ207="0",BJ207,0)</f>
        <v>0</v>
      </c>
      <c r="AI207" s="20"/>
      <c r="AJ207" s="13">
        <f>IF(AN207=0,I207,0)</f>
        <v>0</v>
      </c>
      <c r="AK207" s="13">
        <f>IF(AN207=15,I207,0)</f>
        <v>0</v>
      </c>
      <c r="AL207" s="13">
        <f>IF(AN207=21,I207,0)</f>
        <v>0</v>
      </c>
      <c r="AN207" s="27">
        <v>21</v>
      </c>
      <c r="AO207" s="27">
        <f>F207*0</f>
        <v>0</v>
      </c>
      <c r="AP207" s="27">
        <f>F207*(1-0)</f>
        <v>0</v>
      </c>
      <c r="AQ207" s="23" t="s">
        <v>7</v>
      </c>
      <c r="AV207" s="27">
        <f>AW207+AX207</f>
        <v>0</v>
      </c>
      <c r="AW207" s="27">
        <f>E207*AO207</f>
        <v>0</v>
      </c>
      <c r="AX207" s="27">
        <f>E207*AP207</f>
        <v>0</v>
      </c>
      <c r="AY207" s="28" t="s">
        <v>1064</v>
      </c>
      <c r="AZ207" s="28" t="s">
        <v>1095</v>
      </c>
      <c r="BA207" s="20" t="s">
        <v>1106</v>
      </c>
      <c r="BC207" s="27">
        <f>AW207+AX207</f>
        <v>0</v>
      </c>
      <c r="BD207" s="27">
        <f>F207/(100-BE207)*100</f>
        <v>0</v>
      </c>
      <c r="BE207" s="27">
        <v>0</v>
      </c>
      <c r="BF207" s="27">
        <f>K207</f>
        <v>0</v>
      </c>
      <c r="BH207" s="13">
        <f>E207*AO207</f>
        <v>0</v>
      </c>
      <c r="BI207" s="13">
        <f>E207*AP207</f>
        <v>0</v>
      </c>
      <c r="BJ207" s="13">
        <f>E207*F207</f>
        <v>0</v>
      </c>
    </row>
    <row r="208" spans="1:62" ht="12.75">
      <c r="A208" s="107"/>
      <c r="B208" s="108"/>
      <c r="C208" s="99" t="s">
        <v>1706</v>
      </c>
      <c r="D208" s="100" t="s">
        <v>1012</v>
      </c>
      <c r="E208" s="101">
        <v>99.88</v>
      </c>
      <c r="F208" s="132"/>
      <c r="G208" s="139"/>
      <c r="H208" s="110"/>
      <c r="I208" s="140"/>
      <c r="J208" s="213"/>
      <c r="K208" s="214"/>
      <c r="L208" s="150"/>
      <c r="Z208" s="27"/>
      <c r="AB208" s="27"/>
      <c r="AC208" s="27"/>
      <c r="AD208" s="27"/>
      <c r="AE208" s="27"/>
      <c r="AF208" s="27"/>
      <c r="AG208" s="27"/>
      <c r="AH208" s="27"/>
      <c r="AI208" s="20"/>
      <c r="AJ208" s="13"/>
      <c r="AK208" s="13"/>
      <c r="AL208" s="13"/>
      <c r="AN208" s="27"/>
      <c r="AO208" s="27"/>
      <c r="AP208" s="27"/>
      <c r="AQ208" s="23"/>
      <c r="AV208" s="27"/>
      <c r="AW208" s="27"/>
      <c r="AX208" s="27"/>
      <c r="AY208" s="28"/>
      <c r="AZ208" s="28"/>
      <c r="BA208" s="20"/>
      <c r="BC208" s="27"/>
      <c r="BD208" s="27"/>
      <c r="BE208" s="27"/>
      <c r="BF208" s="27"/>
      <c r="BH208" s="13"/>
      <c r="BI208" s="13"/>
      <c r="BJ208" s="13"/>
    </row>
    <row r="209" spans="1:62" ht="12.75">
      <c r="A209" s="107" t="s">
        <v>103</v>
      </c>
      <c r="B209" s="108" t="s">
        <v>417</v>
      </c>
      <c r="C209" s="109" t="s">
        <v>757</v>
      </c>
      <c r="D209" s="205" t="s">
        <v>1012</v>
      </c>
      <c r="E209" s="110">
        <f>+E210</f>
        <v>114.88</v>
      </c>
      <c r="F209" s="132">
        <v>0</v>
      </c>
      <c r="G209" s="139">
        <f>E209*AO209</f>
        <v>0</v>
      </c>
      <c r="H209" s="110">
        <f>E209*AP209</f>
        <v>0</v>
      </c>
      <c r="I209" s="140">
        <f>E209*F209</f>
        <v>0</v>
      </c>
      <c r="J209" s="213">
        <v>0.001</v>
      </c>
      <c r="K209" s="214">
        <f>E209*J209</f>
        <v>0.11488</v>
      </c>
      <c r="L209" s="150" t="s">
        <v>1039</v>
      </c>
      <c r="Z209" s="27">
        <f>IF(AQ209="5",BJ209,0)</f>
        <v>0</v>
      </c>
      <c r="AB209" s="27">
        <f>IF(AQ209="1",BH209,0)</f>
        <v>0</v>
      </c>
      <c r="AC209" s="27">
        <f>IF(AQ209="1",BI209,0)</f>
        <v>0</v>
      </c>
      <c r="AD209" s="27">
        <f>IF(AQ209="7",BH209,0)</f>
        <v>0</v>
      </c>
      <c r="AE209" s="27">
        <f>IF(AQ209="7",BI209,0)</f>
        <v>0</v>
      </c>
      <c r="AF209" s="27">
        <f>IF(AQ209="2",BH209,0)</f>
        <v>0</v>
      </c>
      <c r="AG209" s="27">
        <f>IF(AQ209="2",BI209,0)</f>
        <v>0</v>
      </c>
      <c r="AH209" s="27">
        <f>IF(AQ209="0",BJ209,0)</f>
        <v>0</v>
      </c>
      <c r="AI209" s="20"/>
      <c r="AJ209" s="13">
        <f>IF(AN209=0,I209,0)</f>
        <v>0</v>
      </c>
      <c r="AK209" s="13">
        <f>IF(AN209=15,I209,0)</f>
        <v>0</v>
      </c>
      <c r="AL209" s="13">
        <f>IF(AN209=21,I209,0)</f>
        <v>0</v>
      </c>
      <c r="AN209" s="27">
        <v>21</v>
      </c>
      <c r="AO209" s="27">
        <f>F209*0.646304347826087</f>
        <v>0</v>
      </c>
      <c r="AP209" s="27">
        <f>F209*(1-0.646304347826087)</f>
        <v>0</v>
      </c>
      <c r="AQ209" s="23" t="s">
        <v>7</v>
      </c>
      <c r="AV209" s="27">
        <f>AW209+AX209</f>
        <v>0</v>
      </c>
      <c r="AW209" s="27">
        <f>E209*AO209</f>
        <v>0</v>
      </c>
      <c r="AX209" s="27">
        <f>E209*AP209</f>
        <v>0</v>
      </c>
      <c r="AY209" s="28" t="s">
        <v>1064</v>
      </c>
      <c r="AZ209" s="28" t="s">
        <v>1095</v>
      </c>
      <c r="BA209" s="20" t="s">
        <v>1106</v>
      </c>
      <c r="BC209" s="27">
        <f>AW209+AX209</f>
        <v>0</v>
      </c>
      <c r="BD209" s="27">
        <f>F209/(100-BE209)*100</f>
        <v>0</v>
      </c>
      <c r="BE209" s="27">
        <v>0</v>
      </c>
      <c r="BF209" s="27">
        <f>K209</f>
        <v>0.11488</v>
      </c>
      <c r="BH209" s="13">
        <f>E209*AO209</f>
        <v>0</v>
      </c>
      <c r="BI209" s="13">
        <f>E209*AP209</f>
        <v>0</v>
      </c>
      <c r="BJ209" s="13">
        <f>E209*F209</f>
        <v>0</v>
      </c>
    </row>
    <row r="210" spans="1:62" ht="25.5">
      <c r="A210" s="107"/>
      <c r="B210" s="108"/>
      <c r="C210" s="99" t="s">
        <v>1707</v>
      </c>
      <c r="D210" s="100" t="s">
        <v>1012</v>
      </c>
      <c r="E210" s="101">
        <f>99.88+15</f>
        <v>114.88</v>
      </c>
      <c r="F210" s="132"/>
      <c r="G210" s="139"/>
      <c r="H210" s="110"/>
      <c r="I210" s="140"/>
      <c r="J210" s="213"/>
      <c r="K210" s="214"/>
      <c r="L210" s="150"/>
      <c r="Z210" s="27"/>
      <c r="AB210" s="27"/>
      <c r="AC210" s="27"/>
      <c r="AD210" s="27"/>
      <c r="AE210" s="27"/>
      <c r="AF210" s="27"/>
      <c r="AG210" s="27"/>
      <c r="AH210" s="27"/>
      <c r="AI210" s="20"/>
      <c r="AJ210" s="13"/>
      <c r="AK210" s="13"/>
      <c r="AL210" s="13"/>
      <c r="AN210" s="27"/>
      <c r="AO210" s="27"/>
      <c r="AP210" s="27"/>
      <c r="AQ210" s="23"/>
      <c r="AV210" s="27"/>
      <c r="AW210" s="27"/>
      <c r="AX210" s="27"/>
      <c r="AY210" s="28"/>
      <c r="AZ210" s="28"/>
      <c r="BA210" s="20"/>
      <c r="BC210" s="27"/>
      <c r="BD210" s="27"/>
      <c r="BE210" s="27"/>
      <c r="BF210" s="27"/>
      <c r="BH210" s="13"/>
      <c r="BI210" s="13"/>
      <c r="BJ210" s="13"/>
    </row>
    <row r="211" spans="1:62" ht="25.5">
      <c r="A211" s="107" t="s">
        <v>104</v>
      </c>
      <c r="B211" s="108" t="s">
        <v>418</v>
      </c>
      <c r="C211" s="109" t="s">
        <v>758</v>
      </c>
      <c r="D211" s="205" t="s">
        <v>1013</v>
      </c>
      <c r="E211" s="110">
        <v>49</v>
      </c>
      <c r="F211" s="132">
        <v>0</v>
      </c>
      <c r="G211" s="139">
        <f>E211*AO211</f>
        <v>0</v>
      </c>
      <c r="H211" s="110">
        <f>E211*AP211</f>
        <v>0</v>
      </c>
      <c r="I211" s="140">
        <f>E211*F211</f>
        <v>0</v>
      </c>
      <c r="J211" s="213">
        <v>0</v>
      </c>
      <c r="K211" s="214">
        <f>E211*J211</f>
        <v>0</v>
      </c>
      <c r="L211" s="150"/>
      <c r="Z211" s="27">
        <f>IF(AQ211="5",BJ211,0)</f>
        <v>0</v>
      </c>
      <c r="AB211" s="27">
        <f>IF(AQ211="1",BH211,0)</f>
        <v>0</v>
      </c>
      <c r="AC211" s="27">
        <f>IF(AQ211="1",BI211,0)</f>
        <v>0</v>
      </c>
      <c r="AD211" s="27">
        <f>IF(AQ211="7",BH211,0)</f>
        <v>0</v>
      </c>
      <c r="AE211" s="27">
        <f>IF(AQ211="7",BI211,0)</f>
        <v>0</v>
      </c>
      <c r="AF211" s="27">
        <f>IF(AQ211="2",BH211,0)</f>
        <v>0</v>
      </c>
      <c r="AG211" s="27">
        <f>IF(AQ211="2",BI211,0)</f>
        <v>0</v>
      </c>
      <c r="AH211" s="27">
        <f>IF(AQ211="0",BJ211,0)</f>
        <v>0</v>
      </c>
      <c r="AI211" s="20"/>
      <c r="AJ211" s="13">
        <f>IF(AN211=0,I211,0)</f>
        <v>0</v>
      </c>
      <c r="AK211" s="13">
        <f>IF(AN211=15,I211,0)</f>
        <v>0</v>
      </c>
      <c r="AL211" s="13">
        <f>IF(AN211=21,I211,0)</f>
        <v>0</v>
      </c>
      <c r="AN211" s="27">
        <v>21</v>
      </c>
      <c r="AO211" s="27">
        <f>F211*0.263157894736842</f>
        <v>0</v>
      </c>
      <c r="AP211" s="27">
        <f>F211*(1-0.263157894736842)</f>
        <v>0</v>
      </c>
      <c r="AQ211" s="23" t="s">
        <v>7</v>
      </c>
      <c r="AV211" s="27">
        <f>AW211+AX211</f>
        <v>0</v>
      </c>
      <c r="AW211" s="27">
        <f>E211*AO211</f>
        <v>0</v>
      </c>
      <c r="AX211" s="27">
        <f>E211*AP211</f>
        <v>0</v>
      </c>
      <c r="AY211" s="28" t="s">
        <v>1064</v>
      </c>
      <c r="AZ211" s="28" t="s">
        <v>1095</v>
      </c>
      <c r="BA211" s="20" t="s">
        <v>1106</v>
      </c>
      <c r="BC211" s="27">
        <f>AW211+AX211</f>
        <v>0</v>
      </c>
      <c r="BD211" s="27">
        <f>F211/(100-BE211)*100</f>
        <v>0</v>
      </c>
      <c r="BE211" s="27">
        <v>0</v>
      </c>
      <c r="BF211" s="27">
        <f>K211</f>
        <v>0</v>
      </c>
      <c r="BH211" s="13">
        <f>E211*AO211</f>
        <v>0</v>
      </c>
      <c r="BI211" s="13">
        <f>E211*AP211</f>
        <v>0</v>
      </c>
      <c r="BJ211" s="13">
        <f>E211*F211</f>
        <v>0</v>
      </c>
    </row>
    <row r="212" spans="1:47" ht="12.75">
      <c r="A212" s="111"/>
      <c r="B212" s="112" t="s">
        <v>49</v>
      </c>
      <c r="C212" s="113" t="s">
        <v>759</v>
      </c>
      <c r="D212" s="206" t="s">
        <v>6</v>
      </c>
      <c r="E212" s="114" t="s">
        <v>6</v>
      </c>
      <c r="F212" s="133" t="s">
        <v>6</v>
      </c>
      <c r="G212" s="141">
        <f>SUM(G213:G213)</f>
        <v>0</v>
      </c>
      <c r="H212" s="115">
        <f>SUM(H213:H213)</f>
        <v>0</v>
      </c>
      <c r="I212" s="142">
        <f>SUM(I213:I213)</f>
        <v>0</v>
      </c>
      <c r="J212" s="215"/>
      <c r="K212" s="216">
        <f>SUM(K213:K213)</f>
        <v>0.9149788</v>
      </c>
      <c r="L212" s="151"/>
      <c r="AI212" s="20"/>
      <c r="AS212" s="29">
        <f>SUM(AJ213:AJ213)</f>
        <v>0</v>
      </c>
      <c r="AT212" s="29">
        <f>SUM(AK213:AK213)</f>
        <v>0</v>
      </c>
      <c r="AU212" s="29">
        <f>SUM(AL213:AL213)</f>
        <v>0</v>
      </c>
    </row>
    <row r="213" spans="1:62" ht="12.75">
      <c r="A213" s="107" t="s">
        <v>105</v>
      </c>
      <c r="B213" s="108" t="s">
        <v>419</v>
      </c>
      <c r="C213" s="109" t="s">
        <v>760</v>
      </c>
      <c r="D213" s="205" t="s">
        <v>1014</v>
      </c>
      <c r="E213" s="110">
        <f>+E214</f>
        <v>1.34</v>
      </c>
      <c r="F213" s="132">
        <v>0</v>
      </c>
      <c r="G213" s="139">
        <f>E213*AO213</f>
        <v>0</v>
      </c>
      <c r="H213" s="110">
        <f>E213*AP213</f>
        <v>0</v>
      </c>
      <c r="I213" s="140">
        <f>E213*F213</f>
        <v>0</v>
      </c>
      <c r="J213" s="213">
        <v>0.68282</v>
      </c>
      <c r="K213" s="214">
        <f>E213*J213</f>
        <v>0.9149788</v>
      </c>
      <c r="L213" s="150" t="s">
        <v>1039</v>
      </c>
      <c r="Z213" s="27">
        <f>IF(AQ213="5",BJ213,0)</f>
        <v>0</v>
      </c>
      <c r="AB213" s="27">
        <f>IF(AQ213="1",BH213,0)</f>
        <v>0</v>
      </c>
      <c r="AC213" s="27">
        <f>IF(AQ213="1",BI213,0)</f>
        <v>0</v>
      </c>
      <c r="AD213" s="27">
        <f>IF(AQ213="7",BH213,0)</f>
        <v>0</v>
      </c>
      <c r="AE213" s="27">
        <f>IF(AQ213="7",BI213,0)</f>
        <v>0</v>
      </c>
      <c r="AF213" s="27">
        <f>IF(AQ213="2",BH213,0)</f>
        <v>0</v>
      </c>
      <c r="AG213" s="27">
        <f>IF(AQ213="2",BI213,0)</f>
        <v>0</v>
      </c>
      <c r="AH213" s="27">
        <f>IF(AQ213="0",BJ213,0)</f>
        <v>0</v>
      </c>
      <c r="AI213" s="20"/>
      <c r="AJ213" s="13">
        <f>IF(AN213=0,I213,0)</f>
        <v>0</v>
      </c>
      <c r="AK213" s="13">
        <f>IF(AN213=15,I213,0)</f>
        <v>0</v>
      </c>
      <c r="AL213" s="13">
        <f>IF(AN213=21,I213,0)</f>
        <v>0</v>
      </c>
      <c r="AN213" s="27">
        <v>21</v>
      </c>
      <c r="AO213" s="27">
        <f>F213*0.420535919760815</f>
        <v>0</v>
      </c>
      <c r="AP213" s="27">
        <f>F213*(1-0.420535919760815)</f>
        <v>0</v>
      </c>
      <c r="AQ213" s="23" t="s">
        <v>7</v>
      </c>
      <c r="AV213" s="27">
        <f>AW213+AX213</f>
        <v>0</v>
      </c>
      <c r="AW213" s="27">
        <f>E213*AO213</f>
        <v>0</v>
      </c>
      <c r="AX213" s="27">
        <f>E213*AP213</f>
        <v>0</v>
      </c>
      <c r="AY213" s="28" t="s">
        <v>1065</v>
      </c>
      <c r="AZ213" s="28" t="s">
        <v>1096</v>
      </c>
      <c r="BA213" s="20" t="s">
        <v>1106</v>
      </c>
      <c r="BC213" s="27">
        <f>AW213+AX213</f>
        <v>0</v>
      </c>
      <c r="BD213" s="27">
        <f>F213/(100-BE213)*100</f>
        <v>0</v>
      </c>
      <c r="BE213" s="27">
        <v>0</v>
      </c>
      <c r="BF213" s="27">
        <f>K213</f>
        <v>0.9149788</v>
      </c>
      <c r="BH213" s="13">
        <f>E213*AO213</f>
        <v>0</v>
      </c>
      <c r="BI213" s="13">
        <f>E213*AP213</f>
        <v>0</v>
      </c>
      <c r="BJ213" s="13">
        <f>E213*F213</f>
        <v>0</v>
      </c>
    </row>
    <row r="214" spans="1:62" ht="12.75">
      <c r="A214" s="107"/>
      <c r="B214" s="108"/>
      <c r="C214" s="99" t="s">
        <v>1708</v>
      </c>
      <c r="D214" s="100" t="s">
        <v>1008</v>
      </c>
      <c r="E214" s="101">
        <v>1.34</v>
      </c>
      <c r="F214" s="132"/>
      <c r="G214" s="139"/>
      <c r="H214" s="110"/>
      <c r="I214" s="140"/>
      <c r="J214" s="213"/>
      <c r="K214" s="214"/>
      <c r="L214" s="150"/>
      <c r="Z214" s="27"/>
      <c r="AB214" s="27"/>
      <c r="AC214" s="27"/>
      <c r="AD214" s="27"/>
      <c r="AE214" s="27"/>
      <c r="AF214" s="27"/>
      <c r="AG214" s="27"/>
      <c r="AH214" s="27"/>
      <c r="AI214" s="20"/>
      <c r="AJ214" s="13"/>
      <c r="AK214" s="13"/>
      <c r="AL214" s="13"/>
      <c r="AN214" s="27"/>
      <c r="AO214" s="27"/>
      <c r="AP214" s="27"/>
      <c r="AQ214" s="23"/>
      <c r="AV214" s="27"/>
      <c r="AW214" s="27"/>
      <c r="AX214" s="27"/>
      <c r="AY214" s="28"/>
      <c r="AZ214" s="28"/>
      <c r="BA214" s="20"/>
      <c r="BC214" s="27"/>
      <c r="BD214" s="27"/>
      <c r="BE214" s="27"/>
      <c r="BF214" s="27"/>
      <c r="BH214" s="13"/>
      <c r="BI214" s="13"/>
      <c r="BJ214" s="13"/>
    </row>
    <row r="215" spans="1:47" ht="25.5">
      <c r="A215" s="111"/>
      <c r="B215" s="112" t="s">
        <v>51</v>
      </c>
      <c r="C215" s="113" t="s">
        <v>761</v>
      </c>
      <c r="D215" s="206" t="s">
        <v>6</v>
      </c>
      <c r="E215" s="114" t="s">
        <v>6</v>
      </c>
      <c r="F215" s="133" t="s">
        <v>6</v>
      </c>
      <c r="G215" s="141">
        <f>SUM(G216:G241)</f>
        <v>0</v>
      </c>
      <c r="H215" s="115">
        <f>SUM(H216:H241)</f>
        <v>0</v>
      </c>
      <c r="I215" s="142">
        <f>SUM(I216:I241)</f>
        <v>0</v>
      </c>
      <c r="J215" s="215"/>
      <c r="K215" s="216">
        <f>SUM(K216:K241)</f>
        <v>329.681814214625</v>
      </c>
      <c r="L215" s="151"/>
      <c r="AI215" s="20"/>
      <c r="AS215" s="29">
        <f>SUM(AJ216:AJ241)</f>
        <v>0</v>
      </c>
      <c r="AT215" s="29">
        <f>SUM(AK216:AK241)</f>
        <v>0</v>
      </c>
      <c r="AU215" s="29">
        <f>SUM(AL216:AL241)</f>
        <v>0</v>
      </c>
    </row>
    <row r="216" spans="1:62" ht="12.75">
      <c r="A216" s="107" t="s">
        <v>106</v>
      </c>
      <c r="B216" s="108" t="s">
        <v>420</v>
      </c>
      <c r="C216" s="109" t="s">
        <v>762</v>
      </c>
      <c r="D216" s="205" t="s">
        <v>1005</v>
      </c>
      <c r="E216" s="110">
        <f>+E217</f>
        <v>59.07</v>
      </c>
      <c r="F216" s="132">
        <v>0</v>
      </c>
      <c r="G216" s="139">
        <f aca="true" t="shared" si="102" ref="G216:G241">E216*AO216</f>
        <v>0</v>
      </c>
      <c r="H216" s="110">
        <f aca="true" t="shared" si="103" ref="H216:H241">E216*AP216</f>
        <v>0</v>
      </c>
      <c r="I216" s="140">
        <f aca="true" t="shared" si="104" ref="I216:I241">E216*F216</f>
        <v>0</v>
      </c>
      <c r="J216" s="213">
        <v>0.2525</v>
      </c>
      <c r="K216" s="214">
        <f aca="true" t="shared" si="105" ref="K216:K241">E216*J216</f>
        <v>14.915175</v>
      </c>
      <c r="L216" s="150" t="s">
        <v>1039</v>
      </c>
      <c r="Z216" s="27">
        <f aca="true" t="shared" si="106" ref="Z216:Z241">IF(AQ216="5",BJ216,0)</f>
        <v>0</v>
      </c>
      <c r="AB216" s="27">
        <f aca="true" t="shared" si="107" ref="AB216:AB241">IF(AQ216="1",BH216,0)</f>
        <v>0</v>
      </c>
      <c r="AC216" s="27">
        <f aca="true" t="shared" si="108" ref="AC216:AC241">IF(AQ216="1",BI216,0)</f>
        <v>0</v>
      </c>
      <c r="AD216" s="27">
        <f aca="true" t="shared" si="109" ref="AD216:AD241">IF(AQ216="7",BH216,0)</f>
        <v>0</v>
      </c>
      <c r="AE216" s="27">
        <f aca="true" t="shared" si="110" ref="AE216:AE241">IF(AQ216="7",BI216,0)</f>
        <v>0</v>
      </c>
      <c r="AF216" s="27">
        <f aca="true" t="shared" si="111" ref="AF216:AF241">IF(AQ216="2",BH216,0)</f>
        <v>0</v>
      </c>
      <c r="AG216" s="27">
        <f aca="true" t="shared" si="112" ref="AG216:AG241">IF(AQ216="2",BI216,0)</f>
        <v>0</v>
      </c>
      <c r="AH216" s="27">
        <f aca="true" t="shared" si="113" ref="AH216:AH241">IF(AQ216="0",BJ216,0)</f>
        <v>0</v>
      </c>
      <c r="AI216" s="20"/>
      <c r="AJ216" s="13">
        <f aca="true" t="shared" si="114" ref="AJ216:AJ241">IF(AN216=0,I216,0)</f>
        <v>0</v>
      </c>
      <c r="AK216" s="13">
        <f aca="true" t="shared" si="115" ref="AK216:AK241">IF(AN216=15,I216,0)</f>
        <v>0</v>
      </c>
      <c r="AL216" s="13">
        <f aca="true" t="shared" si="116" ref="AL216:AL241">IF(AN216=21,I216,0)</f>
        <v>0</v>
      </c>
      <c r="AN216" s="27">
        <v>21</v>
      </c>
      <c r="AO216" s="27">
        <f>F216*0.742534569927454</f>
        <v>0</v>
      </c>
      <c r="AP216" s="27">
        <f>F216*(1-0.742534569927454)</f>
        <v>0</v>
      </c>
      <c r="AQ216" s="23" t="s">
        <v>7</v>
      </c>
      <c r="AV216" s="27">
        <f aca="true" t="shared" si="117" ref="AV216:AV241">AW216+AX216</f>
        <v>0</v>
      </c>
      <c r="AW216" s="27">
        <f aca="true" t="shared" si="118" ref="AW216:AW241">E216*AO216</f>
        <v>0</v>
      </c>
      <c r="AX216" s="27">
        <f aca="true" t="shared" si="119" ref="AX216:AX241">E216*AP216</f>
        <v>0</v>
      </c>
      <c r="AY216" s="28" t="s">
        <v>1066</v>
      </c>
      <c r="AZ216" s="28" t="s">
        <v>1096</v>
      </c>
      <c r="BA216" s="20" t="s">
        <v>1106</v>
      </c>
      <c r="BC216" s="27">
        <f aca="true" t="shared" si="120" ref="BC216:BC241">AW216+AX216</f>
        <v>0</v>
      </c>
      <c r="BD216" s="27">
        <f aca="true" t="shared" si="121" ref="BD216:BD241">F216/(100-BE216)*100</f>
        <v>0</v>
      </c>
      <c r="BE216" s="27">
        <v>0</v>
      </c>
      <c r="BF216" s="27">
        <f aca="true" t="shared" si="122" ref="BF216:BF241">K216</f>
        <v>14.915175</v>
      </c>
      <c r="BH216" s="13">
        <f aca="true" t="shared" si="123" ref="BH216:BH241">E216*AO216</f>
        <v>0</v>
      </c>
      <c r="BI216" s="13">
        <f aca="true" t="shared" si="124" ref="BI216:BI241">E216*AP216</f>
        <v>0</v>
      </c>
      <c r="BJ216" s="13">
        <f aca="true" t="shared" si="125" ref="BJ216:BJ241">E216*F216</f>
        <v>0</v>
      </c>
    </row>
    <row r="217" spans="1:62" ht="25.5">
      <c r="A217" s="107"/>
      <c r="B217" s="108"/>
      <c r="C217" s="99" t="s">
        <v>1709</v>
      </c>
      <c r="D217" s="100" t="s">
        <v>1005</v>
      </c>
      <c r="E217" s="101">
        <f>+(2+1.37+2)*(5+6)</f>
        <v>59.07</v>
      </c>
      <c r="F217" s="132"/>
      <c r="G217" s="139"/>
      <c r="H217" s="110"/>
      <c r="I217" s="140"/>
      <c r="J217" s="213"/>
      <c r="K217" s="214"/>
      <c r="L217" s="150"/>
      <c r="Z217" s="27"/>
      <c r="AB217" s="27"/>
      <c r="AC217" s="27"/>
      <c r="AD217" s="27"/>
      <c r="AE217" s="27"/>
      <c r="AF217" s="27"/>
      <c r="AG217" s="27"/>
      <c r="AH217" s="27"/>
      <c r="AI217" s="20"/>
      <c r="AJ217" s="13"/>
      <c r="AK217" s="13"/>
      <c r="AL217" s="13"/>
      <c r="AN217" s="27"/>
      <c r="AO217" s="27"/>
      <c r="AP217" s="27"/>
      <c r="AQ217" s="23"/>
      <c r="AV217" s="27"/>
      <c r="AW217" s="27"/>
      <c r="AX217" s="27"/>
      <c r="AY217" s="28"/>
      <c r="AZ217" s="28"/>
      <c r="BA217" s="20"/>
      <c r="BC217" s="27"/>
      <c r="BD217" s="27"/>
      <c r="BE217" s="27"/>
      <c r="BF217" s="27"/>
      <c r="BH217" s="13"/>
      <c r="BI217" s="13"/>
      <c r="BJ217" s="13"/>
    </row>
    <row r="218" spans="1:62" ht="12.75">
      <c r="A218" s="107" t="s">
        <v>107</v>
      </c>
      <c r="B218" s="108" t="s">
        <v>421</v>
      </c>
      <c r="C218" s="109" t="s">
        <v>763</v>
      </c>
      <c r="D218" s="205" t="s">
        <v>1005</v>
      </c>
      <c r="E218" s="110">
        <f>+E219</f>
        <v>5.997837499999999</v>
      </c>
      <c r="F218" s="132">
        <v>0</v>
      </c>
      <c r="G218" s="139">
        <f t="shared" si="102"/>
        <v>0</v>
      </c>
      <c r="H218" s="110">
        <f t="shared" si="103"/>
        <v>0</v>
      </c>
      <c r="I218" s="140">
        <f t="shared" si="104"/>
        <v>0</v>
      </c>
      <c r="J218" s="213">
        <v>0.37875</v>
      </c>
      <c r="K218" s="214">
        <f t="shared" si="105"/>
        <v>2.2716809531249997</v>
      </c>
      <c r="L218" s="150" t="s">
        <v>1039</v>
      </c>
      <c r="Z218" s="27">
        <f t="shared" si="106"/>
        <v>0</v>
      </c>
      <c r="AB218" s="27">
        <f t="shared" si="107"/>
        <v>0</v>
      </c>
      <c r="AC218" s="27">
        <f t="shared" si="108"/>
        <v>0</v>
      </c>
      <c r="AD218" s="27">
        <f t="shared" si="109"/>
        <v>0</v>
      </c>
      <c r="AE218" s="27">
        <f t="shared" si="110"/>
        <v>0</v>
      </c>
      <c r="AF218" s="27">
        <f t="shared" si="111"/>
        <v>0</v>
      </c>
      <c r="AG218" s="27">
        <f t="shared" si="112"/>
        <v>0</v>
      </c>
      <c r="AH218" s="27">
        <f t="shared" si="113"/>
        <v>0</v>
      </c>
      <c r="AI218" s="20"/>
      <c r="AJ218" s="13">
        <f t="shared" si="114"/>
        <v>0</v>
      </c>
      <c r="AK218" s="13">
        <f t="shared" si="115"/>
        <v>0</v>
      </c>
      <c r="AL218" s="13">
        <f t="shared" si="116"/>
        <v>0</v>
      </c>
      <c r="AN218" s="27">
        <v>21</v>
      </c>
      <c r="AO218" s="27">
        <f>F218*0.758079283512881</f>
        <v>0</v>
      </c>
      <c r="AP218" s="27">
        <f>F218*(1-0.758079283512881)</f>
        <v>0</v>
      </c>
      <c r="AQ218" s="23" t="s">
        <v>7</v>
      </c>
      <c r="AV218" s="27">
        <f t="shared" si="117"/>
        <v>0</v>
      </c>
      <c r="AW218" s="27">
        <f t="shared" si="118"/>
        <v>0</v>
      </c>
      <c r="AX218" s="27">
        <f t="shared" si="119"/>
        <v>0</v>
      </c>
      <c r="AY218" s="28" t="s">
        <v>1066</v>
      </c>
      <c r="AZ218" s="28" t="s">
        <v>1096</v>
      </c>
      <c r="BA218" s="20" t="s">
        <v>1106</v>
      </c>
      <c r="BC218" s="27">
        <f t="shared" si="120"/>
        <v>0</v>
      </c>
      <c r="BD218" s="27">
        <f t="shared" si="121"/>
        <v>0</v>
      </c>
      <c r="BE218" s="27">
        <v>0</v>
      </c>
      <c r="BF218" s="27">
        <f t="shared" si="122"/>
        <v>2.2716809531249997</v>
      </c>
      <c r="BH218" s="13">
        <f t="shared" si="123"/>
        <v>0</v>
      </c>
      <c r="BI218" s="13">
        <f t="shared" si="124"/>
        <v>0</v>
      </c>
      <c r="BJ218" s="13">
        <f t="shared" si="125"/>
        <v>0</v>
      </c>
    </row>
    <row r="219" spans="1:62" ht="25.5">
      <c r="A219" s="107"/>
      <c r="B219" s="108"/>
      <c r="C219" s="99" t="s">
        <v>1710</v>
      </c>
      <c r="D219" s="100" t="s">
        <v>1005</v>
      </c>
      <c r="E219" s="101">
        <f>+(2.8*2.4)-(3.14*0.85*0.85/4+0.62*0.25)</f>
        <v>5.997837499999999</v>
      </c>
      <c r="F219" s="132"/>
      <c r="G219" s="139"/>
      <c r="H219" s="110"/>
      <c r="I219" s="140"/>
      <c r="J219" s="213"/>
      <c r="K219" s="214"/>
      <c r="L219" s="150"/>
      <c r="Z219" s="27"/>
      <c r="AB219" s="27"/>
      <c r="AC219" s="27"/>
      <c r="AD219" s="27"/>
      <c r="AE219" s="27"/>
      <c r="AF219" s="27"/>
      <c r="AG219" s="27"/>
      <c r="AH219" s="27"/>
      <c r="AI219" s="20"/>
      <c r="AJ219" s="13"/>
      <c r="AK219" s="13"/>
      <c r="AL219" s="13"/>
      <c r="AN219" s="27"/>
      <c r="AO219" s="27"/>
      <c r="AP219" s="27"/>
      <c r="AQ219" s="23"/>
      <c r="AV219" s="27"/>
      <c r="AW219" s="27"/>
      <c r="AX219" s="27"/>
      <c r="AY219" s="28"/>
      <c r="AZ219" s="28"/>
      <c r="BA219" s="20"/>
      <c r="BC219" s="27"/>
      <c r="BD219" s="27"/>
      <c r="BE219" s="27"/>
      <c r="BF219" s="27"/>
      <c r="BH219" s="13"/>
      <c r="BI219" s="13"/>
      <c r="BJ219" s="13"/>
    </row>
    <row r="220" spans="1:62" ht="12.75">
      <c r="A220" s="107" t="s">
        <v>108</v>
      </c>
      <c r="B220" s="108" t="s">
        <v>422</v>
      </c>
      <c r="C220" s="109" t="s">
        <v>764</v>
      </c>
      <c r="D220" s="205" t="s">
        <v>1005</v>
      </c>
      <c r="E220" s="110">
        <f>+E221</f>
        <v>44</v>
      </c>
      <c r="F220" s="132">
        <v>0</v>
      </c>
      <c r="G220" s="139">
        <f t="shared" si="102"/>
        <v>0</v>
      </c>
      <c r="H220" s="110">
        <f t="shared" si="103"/>
        <v>0</v>
      </c>
      <c r="I220" s="140">
        <f t="shared" si="104"/>
        <v>0</v>
      </c>
      <c r="J220" s="213">
        <v>0</v>
      </c>
      <c r="K220" s="214">
        <f t="shared" si="105"/>
        <v>0</v>
      </c>
      <c r="L220" s="150" t="s">
        <v>1039</v>
      </c>
      <c r="Z220" s="27">
        <f t="shared" si="106"/>
        <v>0</v>
      </c>
      <c r="AB220" s="27">
        <f t="shared" si="107"/>
        <v>0</v>
      </c>
      <c r="AC220" s="27">
        <f t="shared" si="108"/>
        <v>0</v>
      </c>
      <c r="AD220" s="27">
        <f t="shared" si="109"/>
        <v>0</v>
      </c>
      <c r="AE220" s="27">
        <f t="shared" si="110"/>
        <v>0</v>
      </c>
      <c r="AF220" s="27">
        <f t="shared" si="111"/>
        <v>0</v>
      </c>
      <c r="AG220" s="27">
        <f t="shared" si="112"/>
        <v>0</v>
      </c>
      <c r="AH220" s="27">
        <f t="shared" si="113"/>
        <v>0</v>
      </c>
      <c r="AI220" s="20"/>
      <c r="AJ220" s="13">
        <f t="shared" si="114"/>
        <v>0</v>
      </c>
      <c r="AK220" s="13">
        <f t="shared" si="115"/>
        <v>0</v>
      </c>
      <c r="AL220" s="13">
        <f t="shared" si="116"/>
        <v>0</v>
      </c>
      <c r="AN220" s="27">
        <v>21</v>
      </c>
      <c r="AO220" s="27">
        <f>F220*0</f>
        <v>0</v>
      </c>
      <c r="AP220" s="27">
        <f>F220*(1-0)</f>
        <v>0</v>
      </c>
      <c r="AQ220" s="23" t="s">
        <v>7</v>
      </c>
      <c r="AV220" s="27">
        <f t="shared" si="117"/>
        <v>0</v>
      </c>
      <c r="AW220" s="27">
        <f t="shared" si="118"/>
        <v>0</v>
      </c>
      <c r="AX220" s="27">
        <f t="shared" si="119"/>
        <v>0</v>
      </c>
      <c r="AY220" s="28" t="s">
        <v>1066</v>
      </c>
      <c r="AZ220" s="28" t="s">
        <v>1096</v>
      </c>
      <c r="BA220" s="20" t="s">
        <v>1106</v>
      </c>
      <c r="BC220" s="27">
        <f t="shared" si="120"/>
        <v>0</v>
      </c>
      <c r="BD220" s="27">
        <f t="shared" si="121"/>
        <v>0</v>
      </c>
      <c r="BE220" s="27">
        <v>0</v>
      </c>
      <c r="BF220" s="27">
        <f t="shared" si="122"/>
        <v>0</v>
      </c>
      <c r="BH220" s="13">
        <f t="shared" si="123"/>
        <v>0</v>
      </c>
      <c r="BI220" s="13">
        <f t="shared" si="124"/>
        <v>0</v>
      </c>
      <c r="BJ220" s="13">
        <f t="shared" si="125"/>
        <v>0</v>
      </c>
    </row>
    <row r="221" spans="1:62" ht="12.75">
      <c r="A221" s="107"/>
      <c r="B221" s="108"/>
      <c r="C221" s="99" t="s">
        <v>1711</v>
      </c>
      <c r="D221" s="100" t="s">
        <v>1005</v>
      </c>
      <c r="E221" s="101">
        <f>+(2+2)*11</f>
        <v>44</v>
      </c>
      <c r="F221" s="132"/>
      <c r="G221" s="139"/>
      <c r="H221" s="110"/>
      <c r="I221" s="140"/>
      <c r="J221" s="213"/>
      <c r="K221" s="214"/>
      <c r="L221" s="150"/>
      <c r="Z221" s="27"/>
      <c r="AB221" s="27"/>
      <c r="AC221" s="27"/>
      <c r="AD221" s="27"/>
      <c r="AE221" s="27"/>
      <c r="AF221" s="27"/>
      <c r="AG221" s="27"/>
      <c r="AH221" s="27"/>
      <c r="AI221" s="20"/>
      <c r="AJ221" s="13"/>
      <c r="AK221" s="13"/>
      <c r="AL221" s="13"/>
      <c r="AN221" s="27"/>
      <c r="AO221" s="27"/>
      <c r="AP221" s="27"/>
      <c r="AQ221" s="23"/>
      <c r="AV221" s="27"/>
      <c r="AW221" s="27"/>
      <c r="AX221" s="27"/>
      <c r="AY221" s="28"/>
      <c r="AZ221" s="28"/>
      <c r="BA221" s="20"/>
      <c r="BC221" s="27"/>
      <c r="BD221" s="27"/>
      <c r="BE221" s="27"/>
      <c r="BF221" s="27"/>
      <c r="BH221" s="13"/>
      <c r="BI221" s="13"/>
      <c r="BJ221" s="13"/>
    </row>
    <row r="222" spans="1:62" ht="12.75">
      <c r="A222" s="107" t="s">
        <v>109</v>
      </c>
      <c r="B222" s="108" t="s">
        <v>423</v>
      </c>
      <c r="C222" s="109" t="s">
        <v>765</v>
      </c>
      <c r="D222" s="205" t="s">
        <v>1005</v>
      </c>
      <c r="E222" s="110">
        <f>+E223+E224</f>
        <v>512.3673</v>
      </c>
      <c r="F222" s="132">
        <v>0</v>
      </c>
      <c r="G222" s="139">
        <f t="shared" si="102"/>
        <v>0</v>
      </c>
      <c r="H222" s="110">
        <f t="shared" si="103"/>
        <v>0</v>
      </c>
      <c r="I222" s="140">
        <f t="shared" si="104"/>
        <v>0</v>
      </c>
      <c r="J222" s="213">
        <v>0.21252</v>
      </c>
      <c r="K222" s="214">
        <f t="shared" si="105"/>
        <v>108.888298596</v>
      </c>
      <c r="L222" s="150" t="s">
        <v>1039</v>
      </c>
      <c r="Z222" s="27">
        <f t="shared" si="106"/>
        <v>0</v>
      </c>
      <c r="AB222" s="27">
        <f t="shared" si="107"/>
        <v>0</v>
      </c>
      <c r="AC222" s="27">
        <f t="shared" si="108"/>
        <v>0</v>
      </c>
      <c r="AD222" s="27">
        <f t="shared" si="109"/>
        <v>0</v>
      </c>
      <c r="AE222" s="27">
        <f t="shared" si="110"/>
        <v>0</v>
      </c>
      <c r="AF222" s="27">
        <f t="shared" si="111"/>
        <v>0</v>
      </c>
      <c r="AG222" s="27">
        <f t="shared" si="112"/>
        <v>0</v>
      </c>
      <c r="AH222" s="27">
        <f t="shared" si="113"/>
        <v>0</v>
      </c>
      <c r="AI222" s="20"/>
      <c r="AJ222" s="13">
        <f t="shared" si="114"/>
        <v>0</v>
      </c>
      <c r="AK222" s="13">
        <f t="shared" si="115"/>
        <v>0</v>
      </c>
      <c r="AL222" s="13">
        <f t="shared" si="116"/>
        <v>0</v>
      </c>
      <c r="AN222" s="27">
        <v>21</v>
      </c>
      <c r="AO222" s="27">
        <f>F222*0.455764711114867</f>
        <v>0</v>
      </c>
      <c r="AP222" s="27">
        <f>F222*(1-0.455764711114867)</f>
        <v>0</v>
      </c>
      <c r="AQ222" s="23" t="s">
        <v>7</v>
      </c>
      <c r="AV222" s="27">
        <f t="shared" si="117"/>
        <v>0</v>
      </c>
      <c r="AW222" s="27">
        <f t="shared" si="118"/>
        <v>0</v>
      </c>
      <c r="AX222" s="27">
        <f t="shared" si="119"/>
        <v>0</v>
      </c>
      <c r="AY222" s="28" t="s">
        <v>1066</v>
      </c>
      <c r="AZ222" s="28" t="s">
        <v>1096</v>
      </c>
      <c r="BA222" s="20" t="s">
        <v>1106</v>
      </c>
      <c r="BC222" s="27">
        <f t="shared" si="120"/>
        <v>0</v>
      </c>
      <c r="BD222" s="27">
        <f t="shared" si="121"/>
        <v>0</v>
      </c>
      <c r="BE222" s="27">
        <v>0</v>
      </c>
      <c r="BF222" s="27">
        <f t="shared" si="122"/>
        <v>108.888298596</v>
      </c>
      <c r="BH222" s="13">
        <f t="shared" si="123"/>
        <v>0</v>
      </c>
      <c r="BI222" s="13">
        <f t="shared" si="124"/>
        <v>0</v>
      </c>
      <c r="BJ222" s="13">
        <f t="shared" si="125"/>
        <v>0</v>
      </c>
    </row>
    <row r="223" spans="1:62" ht="12.75">
      <c r="A223" s="107"/>
      <c r="B223" s="108"/>
      <c r="C223" s="99" t="s">
        <v>1712</v>
      </c>
      <c r="D223" s="100" t="s">
        <v>1005</v>
      </c>
      <c r="E223" s="101">
        <f>+(178.7+47.5)</f>
        <v>226.2</v>
      </c>
      <c r="F223" s="132"/>
      <c r="G223" s="139"/>
      <c r="H223" s="110"/>
      <c r="I223" s="140"/>
      <c r="J223" s="213"/>
      <c r="K223" s="214"/>
      <c r="L223" s="150"/>
      <c r="Z223" s="27"/>
      <c r="AB223" s="27"/>
      <c r="AC223" s="27"/>
      <c r="AD223" s="27"/>
      <c r="AE223" s="27"/>
      <c r="AF223" s="27"/>
      <c r="AG223" s="27"/>
      <c r="AH223" s="27"/>
      <c r="AI223" s="20"/>
      <c r="AJ223" s="13"/>
      <c r="AK223" s="13"/>
      <c r="AL223" s="13"/>
      <c r="AN223" s="27"/>
      <c r="AO223" s="27"/>
      <c r="AP223" s="27"/>
      <c r="AQ223" s="23"/>
      <c r="AV223" s="27"/>
      <c r="AW223" s="27"/>
      <c r="AX223" s="27"/>
      <c r="AY223" s="28"/>
      <c r="AZ223" s="28"/>
      <c r="BA223" s="20"/>
      <c r="BC223" s="27"/>
      <c r="BD223" s="27"/>
      <c r="BE223" s="27"/>
      <c r="BF223" s="27"/>
      <c r="BH223" s="13"/>
      <c r="BI223" s="13"/>
      <c r="BJ223" s="13"/>
    </row>
    <row r="224" spans="1:62" ht="25.5">
      <c r="A224" s="107"/>
      <c r="B224" s="108"/>
      <c r="C224" s="99" t="s">
        <v>1713</v>
      </c>
      <c r="D224" s="100" t="s">
        <v>1005</v>
      </c>
      <c r="E224" s="101">
        <f>+(77.22+53.45)/2*4.38</f>
        <v>286.1673</v>
      </c>
      <c r="F224" s="132"/>
      <c r="G224" s="139"/>
      <c r="H224" s="110"/>
      <c r="I224" s="140"/>
      <c r="J224" s="213"/>
      <c r="K224" s="214"/>
      <c r="L224" s="150"/>
      <c r="Z224" s="27"/>
      <c r="AB224" s="27"/>
      <c r="AC224" s="27"/>
      <c r="AD224" s="27"/>
      <c r="AE224" s="27"/>
      <c r="AF224" s="27"/>
      <c r="AG224" s="27"/>
      <c r="AH224" s="27"/>
      <c r="AI224" s="20"/>
      <c r="AJ224" s="13"/>
      <c r="AK224" s="13"/>
      <c r="AL224" s="13"/>
      <c r="AN224" s="27"/>
      <c r="AO224" s="27"/>
      <c r="AP224" s="27"/>
      <c r="AQ224" s="23"/>
      <c r="AV224" s="27"/>
      <c r="AW224" s="27"/>
      <c r="AX224" s="27"/>
      <c r="AY224" s="28"/>
      <c r="AZ224" s="28"/>
      <c r="BA224" s="20"/>
      <c r="BC224" s="27"/>
      <c r="BD224" s="27"/>
      <c r="BE224" s="27"/>
      <c r="BF224" s="27"/>
      <c r="BH224" s="13"/>
      <c r="BI224" s="13"/>
      <c r="BJ224" s="13"/>
    </row>
    <row r="225" spans="1:62" ht="12.75">
      <c r="A225" s="107" t="s">
        <v>110</v>
      </c>
      <c r="B225" s="108" t="s">
        <v>424</v>
      </c>
      <c r="C225" s="109" t="s">
        <v>766</v>
      </c>
      <c r="D225" s="205" t="s">
        <v>1006</v>
      </c>
      <c r="E225" s="110">
        <f>+E226</f>
        <v>141.74580000000003</v>
      </c>
      <c r="F225" s="132">
        <v>0</v>
      </c>
      <c r="G225" s="139">
        <f t="shared" si="102"/>
        <v>0</v>
      </c>
      <c r="H225" s="110">
        <f t="shared" si="103"/>
        <v>0</v>
      </c>
      <c r="I225" s="140">
        <f t="shared" si="104"/>
        <v>0</v>
      </c>
      <c r="J225" s="213">
        <v>1.1322</v>
      </c>
      <c r="K225" s="214">
        <f t="shared" si="105"/>
        <v>160.48459476000005</v>
      </c>
      <c r="L225" s="150" t="s">
        <v>1039</v>
      </c>
      <c r="Z225" s="27">
        <f t="shared" si="106"/>
        <v>0</v>
      </c>
      <c r="AB225" s="27">
        <f t="shared" si="107"/>
        <v>0</v>
      </c>
      <c r="AC225" s="27">
        <f t="shared" si="108"/>
        <v>0</v>
      </c>
      <c r="AD225" s="27">
        <f t="shared" si="109"/>
        <v>0</v>
      </c>
      <c r="AE225" s="27">
        <f t="shared" si="110"/>
        <v>0</v>
      </c>
      <c r="AF225" s="27">
        <f t="shared" si="111"/>
        <v>0</v>
      </c>
      <c r="AG225" s="27">
        <f t="shared" si="112"/>
        <v>0</v>
      </c>
      <c r="AH225" s="27">
        <f t="shared" si="113"/>
        <v>0</v>
      </c>
      <c r="AI225" s="20"/>
      <c r="AJ225" s="13">
        <f t="shared" si="114"/>
        <v>0</v>
      </c>
      <c r="AK225" s="13">
        <f t="shared" si="115"/>
        <v>0</v>
      </c>
      <c r="AL225" s="13">
        <f t="shared" si="116"/>
        <v>0</v>
      </c>
      <c r="AN225" s="27">
        <v>21</v>
      </c>
      <c r="AO225" s="27">
        <f>F225*0.511655011655012</f>
        <v>0</v>
      </c>
      <c r="AP225" s="27">
        <f>F225*(1-0.511655011655012)</f>
        <v>0</v>
      </c>
      <c r="AQ225" s="23" t="s">
        <v>7</v>
      </c>
      <c r="AV225" s="27">
        <f t="shared" si="117"/>
        <v>0</v>
      </c>
      <c r="AW225" s="27">
        <f t="shared" si="118"/>
        <v>0</v>
      </c>
      <c r="AX225" s="27">
        <f t="shared" si="119"/>
        <v>0</v>
      </c>
      <c r="AY225" s="28" t="s">
        <v>1066</v>
      </c>
      <c r="AZ225" s="28" t="s">
        <v>1096</v>
      </c>
      <c r="BA225" s="20" t="s">
        <v>1106</v>
      </c>
      <c r="BC225" s="27">
        <f t="shared" si="120"/>
        <v>0</v>
      </c>
      <c r="BD225" s="27">
        <f t="shared" si="121"/>
        <v>0</v>
      </c>
      <c r="BE225" s="27">
        <v>0</v>
      </c>
      <c r="BF225" s="27">
        <f t="shared" si="122"/>
        <v>160.48459476000005</v>
      </c>
      <c r="BH225" s="13">
        <f t="shared" si="123"/>
        <v>0</v>
      </c>
      <c r="BI225" s="13">
        <f t="shared" si="124"/>
        <v>0</v>
      </c>
      <c r="BJ225" s="13">
        <f t="shared" si="125"/>
        <v>0</v>
      </c>
    </row>
    <row r="226" spans="1:62" ht="12.75">
      <c r="A226" s="107"/>
      <c r="B226" s="108"/>
      <c r="C226" s="99" t="s">
        <v>1714</v>
      </c>
      <c r="D226" s="100" t="s">
        <v>1006</v>
      </c>
      <c r="E226" s="101">
        <f>+Výměry!E335</f>
        <v>141.74580000000003</v>
      </c>
      <c r="F226" s="132"/>
      <c r="G226" s="139"/>
      <c r="H226" s="110"/>
      <c r="I226" s="140"/>
      <c r="J226" s="213"/>
      <c r="K226" s="214"/>
      <c r="L226" s="150"/>
      <c r="Z226" s="27"/>
      <c r="AB226" s="27"/>
      <c r="AC226" s="27"/>
      <c r="AD226" s="27"/>
      <c r="AE226" s="27"/>
      <c r="AF226" s="27"/>
      <c r="AG226" s="27"/>
      <c r="AH226" s="27"/>
      <c r="AI226" s="20"/>
      <c r="AJ226" s="13"/>
      <c r="AK226" s="13"/>
      <c r="AL226" s="13"/>
      <c r="AN226" s="27"/>
      <c r="AO226" s="27"/>
      <c r="AP226" s="27"/>
      <c r="AQ226" s="23"/>
      <c r="AV226" s="27"/>
      <c r="AW226" s="27"/>
      <c r="AX226" s="27"/>
      <c r="AY226" s="28"/>
      <c r="AZ226" s="28"/>
      <c r="BA226" s="20"/>
      <c r="BC226" s="27"/>
      <c r="BD226" s="27"/>
      <c r="BE226" s="27"/>
      <c r="BF226" s="27"/>
      <c r="BH226" s="13"/>
      <c r="BI226" s="13"/>
      <c r="BJ226" s="13"/>
    </row>
    <row r="227" spans="1:62" ht="12.75">
      <c r="A227" s="107" t="s">
        <v>111</v>
      </c>
      <c r="B227" s="108" t="s">
        <v>425</v>
      </c>
      <c r="C227" s="109" t="s">
        <v>767</v>
      </c>
      <c r="D227" s="205" t="s">
        <v>1007</v>
      </c>
      <c r="E227" s="110">
        <f>+E228</f>
        <v>49</v>
      </c>
      <c r="F227" s="132">
        <v>0</v>
      </c>
      <c r="G227" s="139">
        <f t="shared" si="102"/>
        <v>0</v>
      </c>
      <c r="H227" s="110">
        <f t="shared" si="103"/>
        <v>0</v>
      </c>
      <c r="I227" s="140">
        <f t="shared" si="104"/>
        <v>0</v>
      </c>
      <c r="J227" s="213">
        <v>0.0066</v>
      </c>
      <c r="K227" s="214">
        <f t="shared" si="105"/>
        <v>0.3234</v>
      </c>
      <c r="L227" s="150" t="s">
        <v>1039</v>
      </c>
      <c r="Z227" s="27">
        <f t="shared" si="106"/>
        <v>0</v>
      </c>
      <c r="AB227" s="27">
        <f t="shared" si="107"/>
        <v>0</v>
      </c>
      <c r="AC227" s="27">
        <f t="shared" si="108"/>
        <v>0</v>
      </c>
      <c r="AD227" s="27">
        <f t="shared" si="109"/>
        <v>0</v>
      </c>
      <c r="AE227" s="27">
        <f t="shared" si="110"/>
        <v>0</v>
      </c>
      <c r="AF227" s="27">
        <f t="shared" si="111"/>
        <v>0</v>
      </c>
      <c r="AG227" s="27">
        <f t="shared" si="112"/>
        <v>0</v>
      </c>
      <c r="AH227" s="27">
        <f t="shared" si="113"/>
        <v>0</v>
      </c>
      <c r="AI227" s="20"/>
      <c r="AJ227" s="13">
        <f t="shared" si="114"/>
        <v>0</v>
      </c>
      <c r="AK227" s="13">
        <f t="shared" si="115"/>
        <v>0</v>
      </c>
      <c r="AL227" s="13">
        <f t="shared" si="116"/>
        <v>0</v>
      </c>
      <c r="AN227" s="27">
        <v>21</v>
      </c>
      <c r="AO227" s="27">
        <f>F227*0.38951923584358</f>
        <v>0</v>
      </c>
      <c r="AP227" s="27">
        <f>F227*(1-0.38951923584358)</f>
        <v>0</v>
      </c>
      <c r="AQ227" s="23" t="s">
        <v>7</v>
      </c>
      <c r="AV227" s="27">
        <f t="shared" si="117"/>
        <v>0</v>
      </c>
      <c r="AW227" s="27">
        <f t="shared" si="118"/>
        <v>0</v>
      </c>
      <c r="AX227" s="27">
        <f t="shared" si="119"/>
        <v>0</v>
      </c>
      <c r="AY227" s="28" t="s">
        <v>1066</v>
      </c>
      <c r="AZ227" s="28" t="s">
        <v>1096</v>
      </c>
      <c r="BA227" s="20" t="s">
        <v>1106</v>
      </c>
      <c r="BC227" s="27">
        <f t="shared" si="120"/>
        <v>0</v>
      </c>
      <c r="BD227" s="27">
        <f t="shared" si="121"/>
        <v>0</v>
      </c>
      <c r="BE227" s="27">
        <v>0</v>
      </c>
      <c r="BF227" s="27">
        <f t="shared" si="122"/>
        <v>0.3234</v>
      </c>
      <c r="BH227" s="13">
        <f t="shared" si="123"/>
        <v>0</v>
      </c>
      <c r="BI227" s="13">
        <f t="shared" si="124"/>
        <v>0</v>
      </c>
      <c r="BJ227" s="13">
        <f t="shared" si="125"/>
        <v>0</v>
      </c>
    </row>
    <row r="228" spans="1:62" ht="12.75">
      <c r="A228" s="107"/>
      <c r="B228" s="108"/>
      <c r="C228" s="99" t="s">
        <v>1715</v>
      </c>
      <c r="D228" s="100" t="s">
        <v>1007</v>
      </c>
      <c r="E228" s="101">
        <f>+(4+11+15+19)</f>
        <v>49</v>
      </c>
      <c r="F228" s="132"/>
      <c r="G228" s="139"/>
      <c r="H228" s="110"/>
      <c r="I228" s="140"/>
      <c r="J228" s="213"/>
      <c r="K228" s="214"/>
      <c r="L228" s="150"/>
      <c r="Z228" s="27"/>
      <c r="AB228" s="27"/>
      <c r="AC228" s="27"/>
      <c r="AD228" s="27"/>
      <c r="AE228" s="27"/>
      <c r="AF228" s="27"/>
      <c r="AG228" s="27"/>
      <c r="AH228" s="27"/>
      <c r="AI228" s="20"/>
      <c r="AJ228" s="13"/>
      <c r="AK228" s="13"/>
      <c r="AL228" s="13"/>
      <c r="AN228" s="27"/>
      <c r="AO228" s="27"/>
      <c r="AP228" s="27"/>
      <c r="AQ228" s="23"/>
      <c r="AV228" s="27"/>
      <c r="AW228" s="27"/>
      <c r="AX228" s="27"/>
      <c r="AY228" s="28"/>
      <c r="AZ228" s="28"/>
      <c r="BA228" s="20"/>
      <c r="BC228" s="27"/>
      <c r="BD228" s="27"/>
      <c r="BE228" s="27"/>
      <c r="BF228" s="27"/>
      <c r="BH228" s="13"/>
      <c r="BI228" s="13"/>
      <c r="BJ228" s="13"/>
    </row>
    <row r="229" spans="1:62" ht="12.75">
      <c r="A229" s="107" t="s">
        <v>112</v>
      </c>
      <c r="B229" s="108" t="s">
        <v>426</v>
      </c>
      <c r="C229" s="109" t="s">
        <v>768</v>
      </c>
      <c r="D229" s="205" t="s">
        <v>1007</v>
      </c>
      <c r="E229" s="110">
        <f>+E230</f>
        <v>11</v>
      </c>
      <c r="F229" s="132">
        <v>0</v>
      </c>
      <c r="G229" s="139">
        <f t="shared" si="102"/>
        <v>0</v>
      </c>
      <c r="H229" s="110">
        <f t="shared" si="103"/>
        <v>0</v>
      </c>
      <c r="I229" s="140">
        <f t="shared" si="104"/>
        <v>0</v>
      </c>
      <c r="J229" s="213">
        <v>0.0066</v>
      </c>
      <c r="K229" s="214">
        <f t="shared" si="105"/>
        <v>0.0726</v>
      </c>
      <c r="L229" s="150" t="s">
        <v>1039</v>
      </c>
      <c r="Z229" s="27">
        <f t="shared" si="106"/>
        <v>0</v>
      </c>
      <c r="AB229" s="27">
        <f t="shared" si="107"/>
        <v>0</v>
      </c>
      <c r="AC229" s="27">
        <f t="shared" si="108"/>
        <v>0</v>
      </c>
      <c r="AD229" s="27">
        <f t="shared" si="109"/>
        <v>0</v>
      </c>
      <c r="AE229" s="27">
        <f t="shared" si="110"/>
        <v>0</v>
      </c>
      <c r="AF229" s="27">
        <f t="shared" si="111"/>
        <v>0</v>
      </c>
      <c r="AG229" s="27">
        <f t="shared" si="112"/>
        <v>0</v>
      </c>
      <c r="AH229" s="27">
        <f t="shared" si="113"/>
        <v>0</v>
      </c>
      <c r="AI229" s="20"/>
      <c r="AJ229" s="13">
        <f t="shared" si="114"/>
        <v>0</v>
      </c>
      <c r="AK229" s="13">
        <f t="shared" si="115"/>
        <v>0</v>
      </c>
      <c r="AL229" s="13">
        <f t="shared" si="116"/>
        <v>0</v>
      </c>
      <c r="AN229" s="27">
        <v>21</v>
      </c>
      <c r="AO229" s="27">
        <f>F229*0.242131147540984</f>
        <v>0</v>
      </c>
      <c r="AP229" s="27">
        <f>F229*(1-0.242131147540984)</f>
        <v>0</v>
      </c>
      <c r="AQ229" s="23" t="s">
        <v>7</v>
      </c>
      <c r="AV229" s="27">
        <f t="shared" si="117"/>
        <v>0</v>
      </c>
      <c r="AW229" s="27">
        <f t="shared" si="118"/>
        <v>0</v>
      </c>
      <c r="AX229" s="27">
        <f t="shared" si="119"/>
        <v>0</v>
      </c>
      <c r="AY229" s="28" t="s">
        <v>1066</v>
      </c>
      <c r="AZ229" s="28" t="s">
        <v>1096</v>
      </c>
      <c r="BA229" s="20" t="s">
        <v>1106</v>
      </c>
      <c r="BC229" s="27">
        <f t="shared" si="120"/>
        <v>0</v>
      </c>
      <c r="BD229" s="27">
        <f t="shared" si="121"/>
        <v>0</v>
      </c>
      <c r="BE229" s="27">
        <v>0</v>
      </c>
      <c r="BF229" s="27">
        <f t="shared" si="122"/>
        <v>0.0726</v>
      </c>
      <c r="BH229" s="13">
        <f t="shared" si="123"/>
        <v>0</v>
      </c>
      <c r="BI229" s="13">
        <f t="shared" si="124"/>
        <v>0</v>
      </c>
      <c r="BJ229" s="13">
        <f t="shared" si="125"/>
        <v>0</v>
      </c>
    </row>
    <row r="230" spans="1:62" ht="12.75">
      <c r="A230" s="107"/>
      <c r="B230" s="108"/>
      <c r="C230" s="99" t="s">
        <v>1716</v>
      </c>
      <c r="D230" s="100" t="s">
        <v>1007</v>
      </c>
      <c r="E230" s="101">
        <v>11</v>
      </c>
      <c r="F230" s="132"/>
      <c r="G230" s="139"/>
      <c r="H230" s="110"/>
      <c r="I230" s="140"/>
      <c r="J230" s="213"/>
      <c r="K230" s="214"/>
      <c r="L230" s="150"/>
      <c r="Z230" s="27"/>
      <c r="AB230" s="27"/>
      <c r="AC230" s="27"/>
      <c r="AD230" s="27"/>
      <c r="AE230" s="27"/>
      <c r="AF230" s="27"/>
      <c r="AG230" s="27"/>
      <c r="AH230" s="27"/>
      <c r="AI230" s="20"/>
      <c r="AJ230" s="13"/>
      <c r="AK230" s="13"/>
      <c r="AL230" s="13"/>
      <c r="AN230" s="27"/>
      <c r="AO230" s="27"/>
      <c r="AP230" s="27"/>
      <c r="AQ230" s="23"/>
      <c r="AV230" s="27"/>
      <c r="AW230" s="27"/>
      <c r="AX230" s="27"/>
      <c r="AY230" s="28"/>
      <c r="AZ230" s="28"/>
      <c r="BA230" s="20"/>
      <c r="BC230" s="27"/>
      <c r="BD230" s="27"/>
      <c r="BE230" s="27"/>
      <c r="BF230" s="27"/>
      <c r="BH230" s="13"/>
      <c r="BI230" s="13"/>
      <c r="BJ230" s="13"/>
    </row>
    <row r="231" spans="1:62" ht="12.75">
      <c r="A231" s="107" t="s">
        <v>113</v>
      </c>
      <c r="B231" s="108" t="s">
        <v>427</v>
      </c>
      <c r="C231" s="109" t="s">
        <v>769</v>
      </c>
      <c r="D231" s="205" t="s">
        <v>1006</v>
      </c>
      <c r="E231" s="110">
        <f>+E232</f>
        <v>12.591500000000002</v>
      </c>
      <c r="F231" s="132">
        <v>0</v>
      </c>
      <c r="G231" s="139">
        <f t="shared" si="102"/>
        <v>0</v>
      </c>
      <c r="H231" s="110">
        <f t="shared" si="103"/>
        <v>0</v>
      </c>
      <c r="I231" s="140">
        <f t="shared" si="104"/>
        <v>0</v>
      </c>
      <c r="J231" s="213">
        <v>2.5</v>
      </c>
      <c r="K231" s="214">
        <f t="shared" si="105"/>
        <v>31.478750000000005</v>
      </c>
      <c r="L231" s="150" t="s">
        <v>1039</v>
      </c>
      <c r="Z231" s="27">
        <f t="shared" si="106"/>
        <v>0</v>
      </c>
      <c r="AB231" s="27">
        <f t="shared" si="107"/>
        <v>0</v>
      </c>
      <c r="AC231" s="27">
        <f t="shared" si="108"/>
        <v>0</v>
      </c>
      <c r="AD231" s="27">
        <f t="shared" si="109"/>
        <v>0</v>
      </c>
      <c r="AE231" s="27">
        <f t="shared" si="110"/>
        <v>0</v>
      </c>
      <c r="AF231" s="27">
        <f t="shared" si="111"/>
        <v>0</v>
      </c>
      <c r="AG231" s="27">
        <f t="shared" si="112"/>
        <v>0</v>
      </c>
      <c r="AH231" s="27">
        <f t="shared" si="113"/>
        <v>0</v>
      </c>
      <c r="AI231" s="20"/>
      <c r="AJ231" s="13">
        <f t="shared" si="114"/>
        <v>0</v>
      </c>
      <c r="AK231" s="13">
        <f t="shared" si="115"/>
        <v>0</v>
      </c>
      <c r="AL231" s="13">
        <f t="shared" si="116"/>
        <v>0</v>
      </c>
      <c r="AN231" s="27">
        <v>21</v>
      </c>
      <c r="AO231" s="27">
        <f>F231*0.794003262642741</f>
        <v>0</v>
      </c>
      <c r="AP231" s="27">
        <f>F231*(1-0.794003262642741)</f>
        <v>0</v>
      </c>
      <c r="AQ231" s="23" t="s">
        <v>7</v>
      </c>
      <c r="AV231" s="27">
        <f t="shared" si="117"/>
        <v>0</v>
      </c>
      <c r="AW231" s="27">
        <f t="shared" si="118"/>
        <v>0</v>
      </c>
      <c r="AX231" s="27">
        <f t="shared" si="119"/>
        <v>0</v>
      </c>
      <c r="AY231" s="28" t="s">
        <v>1066</v>
      </c>
      <c r="AZ231" s="28" t="s">
        <v>1096</v>
      </c>
      <c r="BA231" s="20" t="s">
        <v>1106</v>
      </c>
      <c r="BC231" s="27">
        <f t="shared" si="120"/>
        <v>0</v>
      </c>
      <c r="BD231" s="27">
        <f t="shared" si="121"/>
        <v>0</v>
      </c>
      <c r="BE231" s="27">
        <v>0</v>
      </c>
      <c r="BF231" s="27">
        <f t="shared" si="122"/>
        <v>31.478750000000005</v>
      </c>
      <c r="BH231" s="13">
        <f t="shared" si="123"/>
        <v>0</v>
      </c>
      <c r="BI231" s="13">
        <f t="shared" si="124"/>
        <v>0</v>
      </c>
      <c r="BJ231" s="13">
        <f t="shared" si="125"/>
        <v>0</v>
      </c>
    </row>
    <row r="232" spans="1:62" ht="12.75">
      <c r="A232" s="107"/>
      <c r="B232" s="108"/>
      <c r="C232" s="99" t="s">
        <v>1717</v>
      </c>
      <c r="D232" s="100" t="s">
        <v>1006</v>
      </c>
      <c r="E232" s="101">
        <f>+Výměry!E346</f>
        <v>12.591500000000002</v>
      </c>
      <c r="F232" s="132"/>
      <c r="G232" s="139"/>
      <c r="H232" s="110"/>
      <c r="I232" s="140"/>
      <c r="J232" s="213"/>
      <c r="K232" s="214"/>
      <c r="L232" s="150"/>
      <c r="Z232" s="27"/>
      <c r="AB232" s="27"/>
      <c r="AC232" s="27"/>
      <c r="AD232" s="27"/>
      <c r="AE232" s="27"/>
      <c r="AF232" s="27"/>
      <c r="AG232" s="27"/>
      <c r="AH232" s="27"/>
      <c r="AI232" s="20"/>
      <c r="AJ232" s="13"/>
      <c r="AK232" s="13"/>
      <c r="AL232" s="13"/>
      <c r="AN232" s="27"/>
      <c r="AO232" s="27"/>
      <c r="AP232" s="27"/>
      <c r="AQ232" s="23"/>
      <c r="AV232" s="27"/>
      <c r="AW232" s="27"/>
      <c r="AX232" s="27"/>
      <c r="AY232" s="28"/>
      <c r="AZ232" s="28"/>
      <c r="BA232" s="20"/>
      <c r="BC232" s="27"/>
      <c r="BD232" s="27"/>
      <c r="BE232" s="27"/>
      <c r="BF232" s="27"/>
      <c r="BH232" s="13"/>
      <c r="BI232" s="13"/>
      <c r="BJ232" s="13"/>
    </row>
    <row r="233" spans="1:62" ht="12.75">
      <c r="A233" s="107" t="s">
        <v>114</v>
      </c>
      <c r="B233" s="108" t="s">
        <v>428</v>
      </c>
      <c r="C233" s="109" t="s">
        <v>770</v>
      </c>
      <c r="D233" s="205" t="s">
        <v>1006</v>
      </c>
      <c r="E233" s="110">
        <f>+E234</f>
        <v>3.905063355</v>
      </c>
      <c r="F233" s="132">
        <v>0</v>
      </c>
      <c r="G233" s="139">
        <f t="shared" si="102"/>
        <v>0</v>
      </c>
      <c r="H233" s="110">
        <f t="shared" si="103"/>
        <v>0</v>
      </c>
      <c r="I233" s="140">
        <f t="shared" si="104"/>
        <v>0</v>
      </c>
      <c r="J233" s="213">
        <v>2.5</v>
      </c>
      <c r="K233" s="214">
        <f t="shared" si="105"/>
        <v>9.7626583875</v>
      </c>
      <c r="L233" s="150" t="s">
        <v>1039</v>
      </c>
      <c r="Z233" s="27">
        <f t="shared" si="106"/>
        <v>0</v>
      </c>
      <c r="AB233" s="27">
        <f t="shared" si="107"/>
        <v>0</v>
      </c>
      <c r="AC233" s="27">
        <f t="shared" si="108"/>
        <v>0</v>
      </c>
      <c r="AD233" s="27">
        <f t="shared" si="109"/>
        <v>0</v>
      </c>
      <c r="AE233" s="27">
        <f t="shared" si="110"/>
        <v>0</v>
      </c>
      <c r="AF233" s="27">
        <f t="shared" si="111"/>
        <v>0</v>
      </c>
      <c r="AG233" s="27">
        <f t="shared" si="112"/>
        <v>0</v>
      </c>
      <c r="AH233" s="27">
        <f t="shared" si="113"/>
        <v>0</v>
      </c>
      <c r="AI233" s="20"/>
      <c r="AJ233" s="13">
        <f t="shared" si="114"/>
        <v>0</v>
      </c>
      <c r="AK233" s="13">
        <f t="shared" si="115"/>
        <v>0</v>
      </c>
      <c r="AL233" s="13">
        <f t="shared" si="116"/>
        <v>0</v>
      </c>
      <c r="AN233" s="27">
        <v>21</v>
      </c>
      <c r="AO233" s="27">
        <f>F233*0.803368254994866</f>
        <v>0</v>
      </c>
      <c r="AP233" s="27">
        <f>F233*(1-0.803368254994866)</f>
        <v>0</v>
      </c>
      <c r="AQ233" s="23" t="s">
        <v>7</v>
      </c>
      <c r="AV233" s="27">
        <f t="shared" si="117"/>
        <v>0</v>
      </c>
      <c r="AW233" s="27">
        <f t="shared" si="118"/>
        <v>0</v>
      </c>
      <c r="AX233" s="27">
        <f t="shared" si="119"/>
        <v>0</v>
      </c>
      <c r="AY233" s="28" t="s">
        <v>1066</v>
      </c>
      <c r="AZ233" s="28" t="s">
        <v>1096</v>
      </c>
      <c r="BA233" s="20" t="s">
        <v>1106</v>
      </c>
      <c r="BC233" s="27">
        <f t="shared" si="120"/>
        <v>0</v>
      </c>
      <c r="BD233" s="27">
        <f t="shared" si="121"/>
        <v>0</v>
      </c>
      <c r="BE233" s="27">
        <v>0</v>
      </c>
      <c r="BF233" s="27">
        <f t="shared" si="122"/>
        <v>9.7626583875</v>
      </c>
      <c r="BH233" s="13">
        <f t="shared" si="123"/>
        <v>0</v>
      </c>
      <c r="BI233" s="13">
        <f t="shared" si="124"/>
        <v>0</v>
      </c>
      <c r="BJ233" s="13">
        <f t="shared" si="125"/>
        <v>0</v>
      </c>
    </row>
    <row r="234" spans="1:62" ht="12.75">
      <c r="A234" s="107"/>
      <c r="B234" s="108"/>
      <c r="C234" s="99" t="s">
        <v>1718</v>
      </c>
      <c r="D234" s="100" t="s">
        <v>1006</v>
      </c>
      <c r="E234" s="101">
        <f>+Výměry!E351</f>
        <v>3.905063355</v>
      </c>
      <c r="F234" s="132"/>
      <c r="G234" s="139"/>
      <c r="H234" s="110"/>
      <c r="I234" s="140"/>
      <c r="J234" s="213"/>
      <c r="K234" s="214"/>
      <c r="L234" s="150"/>
      <c r="Z234" s="27"/>
      <c r="AB234" s="27"/>
      <c r="AC234" s="27"/>
      <c r="AD234" s="27"/>
      <c r="AE234" s="27"/>
      <c r="AF234" s="27"/>
      <c r="AG234" s="27"/>
      <c r="AH234" s="27"/>
      <c r="AI234" s="20"/>
      <c r="AJ234" s="13"/>
      <c r="AK234" s="13"/>
      <c r="AL234" s="13"/>
      <c r="AN234" s="27"/>
      <c r="AO234" s="27"/>
      <c r="AP234" s="27"/>
      <c r="AQ234" s="23"/>
      <c r="AV234" s="27"/>
      <c r="AW234" s="27"/>
      <c r="AX234" s="27"/>
      <c r="AY234" s="28"/>
      <c r="AZ234" s="28"/>
      <c r="BA234" s="20"/>
      <c r="BC234" s="27"/>
      <c r="BD234" s="27"/>
      <c r="BE234" s="27"/>
      <c r="BF234" s="27"/>
      <c r="BH234" s="13"/>
      <c r="BI234" s="13"/>
      <c r="BJ234" s="13"/>
    </row>
    <row r="235" spans="1:62" ht="12.75">
      <c r="A235" s="107" t="s">
        <v>115</v>
      </c>
      <c r="B235" s="108" t="s">
        <v>429</v>
      </c>
      <c r="C235" s="109" t="s">
        <v>771</v>
      </c>
      <c r="D235" s="205" t="s">
        <v>1006</v>
      </c>
      <c r="E235" s="110">
        <f>+E236</f>
        <v>0.38419000000000003</v>
      </c>
      <c r="F235" s="132">
        <v>0</v>
      </c>
      <c r="G235" s="139">
        <f t="shared" si="102"/>
        <v>0</v>
      </c>
      <c r="H235" s="110">
        <f t="shared" si="103"/>
        <v>0</v>
      </c>
      <c r="I235" s="140">
        <f t="shared" si="104"/>
        <v>0</v>
      </c>
      <c r="J235" s="213">
        <v>2.5</v>
      </c>
      <c r="K235" s="214">
        <f t="shared" si="105"/>
        <v>0.9604750000000001</v>
      </c>
      <c r="L235" s="150" t="s">
        <v>1039</v>
      </c>
      <c r="Z235" s="27">
        <f t="shared" si="106"/>
        <v>0</v>
      </c>
      <c r="AB235" s="27">
        <f t="shared" si="107"/>
        <v>0</v>
      </c>
      <c r="AC235" s="27">
        <f t="shared" si="108"/>
        <v>0</v>
      </c>
      <c r="AD235" s="27">
        <f t="shared" si="109"/>
        <v>0</v>
      </c>
      <c r="AE235" s="27">
        <f t="shared" si="110"/>
        <v>0</v>
      </c>
      <c r="AF235" s="27">
        <f t="shared" si="111"/>
        <v>0</v>
      </c>
      <c r="AG235" s="27">
        <f t="shared" si="112"/>
        <v>0</v>
      </c>
      <c r="AH235" s="27">
        <f t="shared" si="113"/>
        <v>0</v>
      </c>
      <c r="AI235" s="20"/>
      <c r="AJ235" s="13">
        <f t="shared" si="114"/>
        <v>0</v>
      </c>
      <c r="AK235" s="13">
        <f t="shared" si="115"/>
        <v>0</v>
      </c>
      <c r="AL235" s="13">
        <f t="shared" si="116"/>
        <v>0</v>
      </c>
      <c r="AN235" s="27">
        <v>21</v>
      </c>
      <c r="AO235" s="27">
        <f>F235*0.828876441515651</f>
        <v>0</v>
      </c>
      <c r="AP235" s="27">
        <f>F235*(1-0.828876441515651)</f>
        <v>0</v>
      </c>
      <c r="AQ235" s="23" t="s">
        <v>7</v>
      </c>
      <c r="AV235" s="27">
        <f t="shared" si="117"/>
        <v>0</v>
      </c>
      <c r="AW235" s="27">
        <f t="shared" si="118"/>
        <v>0</v>
      </c>
      <c r="AX235" s="27">
        <f t="shared" si="119"/>
        <v>0</v>
      </c>
      <c r="AY235" s="28" t="s">
        <v>1066</v>
      </c>
      <c r="AZ235" s="28" t="s">
        <v>1096</v>
      </c>
      <c r="BA235" s="20" t="s">
        <v>1106</v>
      </c>
      <c r="BC235" s="27">
        <f t="shared" si="120"/>
        <v>0</v>
      </c>
      <c r="BD235" s="27">
        <f t="shared" si="121"/>
        <v>0</v>
      </c>
      <c r="BE235" s="27">
        <v>0</v>
      </c>
      <c r="BF235" s="27">
        <f t="shared" si="122"/>
        <v>0.9604750000000001</v>
      </c>
      <c r="BH235" s="13">
        <f t="shared" si="123"/>
        <v>0</v>
      </c>
      <c r="BI235" s="13">
        <f t="shared" si="124"/>
        <v>0</v>
      </c>
      <c r="BJ235" s="13">
        <f t="shared" si="125"/>
        <v>0</v>
      </c>
    </row>
    <row r="236" spans="1:62" ht="12.75">
      <c r="A236" s="107"/>
      <c r="B236" s="108"/>
      <c r="C236" s="99" t="s">
        <v>1719</v>
      </c>
      <c r="D236" s="100" t="s">
        <v>1006</v>
      </c>
      <c r="E236" s="101">
        <f>+Výměry!E354</f>
        <v>0.38419000000000003</v>
      </c>
      <c r="F236" s="132"/>
      <c r="G236" s="139"/>
      <c r="H236" s="110"/>
      <c r="I236" s="140"/>
      <c r="J236" s="213"/>
      <c r="K236" s="214"/>
      <c r="L236" s="150"/>
      <c r="Z236" s="27"/>
      <c r="AB236" s="27"/>
      <c r="AC236" s="27"/>
      <c r="AD236" s="27"/>
      <c r="AE236" s="27"/>
      <c r="AF236" s="27"/>
      <c r="AG236" s="27"/>
      <c r="AH236" s="27"/>
      <c r="AI236" s="20"/>
      <c r="AJ236" s="13"/>
      <c r="AK236" s="13"/>
      <c r="AL236" s="13"/>
      <c r="AN236" s="27"/>
      <c r="AO236" s="27"/>
      <c r="AP236" s="27"/>
      <c r="AQ236" s="23"/>
      <c r="AV236" s="27"/>
      <c r="AW236" s="27"/>
      <c r="AX236" s="27"/>
      <c r="AY236" s="28"/>
      <c r="AZ236" s="28"/>
      <c r="BA236" s="20"/>
      <c r="BC236" s="27"/>
      <c r="BD236" s="27"/>
      <c r="BE236" s="27"/>
      <c r="BF236" s="27"/>
      <c r="BH236" s="13"/>
      <c r="BI236" s="13"/>
      <c r="BJ236" s="13"/>
    </row>
    <row r="237" spans="1:62" ht="12.75">
      <c r="A237" s="107" t="s">
        <v>116</v>
      </c>
      <c r="B237" s="108" t="s">
        <v>430</v>
      </c>
      <c r="C237" s="109" t="s">
        <v>772</v>
      </c>
      <c r="D237" s="205" t="s">
        <v>1005</v>
      </c>
      <c r="E237" s="110">
        <f>+E238</f>
        <v>40.775</v>
      </c>
      <c r="F237" s="132">
        <v>0</v>
      </c>
      <c r="G237" s="139">
        <f t="shared" si="102"/>
        <v>0</v>
      </c>
      <c r="H237" s="110">
        <f t="shared" si="103"/>
        <v>0</v>
      </c>
      <c r="I237" s="140">
        <f t="shared" si="104"/>
        <v>0</v>
      </c>
      <c r="J237" s="213">
        <v>0.00441</v>
      </c>
      <c r="K237" s="214">
        <f t="shared" si="105"/>
        <v>0.17981775</v>
      </c>
      <c r="L237" s="150" t="s">
        <v>1039</v>
      </c>
      <c r="Z237" s="27">
        <f t="shared" si="106"/>
        <v>0</v>
      </c>
      <c r="AB237" s="27">
        <f t="shared" si="107"/>
        <v>0</v>
      </c>
      <c r="AC237" s="27">
        <f t="shared" si="108"/>
        <v>0</v>
      </c>
      <c r="AD237" s="27">
        <f t="shared" si="109"/>
        <v>0</v>
      </c>
      <c r="AE237" s="27">
        <f t="shared" si="110"/>
        <v>0</v>
      </c>
      <c r="AF237" s="27">
        <f t="shared" si="111"/>
        <v>0</v>
      </c>
      <c r="AG237" s="27">
        <f t="shared" si="112"/>
        <v>0</v>
      </c>
      <c r="AH237" s="27">
        <f t="shared" si="113"/>
        <v>0</v>
      </c>
      <c r="AI237" s="20"/>
      <c r="AJ237" s="13">
        <f t="shared" si="114"/>
        <v>0</v>
      </c>
      <c r="AK237" s="13">
        <f t="shared" si="115"/>
        <v>0</v>
      </c>
      <c r="AL237" s="13">
        <f t="shared" si="116"/>
        <v>0</v>
      </c>
      <c r="AN237" s="27">
        <v>21</v>
      </c>
      <c r="AO237" s="27">
        <f>F237*0.154724220623501</f>
        <v>0</v>
      </c>
      <c r="AP237" s="27">
        <f>F237*(1-0.154724220623501)</f>
        <v>0</v>
      </c>
      <c r="AQ237" s="23" t="s">
        <v>7</v>
      </c>
      <c r="AV237" s="27">
        <f t="shared" si="117"/>
        <v>0</v>
      </c>
      <c r="AW237" s="27">
        <f t="shared" si="118"/>
        <v>0</v>
      </c>
      <c r="AX237" s="27">
        <f t="shared" si="119"/>
        <v>0</v>
      </c>
      <c r="AY237" s="28" t="s">
        <v>1066</v>
      </c>
      <c r="AZ237" s="28" t="s">
        <v>1096</v>
      </c>
      <c r="BA237" s="20" t="s">
        <v>1106</v>
      </c>
      <c r="BC237" s="27">
        <f t="shared" si="120"/>
        <v>0</v>
      </c>
      <c r="BD237" s="27">
        <f t="shared" si="121"/>
        <v>0</v>
      </c>
      <c r="BE237" s="27">
        <v>0</v>
      </c>
      <c r="BF237" s="27">
        <f t="shared" si="122"/>
        <v>0.17981775</v>
      </c>
      <c r="BH237" s="13">
        <f t="shared" si="123"/>
        <v>0</v>
      </c>
      <c r="BI237" s="13">
        <f t="shared" si="124"/>
        <v>0</v>
      </c>
      <c r="BJ237" s="13">
        <f t="shared" si="125"/>
        <v>0</v>
      </c>
    </row>
    <row r="238" spans="1:62" ht="12.75">
      <c r="A238" s="107"/>
      <c r="B238" s="108"/>
      <c r="C238" s="99" t="s">
        <v>1720</v>
      </c>
      <c r="D238" s="100" t="s">
        <v>1005</v>
      </c>
      <c r="E238" s="101">
        <f>+Výměry!E367</f>
        <v>40.775</v>
      </c>
      <c r="F238" s="132"/>
      <c r="G238" s="139"/>
      <c r="H238" s="110"/>
      <c r="I238" s="140"/>
      <c r="J238" s="213"/>
      <c r="K238" s="214"/>
      <c r="L238" s="150"/>
      <c r="Z238" s="27"/>
      <c r="AB238" s="27"/>
      <c r="AC238" s="27"/>
      <c r="AD238" s="27"/>
      <c r="AE238" s="27"/>
      <c r="AF238" s="27"/>
      <c r="AG238" s="27"/>
      <c r="AH238" s="27"/>
      <c r="AI238" s="20"/>
      <c r="AJ238" s="13"/>
      <c r="AK238" s="13"/>
      <c r="AL238" s="13"/>
      <c r="AN238" s="27"/>
      <c r="AO238" s="27"/>
      <c r="AP238" s="27"/>
      <c r="AQ238" s="23"/>
      <c r="AV238" s="27"/>
      <c r="AW238" s="27"/>
      <c r="AX238" s="27"/>
      <c r="AY238" s="28"/>
      <c r="AZ238" s="28"/>
      <c r="BA238" s="20"/>
      <c r="BC238" s="27"/>
      <c r="BD238" s="27"/>
      <c r="BE238" s="27"/>
      <c r="BF238" s="27"/>
      <c r="BH238" s="13"/>
      <c r="BI238" s="13"/>
      <c r="BJ238" s="13"/>
    </row>
    <row r="239" spans="1:62" ht="12.75">
      <c r="A239" s="107" t="s">
        <v>117</v>
      </c>
      <c r="B239" s="108" t="s">
        <v>431</v>
      </c>
      <c r="C239" s="109" t="s">
        <v>773</v>
      </c>
      <c r="D239" s="205" t="s">
        <v>1011</v>
      </c>
      <c r="E239" s="110">
        <v>0.056</v>
      </c>
      <c r="F239" s="132">
        <v>0</v>
      </c>
      <c r="G239" s="139">
        <f t="shared" si="102"/>
        <v>0</v>
      </c>
      <c r="H239" s="110">
        <f t="shared" si="103"/>
        <v>0</v>
      </c>
      <c r="I239" s="140">
        <f t="shared" si="104"/>
        <v>0</v>
      </c>
      <c r="J239" s="213">
        <v>1.02568</v>
      </c>
      <c r="K239" s="214">
        <f t="shared" si="105"/>
        <v>0.057438079999999996</v>
      </c>
      <c r="L239" s="150" t="s">
        <v>1039</v>
      </c>
      <c r="Z239" s="27">
        <f t="shared" si="106"/>
        <v>0</v>
      </c>
      <c r="AB239" s="27">
        <f t="shared" si="107"/>
        <v>0</v>
      </c>
      <c r="AC239" s="27">
        <f t="shared" si="108"/>
        <v>0</v>
      </c>
      <c r="AD239" s="27">
        <f t="shared" si="109"/>
        <v>0</v>
      </c>
      <c r="AE239" s="27">
        <f t="shared" si="110"/>
        <v>0</v>
      </c>
      <c r="AF239" s="27">
        <f t="shared" si="111"/>
        <v>0</v>
      </c>
      <c r="AG239" s="27">
        <f t="shared" si="112"/>
        <v>0</v>
      </c>
      <c r="AH239" s="27">
        <f t="shared" si="113"/>
        <v>0</v>
      </c>
      <c r="AI239" s="20"/>
      <c r="AJ239" s="13">
        <f t="shared" si="114"/>
        <v>0</v>
      </c>
      <c r="AK239" s="13">
        <f t="shared" si="115"/>
        <v>0</v>
      </c>
      <c r="AL239" s="13">
        <f t="shared" si="116"/>
        <v>0</v>
      </c>
      <c r="AN239" s="27">
        <v>21</v>
      </c>
      <c r="AO239" s="27">
        <f>F239*0.874052350783595</f>
        <v>0</v>
      </c>
      <c r="AP239" s="27">
        <f>F239*(1-0.874052350783595)</f>
        <v>0</v>
      </c>
      <c r="AQ239" s="23" t="s">
        <v>7</v>
      </c>
      <c r="AV239" s="27">
        <f t="shared" si="117"/>
        <v>0</v>
      </c>
      <c r="AW239" s="27">
        <f t="shared" si="118"/>
        <v>0</v>
      </c>
      <c r="AX239" s="27">
        <f t="shared" si="119"/>
        <v>0</v>
      </c>
      <c r="AY239" s="28" t="s">
        <v>1066</v>
      </c>
      <c r="AZ239" s="28" t="s">
        <v>1096</v>
      </c>
      <c r="BA239" s="20" t="s">
        <v>1106</v>
      </c>
      <c r="BC239" s="27">
        <f t="shared" si="120"/>
        <v>0</v>
      </c>
      <c r="BD239" s="27">
        <f t="shared" si="121"/>
        <v>0</v>
      </c>
      <c r="BE239" s="27">
        <v>0</v>
      </c>
      <c r="BF239" s="27">
        <f t="shared" si="122"/>
        <v>0.057438079999999996</v>
      </c>
      <c r="BH239" s="13">
        <f t="shared" si="123"/>
        <v>0</v>
      </c>
      <c r="BI239" s="13">
        <f t="shared" si="124"/>
        <v>0</v>
      </c>
      <c r="BJ239" s="13">
        <f t="shared" si="125"/>
        <v>0</v>
      </c>
    </row>
    <row r="240" spans="1:62" ht="12.75">
      <c r="A240" s="107"/>
      <c r="B240" s="108"/>
      <c r="C240" s="99" t="s">
        <v>1721</v>
      </c>
      <c r="D240" s="100" t="s">
        <v>1011</v>
      </c>
      <c r="E240" s="101">
        <f>+Výměry!E370</f>
        <v>0.05550000000000001</v>
      </c>
      <c r="F240" s="132"/>
      <c r="G240" s="139"/>
      <c r="H240" s="110"/>
      <c r="I240" s="140"/>
      <c r="J240" s="213"/>
      <c r="K240" s="214"/>
      <c r="L240" s="150"/>
      <c r="Z240" s="27"/>
      <c r="AB240" s="27"/>
      <c r="AC240" s="27"/>
      <c r="AD240" s="27"/>
      <c r="AE240" s="27"/>
      <c r="AF240" s="27"/>
      <c r="AG240" s="27"/>
      <c r="AH240" s="27"/>
      <c r="AI240" s="20"/>
      <c r="AJ240" s="13"/>
      <c r="AK240" s="13"/>
      <c r="AL240" s="13"/>
      <c r="AN240" s="27"/>
      <c r="AO240" s="27"/>
      <c r="AP240" s="27"/>
      <c r="AQ240" s="23"/>
      <c r="AV240" s="27"/>
      <c r="AW240" s="27"/>
      <c r="AX240" s="27"/>
      <c r="AY240" s="28"/>
      <c r="AZ240" s="28"/>
      <c r="BA240" s="20"/>
      <c r="BC240" s="27"/>
      <c r="BD240" s="27"/>
      <c r="BE240" s="27"/>
      <c r="BF240" s="27"/>
      <c r="BH240" s="13"/>
      <c r="BI240" s="13"/>
      <c r="BJ240" s="13"/>
    </row>
    <row r="241" spans="1:62" ht="12.75">
      <c r="A241" s="107" t="s">
        <v>118</v>
      </c>
      <c r="B241" s="108" t="s">
        <v>432</v>
      </c>
      <c r="C241" s="109" t="s">
        <v>774</v>
      </c>
      <c r="D241" s="205" t="s">
        <v>1005</v>
      </c>
      <c r="E241" s="110">
        <f>+E242</f>
        <v>1024.7346</v>
      </c>
      <c r="F241" s="132">
        <v>0</v>
      </c>
      <c r="G241" s="139">
        <f t="shared" si="102"/>
        <v>0</v>
      </c>
      <c r="H241" s="110">
        <f t="shared" si="103"/>
        <v>0</v>
      </c>
      <c r="I241" s="140">
        <f t="shared" si="104"/>
        <v>0</v>
      </c>
      <c r="J241" s="213">
        <v>0.00028</v>
      </c>
      <c r="K241" s="214">
        <f t="shared" si="105"/>
        <v>0.28692568799999996</v>
      </c>
      <c r="L241" s="150" t="s">
        <v>1039</v>
      </c>
      <c r="Z241" s="27">
        <f t="shared" si="106"/>
        <v>0</v>
      </c>
      <c r="AB241" s="27">
        <f t="shared" si="107"/>
        <v>0</v>
      </c>
      <c r="AC241" s="27">
        <f t="shared" si="108"/>
        <v>0</v>
      </c>
      <c r="AD241" s="27">
        <f t="shared" si="109"/>
        <v>0</v>
      </c>
      <c r="AE241" s="27">
        <f t="shared" si="110"/>
        <v>0</v>
      </c>
      <c r="AF241" s="27">
        <f t="shared" si="111"/>
        <v>0</v>
      </c>
      <c r="AG241" s="27">
        <f t="shared" si="112"/>
        <v>0</v>
      </c>
      <c r="AH241" s="27">
        <f t="shared" si="113"/>
        <v>0</v>
      </c>
      <c r="AI241" s="20"/>
      <c r="AJ241" s="13">
        <f t="shared" si="114"/>
        <v>0</v>
      </c>
      <c r="AK241" s="13">
        <f t="shared" si="115"/>
        <v>0</v>
      </c>
      <c r="AL241" s="13">
        <f t="shared" si="116"/>
        <v>0</v>
      </c>
      <c r="AN241" s="27">
        <v>21</v>
      </c>
      <c r="AO241" s="27">
        <f>F241*0.0813842406723533</f>
        <v>0</v>
      </c>
      <c r="AP241" s="27">
        <f>F241*(1-0.0813842406723533)</f>
        <v>0</v>
      </c>
      <c r="AQ241" s="23" t="s">
        <v>7</v>
      </c>
      <c r="AV241" s="27">
        <f t="shared" si="117"/>
        <v>0</v>
      </c>
      <c r="AW241" s="27">
        <f t="shared" si="118"/>
        <v>0</v>
      </c>
      <c r="AX241" s="27">
        <f t="shared" si="119"/>
        <v>0</v>
      </c>
      <c r="AY241" s="28" t="s">
        <v>1066</v>
      </c>
      <c r="AZ241" s="28" t="s">
        <v>1096</v>
      </c>
      <c r="BA241" s="20" t="s">
        <v>1106</v>
      </c>
      <c r="BC241" s="27">
        <f t="shared" si="120"/>
        <v>0</v>
      </c>
      <c r="BD241" s="27">
        <f t="shared" si="121"/>
        <v>0</v>
      </c>
      <c r="BE241" s="27">
        <v>0</v>
      </c>
      <c r="BF241" s="27">
        <f t="shared" si="122"/>
        <v>0.28692568799999996</v>
      </c>
      <c r="BH241" s="13">
        <f t="shared" si="123"/>
        <v>0</v>
      </c>
      <c r="BI241" s="13">
        <f t="shared" si="124"/>
        <v>0</v>
      </c>
      <c r="BJ241" s="13">
        <f t="shared" si="125"/>
        <v>0</v>
      </c>
    </row>
    <row r="242" spans="1:62" ht="12.75">
      <c r="A242" s="107"/>
      <c r="B242" s="108"/>
      <c r="C242" s="99" t="s">
        <v>1722</v>
      </c>
      <c r="D242" s="100" t="s">
        <v>1005</v>
      </c>
      <c r="E242" s="101">
        <f>+E222*2</f>
        <v>1024.7346</v>
      </c>
      <c r="F242" s="132"/>
      <c r="G242" s="139"/>
      <c r="H242" s="110"/>
      <c r="I242" s="140"/>
      <c r="J242" s="213"/>
      <c r="K242" s="214"/>
      <c r="L242" s="150"/>
      <c r="Z242" s="27"/>
      <c r="AB242" s="27"/>
      <c r="AC242" s="27"/>
      <c r="AD242" s="27"/>
      <c r="AE242" s="27"/>
      <c r="AF242" s="27"/>
      <c r="AG242" s="27"/>
      <c r="AH242" s="27"/>
      <c r="AI242" s="20"/>
      <c r="AJ242" s="13"/>
      <c r="AK242" s="13"/>
      <c r="AL242" s="13"/>
      <c r="AN242" s="27"/>
      <c r="AO242" s="27"/>
      <c r="AP242" s="27"/>
      <c r="AQ242" s="23"/>
      <c r="AV242" s="27"/>
      <c r="AW242" s="27"/>
      <c r="AX242" s="27"/>
      <c r="AY242" s="28"/>
      <c r="AZ242" s="28"/>
      <c r="BA242" s="20"/>
      <c r="BC242" s="27"/>
      <c r="BD242" s="27"/>
      <c r="BE242" s="27"/>
      <c r="BF242" s="27"/>
      <c r="BH242" s="13"/>
      <c r="BI242" s="13"/>
      <c r="BJ242" s="13"/>
    </row>
    <row r="243" spans="1:47" ht="25.5">
      <c r="A243" s="111"/>
      <c r="B243" s="112" t="s">
        <v>52</v>
      </c>
      <c r="C243" s="113" t="s">
        <v>775</v>
      </c>
      <c r="D243" s="206" t="s">
        <v>6</v>
      </c>
      <c r="E243" s="114" t="s">
        <v>6</v>
      </c>
      <c r="F243" s="133" t="s">
        <v>6</v>
      </c>
      <c r="G243" s="141">
        <f>SUM(G244:G244)</f>
        <v>0</v>
      </c>
      <c r="H243" s="115">
        <f>SUM(H244:H244)</f>
        <v>0</v>
      </c>
      <c r="I243" s="142">
        <f>SUM(I244:I244)</f>
        <v>0</v>
      </c>
      <c r="J243" s="215"/>
      <c r="K243" s="216">
        <f>SUM(K244:K244)</f>
        <v>14.684446818000001</v>
      </c>
      <c r="L243" s="151"/>
      <c r="AI243" s="20"/>
      <c r="AS243" s="29">
        <f>SUM(AJ244:AJ244)</f>
        <v>0</v>
      </c>
      <c r="AT243" s="29">
        <f>SUM(AK244:AK244)</f>
        <v>0</v>
      </c>
      <c r="AU243" s="29">
        <f>SUM(AL244:AL244)</f>
        <v>0</v>
      </c>
    </row>
    <row r="244" spans="1:62" ht="25.5">
      <c r="A244" s="107" t="s">
        <v>119</v>
      </c>
      <c r="B244" s="108" t="s">
        <v>433</v>
      </c>
      <c r="C244" s="109" t="s">
        <v>776</v>
      </c>
      <c r="D244" s="205" t="s">
        <v>1005</v>
      </c>
      <c r="E244" s="110">
        <f>+E245</f>
        <v>512.3673</v>
      </c>
      <c r="F244" s="132">
        <v>0</v>
      </c>
      <c r="G244" s="139">
        <f>E244*AO244</f>
        <v>0</v>
      </c>
      <c r="H244" s="110">
        <f>E244*AP244</f>
        <v>0</v>
      </c>
      <c r="I244" s="140">
        <f>E244*F244</f>
        <v>0</v>
      </c>
      <c r="J244" s="213">
        <v>0.02866</v>
      </c>
      <c r="K244" s="214">
        <f>E244*J244</f>
        <v>14.684446818000001</v>
      </c>
      <c r="L244" s="150" t="s">
        <v>1039</v>
      </c>
      <c r="Z244" s="27">
        <f>IF(AQ244="5",BJ244,0)</f>
        <v>0</v>
      </c>
      <c r="AB244" s="27">
        <f>IF(AQ244="1",BH244,0)</f>
        <v>0</v>
      </c>
      <c r="AC244" s="27">
        <f>IF(AQ244="1",BI244,0)</f>
        <v>0</v>
      </c>
      <c r="AD244" s="27">
        <f>IF(AQ244="7",BH244,0)</f>
        <v>0</v>
      </c>
      <c r="AE244" s="27">
        <f>IF(AQ244="7",BI244,0)</f>
        <v>0</v>
      </c>
      <c r="AF244" s="27">
        <f>IF(AQ244="2",BH244,0)</f>
        <v>0</v>
      </c>
      <c r="AG244" s="27">
        <f>IF(AQ244="2",BI244,0)</f>
        <v>0</v>
      </c>
      <c r="AH244" s="27">
        <f>IF(AQ244="0",BJ244,0)</f>
        <v>0</v>
      </c>
      <c r="AI244" s="20"/>
      <c r="AJ244" s="13">
        <f>IF(AN244=0,I244,0)</f>
        <v>0</v>
      </c>
      <c r="AK244" s="13">
        <f>IF(AN244=15,I244,0)</f>
        <v>0</v>
      </c>
      <c r="AL244" s="13">
        <f>IF(AN244=21,I244,0)</f>
        <v>0</v>
      </c>
      <c r="AN244" s="27">
        <v>21</v>
      </c>
      <c r="AO244" s="27">
        <f>F244*0.0414392802506893</f>
        <v>0</v>
      </c>
      <c r="AP244" s="27">
        <f>F244*(1-0.0414392802506893)</f>
        <v>0</v>
      </c>
      <c r="AQ244" s="23" t="s">
        <v>7</v>
      </c>
      <c r="AV244" s="27">
        <f>AW244+AX244</f>
        <v>0</v>
      </c>
      <c r="AW244" s="27">
        <f>E244*AO244</f>
        <v>0</v>
      </c>
      <c r="AX244" s="27">
        <f>E244*AP244</f>
        <v>0</v>
      </c>
      <c r="AY244" s="28" t="s">
        <v>1067</v>
      </c>
      <c r="AZ244" s="28" t="s">
        <v>1096</v>
      </c>
      <c r="BA244" s="20" t="s">
        <v>1106</v>
      </c>
      <c r="BC244" s="27">
        <f>AW244+AX244</f>
        <v>0</v>
      </c>
      <c r="BD244" s="27">
        <f>F244/(100-BE244)*100</f>
        <v>0</v>
      </c>
      <c r="BE244" s="27">
        <v>0</v>
      </c>
      <c r="BF244" s="27">
        <f>K244</f>
        <v>14.684446818000001</v>
      </c>
      <c r="BH244" s="13">
        <f>E244*AO244</f>
        <v>0</v>
      </c>
      <c r="BI244" s="13">
        <f>E244*AP244</f>
        <v>0</v>
      </c>
      <c r="BJ244" s="13">
        <f>E244*F244</f>
        <v>0</v>
      </c>
    </row>
    <row r="245" spans="1:62" ht="12.75">
      <c r="A245" s="107"/>
      <c r="B245" s="108"/>
      <c r="C245" s="99" t="s">
        <v>1723</v>
      </c>
      <c r="D245" s="100" t="s">
        <v>1005</v>
      </c>
      <c r="E245" s="101">
        <f>+E222</f>
        <v>512.3673</v>
      </c>
      <c r="F245" s="132"/>
      <c r="G245" s="139"/>
      <c r="H245" s="110"/>
      <c r="I245" s="140"/>
      <c r="J245" s="213"/>
      <c r="K245" s="214"/>
      <c r="L245" s="150"/>
      <c r="Z245" s="27"/>
      <c r="AB245" s="27"/>
      <c r="AC245" s="27"/>
      <c r="AD245" s="27"/>
      <c r="AE245" s="27"/>
      <c r="AF245" s="27"/>
      <c r="AG245" s="27"/>
      <c r="AH245" s="27"/>
      <c r="AI245" s="20"/>
      <c r="AJ245" s="13"/>
      <c r="AK245" s="13"/>
      <c r="AL245" s="13"/>
      <c r="AN245" s="27"/>
      <c r="AO245" s="27"/>
      <c r="AP245" s="27"/>
      <c r="AQ245" s="23"/>
      <c r="AV245" s="27"/>
      <c r="AW245" s="27"/>
      <c r="AX245" s="27"/>
      <c r="AY245" s="28"/>
      <c r="AZ245" s="28"/>
      <c r="BA245" s="20"/>
      <c r="BC245" s="27"/>
      <c r="BD245" s="27"/>
      <c r="BE245" s="27"/>
      <c r="BF245" s="27"/>
      <c r="BH245" s="13"/>
      <c r="BI245" s="13"/>
      <c r="BJ245" s="13"/>
    </row>
    <row r="246" spans="1:47" ht="12.75">
      <c r="A246" s="111"/>
      <c r="B246" s="112" t="s">
        <v>62</v>
      </c>
      <c r="C246" s="113" t="s">
        <v>777</v>
      </c>
      <c r="D246" s="206" t="s">
        <v>6</v>
      </c>
      <c r="E246" s="114" t="s">
        <v>6</v>
      </c>
      <c r="F246" s="133" t="s">
        <v>6</v>
      </c>
      <c r="G246" s="141">
        <f>SUM(G247:G249)</f>
        <v>0</v>
      </c>
      <c r="H246" s="115">
        <f>SUM(H247:H249)</f>
        <v>0</v>
      </c>
      <c r="I246" s="142">
        <f>SUM(I247:I249)</f>
        <v>0</v>
      </c>
      <c r="J246" s="215"/>
      <c r="K246" s="216">
        <f>SUM(K247:K249)</f>
        <v>331.05941400000006</v>
      </c>
      <c r="L246" s="151"/>
      <c r="AI246" s="20"/>
      <c r="AS246" s="29">
        <f>SUM(AJ247:AJ249)</f>
        <v>0</v>
      </c>
      <c r="AT246" s="29">
        <f>SUM(AK247:AK249)</f>
        <v>0</v>
      </c>
      <c r="AU246" s="29">
        <f>SUM(AL247:AL249)</f>
        <v>0</v>
      </c>
    </row>
    <row r="247" spans="1:62" ht="12.75">
      <c r="A247" s="107" t="s">
        <v>120</v>
      </c>
      <c r="B247" s="108" t="s">
        <v>434</v>
      </c>
      <c r="C247" s="109" t="s">
        <v>778</v>
      </c>
      <c r="D247" s="205" t="s">
        <v>1011</v>
      </c>
      <c r="E247" s="110">
        <f>+E248</f>
        <v>249.69954000000004</v>
      </c>
      <c r="F247" s="132">
        <v>0</v>
      </c>
      <c r="G247" s="139">
        <f>E247*AO247</f>
        <v>0</v>
      </c>
      <c r="H247" s="110">
        <f>E247*AP247</f>
        <v>0</v>
      </c>
      <c r="I247" s="140">
        <f>E247*F247</f>
        <v>0</v>
      </c>
      <c r="J247" s="213">
        <v>1.1</v>
      </c>
      <c r="K247" s="214">
        <f>E247*J247</f>
        <v>274.66949400000004</v>
      </c>
      <c r="L247" s="150" t="s">
        <v>1039</v>
      </c>
      <c r="Z247" s="27">
        <f>IF(AQ247="5",BJ247,0)</f>
        <v>0</v>
      </c>
      <c r="AB247" s="27">
        <f>IF(AQ247="1",BH247,0)</f>
        <v>0</v>
      </c>
      <c r="AC247" s="27">
        <f>IF(AQ247="1",BI247,0)</f>
        <v>0</v>
      </c>
      <c r="AD247" s="27">
        <f>IF(AQ247="7",BH247,0)</f>
        <v>0</v>
      </c>
      <c r="AE247" s="27">
        <f>IF(AQ247="7",BI247,0)</f>
        <v>0</v>
      </c>
      <c r="AF247" s="27">
        <f>IF(AQ247="2",BH247,0)</f>
        <v>0</v>
      </c>
      <c r="AG247" s="27">
        <f>IF(AQ247="2",BI247,0)</f>
        <v>0</v>
      </c>
      <c r="AH247" s="27">
        <f>IF(AQ247="0",BJ247,0)</f>
        <v>0</v>
      </c>
      <c r="AI247" s="20"/>
      <c r="AJ247" s="13">
        <f>IF(AN247=0,I247,0)</f>
        <v>0</v>
      </c>
      <c r="AK247" s="13">
        <f>IF(AN247=15,I247,0)</f>
        <v>0</v>
      </c>
      <c r="AL247" s="13">
        <f>IF(AN247=21,I247,0)</f>
        <v>0</v>
      </c>
      <c r="AN247" s="27">
        <v>21</v>
      </c>
      <c r="AO247" s="27">
        <f>F247*0.869427263973466</f>
        <v>0</v>
      </c>
      <c r="AP247" s="27">
        <f>F247*(1-0.869427263973466)</f>
        <v>0</v>
      </c>
      <c r="AQ247" s="23" t="s">
        <v>7</v>
      </c>
      <c r="AV247" s="27">
        <f>AW247+AX247</f>
        <v>0</v>
      </c>
      <c r="AW247" s="27">
        <f>E247*AO247</f>
        <v>0</v>
      </c>
      <c r="AX247" s="27">
        <f>E247*AP247</f>
        <v>0</v>
      </c>
      <c r="AY247" s="28" t="s">
        <v>1068</v>
      </c>
      <c r="AZ247" s="28" t="s">
        <v>1097</v>
      </c>
      <c r="BA247" s="20" t="s">
        <v>1106</v>
      </c>
      <c r="BC247" s="27">
        <f>AW247+AX247</f>
        <v>0</v>
      </c>
      <c r="BD247" s="27">
        <f>F247/(100-BE247)*100</f>
        <v>0</v>
      </c>
      <c r="BE247" s="27">
        <v>0</v>
      </c>
      <c r="BF247" s="27">
        <f>K247</f>
        <v>274.66949400000004</v>
      </c>
      <c r="BH247" s="13">
        <f>E247*AO247</f>
        <v>0</v>
      </c>
      <c r="BI247" s="13">
        <f>E247*AP247</f>
        <v>0</v>
      </c>
      <c r="BJ247" s="13">
        <f>E247*F247</f>
        <v>0</v>
      </c>
    </row>
    <row r="248" spans="1:62" ht="12.75">
      <c r="A248" s="107"/>
      <c r="B248" s="108"/>
      <c r="C248" s="99" t="s">
        <v>1724</v>
      </c>
      <c r="D248" s="100" t="s">
        <v>1011</v>
      </c>
      <c r="E248" s="101">
        <f>+Výměry!E377</f>
        <v>249.69954000000004</v>
      </c>
      <c r="F248" s="132"/>
      <c r="G248" s="139"/>
      <c r="H248" s="110"/>
      <c r="I248" s="140"/>
      <c r="J248" s="213"/>
      <c r="K248" s="214"/>
      <c r="L248" s="150"/>
      <c r="Z248" s="27"/>
      <c r="AB248" s="27"/>
      <c r="AC248" s="27"/>
      <c r="AD248" s="27"/>
      <c r="AE248" s="27"/>
      <c r="AF248" s="27"/>
      <c r="AG248" s="27"/>
      <c r="AH248" s="27"/>
      <c r="AI248" s="20"/>
      <c r="AJ248" s="13"/>
      <c r="AK248" s="13"/>
      <c r="AL248" s="13"/>
      <c r="AN248" s="27"/>
      <c r="AO248" s="27"/>
      <c r="AP248" s="27"/>
      <c r="AQ248" s="23"/>
      <c r="AV248" s="27"/>
      <c r="AW248" s="27"/>
      <c r="AX248" s="27"/>
      <c r="AY248" s="28"/>
      <c r="AZ248" s="28"/>
      <c r="BA248" s="20"/>
      <c r="BC248" s="27"/>
      <c r="BD248" s="27"/>
      <c r="BE248" s="27"/>
      <c r="BF248" s="27"/>
      <c r="BH248" s="13"/>
      <c r="BI248" s="13"/>
      <c r="BJ248" s="13"/>
    </row>
    <row r="249" spans="1:62" ht="12.75">
      <c r="A249" s="107" t="s">
        <v>121</v>
      </c>
      <c r="B249" s="108" t="s">
        <v>435</v>
      </c>
      <c r="C249" s="109" t="s">
        <v>779</v>
      </c>
      <c r="D249" s="205" t="s">
        <v>1011</v>
      </c>
      <c r="E249" s="110">
        <f>+E250</f>
        <v>56.38992</v>
      </c>
      <c r="F249" s="132">
        <v>0</v>
      </c>
      <c r="G249" s="139">
        <f>E249*AO249</f>
        <v>0</v>
      </c>
      <c r="H249" s="110">
        <f>E249*AP249</f>
        <v>0</v>
      </c>
      <c r="I249" s="140">
        <f>E249*F249</f>
        <v>0</v>
      </c>
      <c r="J249" s="213">
        <v>1</v>
      </c>
      <c r="K249" s="214">
        <f>E249*J249</f>
        <v>56.38992</v>
      </c>
      <c r="L249" s="150" t="s">
        <v>1039</v>
      </c>
      <c r="Z249" s="27">
        <f>IF(AQ249="5",BJ249,0)</f>
        <v>0</v>
      </c>
      <c r="AB249" s="27">
        <f>IF(AQ249="1",BH249,0)</f>
        <v>0</v>
      </c>
      <c r="AC249" s="27">
        <f>IF(AQ249="1",BI249,0)</f>
        <v>0</v>
      </c>
      <c r="AD249" s="27">
        <f>IF(AQ249="7",BH249,0)</f>
        <v>0</v>
      </c>
      <c r="AE249" s="27">
        <f>IF(AQ249="7",BI249,0)</f>
        <v>0</v>
      </c>
      <c r="AF249" s="27">
        <f>IF(AQ249="2",BH249,0)</f>
        <v>0</v>
      </c>
      <c r="AG249" s="27">
        <f>IF(AQ249="2",BI249,0)</f>
        <v>0</v>
      </c>
      <c r="AH249" s="27">
        <f>IF(AQ249="0",BJ249,0)</f>
        <v>0</v>
      </c>
      <c r="AI249" s="20"/>
      <c r="AJ249" s="13">
        <f>IF(AN249=0,I249,0)</f>
        <v>0</v>
      </c>
      <c r="AK249" s="13">
        <f>IF(AN249=15,I249,0)</f>
        <v>0</v>
      </c>
      <c r="AL249" s="13">
        <f>IF(AN249=21,I249,0)</f>
        <v>0</v>
      </c>
      <c r="AN249" s="27">
        <v>21</v>
      </c>
      <c r="AO249" s="27">
        <f>F249*0.918289655172414</f>
        <v>0</v>
      </c>
      <c r="AP249" s="27">
        <f>F249*(1-0.918289655172414)</f>
        <v>0</v>
      </c>
      <c r="AQ249" s="23" t="s">
        <v>7</v>
      </c>
      <c r="AV249" s="27">
        <f>AW249+AX249</f>
        <v>0</v>
      </c>
      <c r="AW249" s="27">
        <f>E249*AO249</f>
        <v>0</v>
      </c>
      <c r="AX249" s="27">
        <f>E249*AP249</f>
        <v>0</v>
      </c>
      <c r="AY249" s="28" t="s">
        <v>1068</v>
      </c>
      <c r="AZ249" s="28" t="s">
        <v>1097</v>
      </c>
      <c r="BA249" s="20" t="s">
        <v>1106</v>
      </c>
      <c r="BC249" s="27">
        <f>AW249+AX249</f>
        <v>0</v>
      </c>
      <c r="BD249" s="27">
        <f>F249/(100-BE249)*100</f>
        <v>0</v>
      </c>
      <c r="BE249" s="27">
        <v>0</v>
      </c>
      <c r="BF249" s="27">
        <f>K249</f>
        <v>56.38992</v>
      </c>
      <c r="BH249" s="13">
        <f>E249*AO249</f>
        <v>0</v>
      </c>
      <c r="BI249" s="13">
        <f>E249*AP249</f>
        <v>0</v>
      </c>
      <c r="BJ249" s="13">
        <f>E249*F249</f>
        <v>0</v>
      </c>
    </row>
    <row r="250" spans="1:62" ht="12.75">
      <c r="A250" s="107"/>
      <c r="B250" s="108"/>
      <c r="C250" s="99" t="s">
        <v>1725</v>
      </c>
      <c r="D250" s="100" t="s">
        <v>1011</v>
      </c>
      <c r="E250" s="101">
        <f>+Výměry!E385</f>
        <v>56.38992</v>
      </c>
      <c r="F250" s="132"/>
      <c r="G250" s="139"/>
      <c r="H250" s="110"/>
      <c r="I250" s="140"/>
      <c r="J250" s="213"/>
      <c r="K250" s="214"/>
      <c r="L250" s="150"/>
      <c r="Z250" s="27"/>
      <c r="AB250" s="27"/>
      <c r="AC250" s="27"/>
      <c r="AD250" s="27"/>
      <c r="AE250" s="27"/>
      <c r="AF250" s="27"/>
      <c r="AG250" s="27"/>
      <c r="AH250" s="27"/>
      <c r="AI250" s="20"/>
      <c r="AJ250" s="13"/>
      <c r="AK250" s="13"/>
      <c r="AL250" s="13"/>
      <c r="AN250" s="27"/>
      <c r="AO250" s="27"/>
      <c r="AP250" s="27"/>
      <c r="AQ250" s="23"/>
      <c r="AV250" s="27"/>
      <c r="AW250" s="27"/>
      <c r="AX250" s="27"/>
      <c r="AY250" s="28"/>
      <c r="AZ250" s="28"/>
      <c r="BA250" s="20"/>
      <c r="BC250" s="27"/>
      <c r="BD250" s="27"/>
      <c r="BE250" s="27"/>
      <c r="BF250" s="27"/>
      <c r="BH250" s="13"/>
      <c r="BI250" s="13"/>
      <c r="BJ250" s="13"/>
    </row>
    <row r="251" spans="1:47" ht="25.5">
      <c r="A251" s="111"/>
      <c r="B251" s="112" t="s">
        <v>63</v>
      </c>
      <c r="C251" s="113" t="s">
        <v>780</v>
      </c>
      <c r="D251" s="206" t="s">
        <v>6</v>
      </c>
      <c r="E251" s="114" t="s">
        <v>6</v>
      </c>
      <c r="F251" s="133" t="s">
        <v>6</v>
      </c>
      <c r="G251" s="141">
        <f>SUM(G252:G254)</f>
        <v>0</v>
      </c>
      <c r="H251" s="115">
        <f>SUM(H252:H254)</f>
        <v>0</v>
      </c>
      <c r="I251" s="142">
        <f>SUM(I252:I254)</f>
        <v>0</v>
      </c>
      <c r="J251" s="215"/>
      <c r="K251" s="216">
        <f>SUM(K252:K254)</f>
        <v>80.92902</v>
      </c>
      <c r="L251" s="151"/>
      <c r="AI251" s="20"/>
      <c r="AS251" s="29">
        <f>SUM(AJ252:AJ254)</f>
        <v>0</v>
      </c>
      <c r="AT251" s="29">
        <f>SUM(AK252:AK254)</f>
        <v>0</v>
      </c>
      <c r="AU251" s="29">
        <f>SUM(AL252:AL254)</f>
        <v>0</v>
      </c>
    </row>
    <row r="252" spans="1:62" ht="12.75">
      <c r="A252" s="107" t="s">
        <v>122</v>
      </c>
      <c r="B252" s="108" t="s">
        <v>436</v>
      </c>
      <c r="C252" s="109" t="s">
        <v>781</v>
      </c>
      <c r="D252" s="205" t="s">
        <v>1005</v>
      </c>
      <c r="E252" s="110">
        <v>784.5</v>
      </c>
      <c r="F252" s="132">
        <v>0</v>
      </c>
      <c r="G252" s="139">
        <f>E252*AO252</f>
        <v>0</v>
      </c>
      <c r="H252" s="110">
        <f>E252*AP252</f>
        <v>0</v>
      </c>
      <c r="I252" s="140">
        <f>E252*F252</f>
        <v>0</v>
      </c>
      <c r="J252" s="213">
        <v>0.10255</v>
      </c>
      <c r="K252" s="214">
        <f>E252*J252</f>
        <v>80.450475</v>
      </c>
      <c r="L252" s="150" t="s">
        <v>1039</v>
      </c>
      <c r="Z252" s="27">
        <f>IF(AQ252="5",BJ252,0)</f>
        <v>0</v>
      </c>
      <c r="AB252" s="27">
        <f>IF(AQ252="1",BH252,0)</f>
        <v>0</v>
      </c>
      <c r="AC252" s="27">
        <f>IF(AQ252="1",BI252,0)</f>
        <v>0</v>
      </c>
      <c r="AD252" s="27">
        <f>IF(AQ252="7",BH252,0)</f>
        <v>0</v>
      </c>
      <c r="AE252" s="27">
        <f>IF(AQ252="7",BI252,0)</f>
        <v>0</v>
      </c>
      <c r="AF252" s="27">
        <f>IF(AQ252="2",BH252,0)</f>
        <v>0</v>
      </c>
      <c r="AG252" s="27">
        <f>IF(AQ252="2",BI252,0)</f>
        <v>0</v>
      </c>
      <c r="AH252" s="27">
        <f>IF(AQ252="0",BJ252,0)</f>
        <v>0</v>
      </c>
      <c r="AI252" s="20"/>
      <c r="AJ252" s="13">
        <f>IF(AN252=0,I252,0)</f>
        <v>0</v>
      </c>
      <c r="AK252" s="13">
        <f>IF(AN252=15,I252,0)</f>
        <v>0</v>
      </c>
      <c r="AL252" s="13">
        <f>IF(AN252=21,I252,0)</f>
        <v>0</v>
      </c>
      <c r="AN252" s="27">
        <v>21</v>
      </c>
      <c r="AO252" s="27">
        <f>F252*0.801579961464355</f>
        <v>0</v>
      </c>
      <c r="AP252" s="27">
        <f>F252*(1-0.801579961464355)</f>
        <v>0</v>
      </c>
      <c r="AQ252" s="23" t="s">
        <v>7</v>
      </c>
      <c r="AV252" s="27">
        <f>AW252+AX252</f>
        <v>0</v>
      </c>
      <c r="AW252" s="27">
        <f>E252*AO252</f>
        <v>0</v>
      </c>
      <c r="AX252" s="27">
        <f>E252*AP252</f>
        <v>0</v>
      </c>
      <c r="AY252" s="28" t="s">
        <v>1069</v>
      </c>
      <c r="AZ252" s="28" t="s">
        <v>1097</v>
      </c>
      <c r="BA252" s="20" t="s">
        <v>1106</v>
      </c>
      <c r="BC252" s="27">
        <f>AW252+AX252</f>
        <v>0</v>
      </c>
      <c r="BD252" s="27">
        <f>F252/(100-BE252)*100</f>
        <v>0</v>
      </c>
      <c r="BE252" s="27">
        <v>0</v>
      </c>
      <c r="BF252" s="27">
        <f>K252</f>
        <v>80.450475</v>
      </c>
      <c r="BH252" s="13">
        <f>E252*AO252</f>
        <v>0</v>
      </c>
      <c r="BI252" s="13">
        <f>E252*AP252</f>
        <v>0</v>
      </c>
      <c r="BJ252" s="13">
        <f>E252*F252</f>
        <v>0</v>
      </c>
    </row>
    <row r="253" spans="1:62" ht="12.75">
      <c r="A253" s="107"/>
      <c r="B253" s="108"/>
      <c r="C253" s="99" t="s">
        <v>1726</v>
      </c>
      <c r="D253" s="100" t="s">
        <v>1005</v>
      </c>
      <c r="E253" s="101">
        <f>+Výměry!E394</f>
        <v>784.5</v>
      </c>
      <c r="F253" s="132"/>
      <c r="G253" s="139"/>
      <c r="H253" s="110"/>
      <c r="I253" s="140"/>
      <c r="J253" s="213"/>
      <c r="K253" s="214"/>
      <c r="L253" s="150"/>
      <c r="Z253" s="27"/>
      <c r="AB253" s="27"/>
      <c r="AC253" s="27"/>
      <c r="AD253" s="27"/>
      <c r="AE253" s="27"/>
      <c r="AF253" s="27"/>
      <c r="AG253" s="27"/>
      <c r="AH253" s="27"/>
      <c r="AI253" s="20"/>
      <c r="AJ253" s="13"/>
      <c r="AK253" s="13"/>
      <c r="AL253" s="13"/>
      <c r="AN253" s="27"/>
      <c r="AO253" s="27"/>
      <c r="AP253" s="27"/>
      <c r="AQ253" s="23"/>
      <c r="AV253" s="27"/>
      <c r="AW253" s="27"/>
      <c r="AX253" s="27"/>
      <c r="AY253" s="28"/>
      <c r="AZ253" s="28"/>
      <c r="BA253" s="20"/>
      <c r="BC253" s="27"/>
      <c r="BD253" s="27"/>
      <c r="BE253" s="27"/>
      <c r="BF253" s="27"/>
      <c r="BH253" s="13"/>
      <c r="BI253" s="13"/>
      <c r="BJ253" s="13"/>
    </row>
    <row r="254" spans="1:62" ht="12.75">
      <c r="A254" s="107" t="s">
        <v>123</v>
      </c>
      <c r="B254" s="108" t="s">
        <v>437</v>
      </c>
      <c r="C254" s="109" t="s">
        <v>782</v>
      </c>
      <c r="D254" s="205" t="s">
        <v>1005</v>
      </c>
      <c r="E254" s="110">
        <v>784.5</v>
      </c>
      <c r="F254" s="132">
        <v>0</v>
      </c>
      <c r="G254" s="139">
        <f>E254*AO254</f>
        <v>0</v>
      </c>
      <c r="H254" s="110">
        <f>E254*AP254</f>
        <v>0</v>
      </c>
      <c r="I254" s="140">
        <f>E254*F254</f>
        <v>0</v>
      </c>
      <c r="J254" s="213">
        <v>0.00061</v>
      </c>
      <c r="K254" s="214">
        <f>E254*J254</f>
        <v>0.478545</v>
      </c>
      <c r="L254" s="150" t="s">
        <v>1039</v>
      </c>
      <c r="Z254" s="27">
        <f>IF(AQ254="5",BJ254,0)</f>
        <v>0</v>
      </c>
      <c r="AB254" s="27">
        <f>IF(AQ254="1",BH254,0)</f>
        <v>0</v>
      </c>
      <c r="AC254" s="27">
        <f>IF(AQ254="1",BI254,0)</f>
        <v>0</v>
      </c>
      <c r="AD254" s="27">
        <f>IF(AQ254="7",BH254,0)</f>
        <v>0</v>
      </c>
      <c r="AE254" s="27">
        <f>IF(AQ254="7",BI254,0)</f>
        <v>0</v>
      </c>
      <c r="AF254" s="27">
        <f>IF(AQ254="2",BH254,0)</f>
        <v>0</v>
      </c>
      <c r="AG254" s="27">
        <f>IF(AQ254="2",BI254,0)</f>
        <v>0</v>
      </c>
      <c r="AH254" s="27">
        <f>IF(AQ254="0",BJ254,0)</f>
        <v>0</v>
      </c>
      <c r="AI254" s="20"/>
      <c r="AJ254" s="13">
        <f>IF(AN254=0,I254,0)</f>
        <v>0</v>
      </c>
      <c r="AK254" s="13">
        <f>IF(AN254=15,I254,0)</f>
        <v>0</v>
      </c>
      <c r="AL254" s="13">
        <f>IF(AN254=21,I254,0)</f>
        <v>0</v>
      </c>
      <c r="AN254" s="27">
        <v>21</v>
      </c>
      <c r="AO254" s="27">
        <f>F254*0.922972972972973</f>
        <v>0</v>
      </c>
      <c r="AP254" s="27">
        <f>F254*(1-0.922972972972973)</f>
        <v>0</v>
      </c>
      <c r="AQ254" s="23" t="s">
        <v>7</v>
      </c>
      <c r="AV254" s="27">
        <f>AW254+AX254</f>
        <v>0</v>
      </c>
      <c r="AW254" s="27">
        <f>E254*AO254</f>
        <v>0</v>
      </c>
      <c r="AX254" s="27">
        <f>E254*AP254</f>
        <v>0</v>
      </c>
      <c r="AY254" s="28" t="s">
        <v>1069</v>
      </c>
      <c r="AZ254" s="28" t="s">
        <v>1097</v>
      </c>
      <c r="BA254" s="20" t="s">
        <v>1106</v>
      </c>
      <c r="BC254" s="27">
        <f>AW254+AX254</f>
        <v>0</v>
      </c>
      <c r="BD254" s="27">
        <f>F254/(100-BE254)*100</f>
        <v>0</v>
      </c>
      <c r="BE254" s="27">
        <v>0</v>
      </c>
      <c r="BF254" s="27">
        <f>K254</f>
        <v>0.478545</v>
      </c>
      <c r="BH254" s="13">
        <f>E254*AO254</f>
        <v>0</v>
      </c>
      <c r="BI254" s="13">
        <f>E254*AP254</f>
        <v>0</v>
      </c>
      <c r="BJ254" s="13">
        <f>E254*F254</f>
        <v>0</v>
      </c>
    </row>
    <row r="255" spans="1:62" ht="12.75">
      <c r="A255" s="107"/>
      <c r="B255" s="108"/>
      <c r="C255" s="99" t="s">
        <v>1727</v>
      </c>
      <c r="D255" s="205"/>
      <c r="E255" s="110"/>
      <c r="F255" s="132"/>
      <c r="G255" s="139"/>
      <c r="H255" s="110"/>
      <c r="I255" s="140"/>
      <c r="J255" s="213"/>
      <c r="K255" s="214"/>
      <c r="L255" s="150"/>
      <c r="Z255" s="27"/>
      <c r="AB255" s="27"/>
      <c r="AC255" s="27"/>
      <c r="AD255" s="27"/>
      <c r="AE255" s="27"/>
      <c r="AF255" s="27"/>
      <c r="AG255" s="27"/>
      <c r="AH255" s="27"/>
      <c r="AI255" s="20"/>
      <c r="AJ255" s="13"/>
      <c r="AK255" s="13"/>
      <c r="AL255" s="13"/>
      <c r="AN255" s="27"/>
      <c r="AO255" s="27"/>
      <c r="AP255" s="27"/>
      <c r="AQ255" s="23"/>
      <c r="AV255" s="27"/>
      <c r="AW255" s="27"/>
      <c r="AX255" s="27"/>
      <c r="AY255" s="28"/>
      <c r="AZ255" s="28"/>
      <c r="BA255" s="20"/>
      <c r="BC255" s="27"/>
      <c r="BD255" s="27"/>
      <c r="BE255" s="27"/>
      <c r="BF255" s="27"/>
      <c r="BH255" s="13"/>
      <c r="BI255" s="13"/>
      <c r="BJ255" s="13"/>
    </row>
    <row r="256" spans="1:47" ht="25.5">
      <c r="A256" s="111"/>
      <c r="B256" s="112" t="s">
        <v>64</v>
      </c>
      <c r="C256" s="113" t="s">
        <v>783</v>
      </c>
      <c r="D256" s="206" t="s">
        <v>6</v>
      </c>
      <c r="E256" s="114" t="s">
        <v>6</v>
      </c>
      <c r="F256" s="133" t="s">
        <v>6</v>
      </c>
      <c r="G256" s="141">
        <f>SUM(G257:G257)</f>
        <v>0</v>
      </c>
      <c r="H256" s="115">
        <f>SUM(H257:H257)</f>
        <v>0</v>
      </c>
      <c r="I256" s="142">
        <f>SUM(I257:I257)</f>
        <v>0</v>
      </c>
      <c r="J256" s="215"/>
      <c r="K256" s="216">
        <f>SUM(K257:K257)</f>
        <v>145.791</v>
      </c>
      <c r="L256" s="151"/>
      <c r="AI256" s="20"/>
      <c r="AS256" s="29">
        <f>SUM(AJ257:AJ257)</f>
        <v>0</v>
      </c>
      <c r="AT256" s="29">
        <f>SUM(AK257:AK257)</f>
        <v>0</v>
      </c>
      <c r="AU256" s="29">
        <f>SUM(AL257:AL257)</f>
        <v>0</v>
      </c>
    </row>
    <row r="257" spans="1:62" ht="12.75">
      <c r="A257" s="107" t="s">
        <v>124</v>
      </c>
      <c r="B257" s="108" t="s">
        <v>438</v>
      </c>
      <c r="C257" s="109" t="s">
        <v>784</v>
      </c>
      <c r="D257" s="205" t="s">
        <v>1005</v>
      </c>
      <c r="E257" s="110">
        <f>+E258</f>
        <v>1746</v>
      </c>
      <c r="F257" s="132">
        <v>0</v>
      </c>
      <c r="G257" s="139">
        <f>E257*AO257</f>
        <v>0</v>
      </c>
      <c r="H257" s="110">
        <f>E257*AP257</f>
        <v>0</v>
      </c>
      <c r="I257" s="140">
        <f>E257*F257</f>
        <v>0</v>
      </c>
      <c r="J257" s="213">
        <v>0.0835</v>
      </c>
      <c r="K257" s="214">
        <f>E257*J257</f>
        <v>145.791</v>
      </c>
      <c r="L257" s="150" t="s">
        <v>1039</v>
      </c>
      <c r="Z257" s="27">
        <f>IF(AQ257="5",BJ257,0)</f>
        <v>0</v>
      </c>
      <c r="AB257" s="27">
        <f>IF(AQ257="1",BH257,0)</f>
        <v>0</v>
      </c>
      <c r="AC257" s="27">
        <f>IF(AQ257="1",BI257,0)</f>
        <v>0</v>
      </c>
      <c r="AD257" s="27">
        <f>IF(AQ257="7",BH257,0)</f>
        <v>0</v>
      </c>
      <c r="AE257" s="27">
        <f>IF(AQ257="7",BI257,0)</f>
        <v>0</v>
      </c>
      <c r="AF257" s="27">
        <f>IF(AQ257="2",BH257,0)</f>
        <v>0</v>
      </c>
      <c r="AG257" s="27">
        <f>IF(AQ257="2",BI257,0)</f>
        <v>0</v>
      </c>
      <c r="AH257" s="27">
        <f>IF(AQ257="0",BJ257,0)</f>
        <v>0</v>
      </c>
      <c r="AI257" s="20"/>
      <c r="AJ257" s="13">
        <f>IF(AN257=0,I257,0)</f>
        <v>0</v>
      </c>
      <c r="AK257" s="13">
        <f>IF(AN257=15,I257,0)</f>
        <v>0</v>
      </c>
      <c r="AL257" s="13">
        <f>IF(AN257=21,I257,0)</f>
        <v>0</v>
      </c>
      <c r="AN257" s="27">
        <v>21</v>
      </c>
      <c r="AO257" s="27">
        <f>F257*0.125971563981043</f>
        <v>0</v>
      </c>
      <c r="AP257" s="27">
        <f>F257*(1-0.125971563981043)</f>
        <v>0</v>
      </c>
      <c r="AQ257" s="23" t="s">
        <v>7</v>
      </c>
      <c r="AV257" s="27">
        <f>AW257+AX257</f>
        <v>0</v>
      </c>
      <c r="AW257" s="27">
        <f>E257*AO257</f>
        <v>0</v>
      </c>
      <c r="AX257" s="27">
        <f>E257*AP257</f>
        <v>0</v>
      </c>
      <c r="AY257" s="28" t="s">
        <v>1070</v>
      </c>
      <c r="AZ257" s="28" t="s">
        <v>1097</v>
      </c>
      <c r="BA257" s="20" t="s">
        <v>1106</v>
      </c>
      <c r="BC257" s="27">
        <f>AW257+AX257</f>
        <v>0</v>
      </c>
      <c r="BD257" s="27">
        <f>F257/(100-BE257)*100</f>
        <v>0</v>
      </c>
      <c r="BE257" s="27">
        <v>0</v>
      </c>
      <c r="BF257" s="27">
        <f>K257</f>
        <v>145.791</v>
      </c>
      <c r="BH257" s="13">
        <f>E257*AO257</f>
        <v>0</v>
      </c>
      <c r="BI257" s="13">
        <f>E257*AP257</f>
        <v>0</v>
      </c>
      <c r="BJ257" s="13">
        <f>E257*F257</f>
        <v>0</v>
      </c>
    </row>
    <row r="258" spans="1:62" ht="12.75">
      <c r="A258" s="107"/>
      <c r="B258" s="108"/>
      <c r="C258" s="99" t="s">
        <v>1728</v>
      </c>
      <c r="D258" s="100" t="s">
        <v>1005</v>
      </c>
      <c r="E258" s="101">
        <f>+Výměry!E406</f>
        <v>1746</v>
      </c>
      <c r="F258" s="132"/>
      <c r="G258" s="139"/>
      <c r="H258" s="110"/>
      <c r="I258" s="140"/>
      <c r="J258" s="213"/>
      <c r="K258" s="214"/>
      <c r="L258" s="150"/>
      <c r="Z258" s="27"/>
      <c r="AB258" s="27"/>
      <c r="AC258" s="27"/>
      <c r="AD258" s="27"/>
      <c r="AE258" s="27"/>
      <c r="AF258" s="27"/>
      <c r="AG258" s="27"/>
      <c r="AH258" s="27"/>
      <c r="AI258" s="20"/>
      <c r="AJ258" s="13"/>
      <c r="AK258" s="13"/>
      <c r="AL258" s="13"/>
      <c r="AN258" s="27"/>
      <c r="AO258" s="27"/>
      <c r="AP258" s="27"/>
      <c r="AQ258" s="23"/>
      <c r="AV258" s="27"/>
      <c r="AW258" s="27"/>
      <c r="AX258" s="27"/>
      <c r="AY258" s="28"/>
      <c r="AZ258" s="28"/>
      <c r="BA258" s="20"/>
      <c r="BC258" s="27"/>
      <c r="BD258" s="27"/>
      <c r="BE258" s="27"/>
      <c r="BF258" s="27"/>
      <c r="BH258" s="13"/>
      <c r="BI258" s="13"/>
      <c r="BJ258" s="13"/>
    </row>
    <row r="259" spans="1:47" ht="25.5">
      <c r="A259" s="111"/>
      <c r="B259" s="112" t="s">
        <v>65</v>
      </c>
      <c r="C259" s="113" t="s">
        <v>785</v>
      </c>
      <c r="D259" s="206" t="s">
        <v>6</v>
      </c>
      <c r="E259" s="114" t="s">
        <v>6</v>
      </c>
      <c r="F259" s="133" t="s">
        <v>6</v>
      </c>
      <c r="G259" s="141">
        <f>SUM(G260:G266)</f>
        <v>0</v>
      </c>
      <c r="H259" s="115">
        <f>SUM(H260:H266)</f>
        <v>0</v>
      </c>
      <c r="I259" s="142">
        <f>SUM(I260:I266)</f>
        <v>0</v>
      </c>
      <c r="J259" s="215"/>
      <c r="K259" s="216">
        <f>SUM(K260:K266)</f>
        <v>50.3567961345</v>
      </c>
      <c r="L259" s="151"/>
      <c r="AI259" s="20"/>
      <c r="AS259" s="29">
        <f>SUM(AJ260:AJ266)</f>
        <v>0</v>
      </c>
      <c r="AT259" s="29">
        <f>SUM(AK260:AK266)</f>
        <v>0</v>
      </c>
      <c r="AU259" s="29">
        <f>SUM(AL260:AL266)</f>
        <v>0</v>
      </c>
    </row>
    <row r="260" spans="1:62" ht="12.75">
      <c r="A260" s="107" t="s">
        <v>125</v>
      </c>
      <c r="B260" s="108" t="s">
        <v>439</v>
      </c>
      <c r="C260" s="109" t="s">
        <v>786</v>
      </c>
      <c r="D260" s="205" t="s">
        <v>1005</v>
      </c>
      <c r="E260" s="110">
        <f>+E261</f>
        <v>5.997837499999999</v>
      </c>
      <c r="F260" s="132">
        <v>0</v>
      </c>
      <c r="G260" s="139">
        <f>E260*AO260</f>
        <v>0</v>
      </c>
      <c r="H260" s="110">
        <f>E260*AP260</f>
        <v>0</v>
      </c>
      <c r="I260" s="140">
        <f>E260*F260</f>
        <v>0</v>
      </c>
      <c r="J260" s="213">
        <v>0.31388</v>
      </c>
      <c r="K260" s="214">
        <f>E260*J260</f>
        <v>1.8826012344999998</v>
      </c>
      <c r="L260" s="150" t="s">
        <v>1039</v>
      </c>
      <c r="Z260" s="27">
        <f>IF(AQ260="5",BJ260,0)</f>
        <v>0</v>
      </c>
      <c r="AB260" s="27">
        <f>IF(AQ260="1",BH260,0)</f>
        <v>0</v>
      </c>
      <c r="AC260" s="27">
        <f>IF(AQ260="1",BI260,0)</f>
        <v>0</v>
      </c>
      <c r="AD260" s="27">
        <f>IF(AQ260="7",BH260,0)</f>
        <v>0</v>
      </c>
      <c r="AE260" s="27">
        <f>IF(AQ260="7",BI260,0)</f>
        <v>0</v>
      </c>
      <c r="AF260" s="27">
        <f>IF(AQ260="2",BH260,0)</f>
        <v>0</v>
      </c>
      <c r="AG260" s="27">
        <f>IF(AQ260="2",BI260,0)</f>
        <v>0</v>
      </c>
      <c r="AH260" s="27">
        <f>IF(AQ260="0",BJ260,0)</f>
        <v>0</v>
      </c>
      <c r="AI260" s="20"/>
      <c r="AJ260" s="13">
        <f>IF(AN260=0,I260,0)</f>
        <v>0</v>
      </c>
      <c r="AK260" s="13">
        <f>IF(AN260=15,I260,0)</f>
        <v>0</v>
      </c>
      <c r="AL260" s="13">
        <f>IF(AN260=21,I260,0)</f>
        <v>0</v>
      </c>
      <c r="AN260" s="27">
        <v>21</v>
      </c>
      <c r="AO260" s="27">
        <f>F260*0.397784009092137</f>
        <v>0</v>
      </c>
      <c r="AP260" s="27">
        <f>F260*(1-0.397784009092137)</f>
        <v>0</v>
      </c>
      <c r="AQ260" s="23" t="s">
        <v>7</v>
      </c>
      <c r="AV260" s="27">
        <f>AW260+AX260</f>
        <v>0</v>
      </c>
      <c r="AW260" s="27">
        <f>E260*AO260</f>
        <v>0</v>
      </c>
      <c r="AX260" s="27">
        <f>E260*AP260</f>
        <v>0</v>
      </c>
      <c r="AY260" s="28" t="s">
        <v>1071</v>
      </c>
      <c r="AZ260" s="28" t="s">
        <v>1097</v>
      </c>
      <c r="BA260" s="20" t="s">
        <v>1106</v>
      </c>
      <c r="BC260" s="27">
        <f>AW260+AX260</f>
        <v>0</v>
      </c>
      <c r="BD260" s="27">
        <f>F260/(100-BE260)*100</f>
        <v>0</v>
      </c>
      <c r="BE260" s="27">
        <v>0</v>
      </c>
      <c r="BF260" s="27">
        <f>K260</f>
        <v>1.8826012344999998</v>
      </c>
      <c r="BH260" s="13">
        <f>E260*AO260</f>
        <v>0</v>
      </c>
      <c r="BI260" s="13">
        <f>E260*AP260</f>
        <v>0</v>
      </c>
      <c r="BJ260" s="13">
        <f>E260*F260</f>
        <v>0</v>
      </c>
    </row>
    <row r="261" spans="1:62" ht="12.75">
      <c r="A261" s="107"/>
      <c r="B261" s="108"/>
      <c r="C261" s="99" t="s">
        <v>1729</v>
      </c>
      <c r="D261" s="100" t="s">
        <v>1005</v>
      </c>
      <c r="E261" s="101">
        <f>+E218</f>
        <v>5.997837499999999</v>
      </c>
      <c r="F261" s="132"/>
      <c r="G261" s="139"/>
      <c r="H261" s="110"/>
      <c r="I261" s="140"/>
      <c r="J261" s="213"/>
      <c r="K261" s="214"/>
      <c r="L261" s="150"/>
      <c r="Z261" s="27"/>
      <c r="AB261" s="27"/>
      <c r="AC261" s="27"/>
      <c r="AD261" s="27"/>
      <c r="AE261" s="27"/>
      <c r="AF261" s="27"/>
      <c r="AG261" s="27"/>
      <c r="AH261" s="27"/>
      <c r="AI261" s="20"/>
      <c r="AJ261" s="13"/>
      <c r="AK261" s="13"/>
      <c r="AL261" s="13"/>
      <c r="AN261" s="27"/>
      <c r="AO261" s="27"/>
      <c r="AP261" s="27"/>
      <c r="AQ261" s="23"/>
      <c r="AV261" s="27"/>
      <c r="AW261" s="27"/>
      <c r="AX261" s="27"/>
      <c r="AY261" s="28"/>
      <c r="AZ261" s="28"/>
      <c r="BA261" s="20"/>
      <c r="BC261" s="27"/>
      <c r="BD261" s="27"/>
      <c r="BE261" s="27"/>
      <c r="BF261" s="27"/>
      <c r="BH261" s="13"/>
      <c r="BI261" s="13"/>
      <c r="BJ261" s="13"/>
    </row>
    <row r="262" spans="1:62" ht="12.75">
      <c r="A262" s="107" t="s">
        <v>126</v>
      </c>
      <c r="B262" s="108" t="s">
        <v>440</v>
      </c>
      <c r="C262" s="109" t="s">
        <v>787</v>
      </c>
      <c r="D262" s="205" t="s">
        <v>1005</v>
      </c>
      <c r="E262" s="110">
        <f>+E263</f>
        <v>59.07</v>
      </c>
      <c r="F262" s="132">
        <v>0</v>
      </c>
      <c r="G262" s="139">
        <f>E262*AO262</f>
        <v>0</v>
      </c>
      <c r="H262" s="110">
        <f>E262*AP262</f>
        <v>0</v>
      </c>
      <c r="I262" s="140">
        <f>E262*F262</f>
        <v>0</v>
      </c>
      <c r="J262" s="213">
        <v>0.612</v>
      </c>
      <c r="K262" s="214">
        <f>E262*J262</f>
        <v>36.15084</v>
      </c>
      <c r="L262" s="150" t="s">
        <v>1039</v>
      </c>
      <c r="Z262" s="27">
        <f>IF(AQ262="5",BJ262,0)</f>
        <v>0</v>
      </c>
      <c r="AB262" s="27">
        <f>IF(AQ262="1",BH262,0)</f>
        <v>0</v>
      </c>
      <c r="AC262" s="27">
        <f>IF(AQ262="1",BI262,0)</f>
        <v>0</v>
      </c>
      <c r="AD262" s="27">
        <f>IF(AQ262="7",BH262,0)</f>
        <v>0</v>
      </c>
      <c r="AE262" s="27">
        <f>IF(AQ262="7",BI262,0)</f>
        <v>0</v>
      </c>
      <c r="AF262" s="27">
        <f>IF(AQ262="2",BH262,0)</f>
        <v>0</v>
      </c>
      <c r="AG262" s="27">
        <f>IF(AQ262="2",BI262,0)</f>
        <v>0</v>
      </c>
      <c r="AH262" s="27">
        <f>IF(AQ262="0",BJ262,0)</f>
        <v>0</v>
      </c>
      <c r="AI262" s="20"/>
      <c r="AJ262" s="13">
        <f>IF(AN262=0,I262,0)</f>
        <v>0</v>
      </c>
      <c r="AK262" s="13">
        <f>IF(AN262=15,I262,0)</f>
        <v>0</v>
      </c>
      <c r="AL262" s="13">
        <f>IF(AN262=21,I262,0)</f>
        <v>0</v>
      </c>
      <c r="AN262" s="27">
        <v>21</v>
      </c>
      <c r="AO262" s="27">
        <f>F262*0.532340425531915</f>
        <v>0</v>
      </c>
      <c r="AP262" s="27">
        <f>F262*(1-0.532340425531915)</f>
        <v>0</v>
      </c>
      <c r="AQ262" s="23" t="s">
        <v>7</v>
      </c>
      <c r="AV262" s="27">
        <f>AW262+AX262</f>
        <v>0</v>
      </c>
      <c r="AW262" s="27">
        <f>E262*AO262</f>
        <v>0</v>
      </c>
      <c r="AX262" s="27">
        <f>E262*AP262</f>
        <v>0</v>
      </c>
      <c r="AY262" s="28" t="s">
        <v>1071</v>
      </c>
      <c r="AZ262" s="28" t="s">
        <v>1097</v>
      </c>
      <c r="BA262" s="20" t="s">
        <v>1106</v>
      </c>
      <c r="BC262" s="27">
        <f>AW262+AX262</f>
        <v>0</v>
      </c>
      <c r="BD262" s="27">
        <f>F262/(100-BE262)*100</f>
        <v>0</v>
      </c>
      <c r="BE262" s="27">
        <v>0</v>
      </c>
      <c r="BF262" s="27">
        <f>K262</f>
        <v>36.15084</v>
      </c>
      <c r="BH262" s="13">
        <f>E262*AO262</f>
        <v>0</v>
      </c>
      <c r="BI262" s="13">
        <f>E262*AP262</f>
        <v>0</v>
      </c>
      <c r="BJ262" s="13">
        <f>E262*F262</f>
        <v>0</v>
      </c>
    </row>
    <row r="263" spans="1:62" ht="12.75">
      <c r="A263" s="107"/>
      <c r="B263" s="108"/>
      <c r="C263" s="99" t="s">
        <v>1730</v>
      </c>
      <c r="D263" s="100" t="s">
        <v>1005</v>
      </c>
      <c r="E263" s="101">
        <f>+E216</f>
        <v>59.07</v>
      </c>
      <c r="F263" s="132"/>
      <c r="G263" s="139"/>
      <c r="H263" s="110"/>
      <c r="I263" s="140"/>
      <c r="J263" s="213"/>
      <c r="K263" s="214"/>
      <c r="L263" s="150"/>
      <c r="Z263" s="27"/>
      <c r="AB263" s="27"/>
      <c r="AC263" s="27"/>
      <c r="AD263" s="27"/>
      <c r="AE263" s="27"/>
      <c r="AF263" s="27"/>
      <c r="AG263" s="27"/>
      <c r="AH263" s="27"/>
      <c r="AI263" s="20"/>
      <c r="AJ263" s="13"/>
      <c r="AK263" s="13"/>
      <c r="AL263" s="13"/>
      <c r="AN263" s="27"/>
      <c r="AO263" s="27"/>
      <c r="AP263" s="27"/>
      <c r="AQ263" s="23"/>
      <c r="AV263" s="27"/>
      <c r="AW263" s="27"/>
      <c r="AX263" s="27"/>
      <c r="AY263" s="28"/>
      <c r="AZ263" s="28"/>
      <c r="BA263" s="20"/>
      <c r="BC263" s="27"/>
      <c r="BD263" s="27"/>
      <c r="BE263" s="27"/>
      <c r="BF263" s="27"/>
      <c r="BH263" s="13"/>
      <c r="BI263" s="13"/>
      <c r="BJ263" s="13"/>
    </row>
    <row r="264" spans="1:62" ht="12.75">
      <c r="A264" s="107" t="s">
        <v>127</v>
      </c>
      <c r="B264" s="108" t="s">
        <v>441</v>
      </c>
      <c r="C264" s="109" t="s">
        <v>788</v>
      </c>
      <c r="D264" s="205" t="s">
        <v>1005</v>
      </c>
      <c r="E264" s="110">
        <f>+E265</f>
        <v>50</v>
      </c>
      <c r="F264" s="132">
        <v>0</v>
      </c>
      <c r="G264" s="139">
        <f>E264*AO264</f>
        <v>0</v>
      </c>
      <c r="H264" s="110">
        <f>E264*AP264</f>
        <v>0</v>
      </c>
      <c r="I264" s="140">
        <f>E264*F264</f>
        <v>0</v>
      </c>
      <c r="J264" s="213">
        <v>0.0739</v>
      </c>
      <c r="K264" s="214">
        <f>E264*J264</f>
        <v>3.695</v>
      </c>
      <c r="L264" s="150" t="s">
        <v>1039</v>
      </c>
      <c r="Z264" s="27">
        <f>IF(AQ264="5",BJ264,0)</f>
        <v>0</v>
      </c>
      <c r="AB264" s="27">
        <f>IF(AQ264="1",BH264,0)</f>
        <v>0</v>
      </c>
      <c r="AC264" s="27">
        <f>IF(AQ264="1",BI264,0)</f>
        <v>0</v>
      </c>
      <c r="AD264" s="27">
        <f>IF(AQ264="7",BH264,0)</f>
        <v>0</v>
      </c>
      <c r="AE264" s="27">
        <f>IF(AQ264="7",BI264,0)</f>
        <v>0</v>
      </c>
      <c r="AF264" s="27">
        <f>IF(AQ264="2",BH264,0)</f>
        <v>0</v>
      </c>
      <c r="AG264" s="27">
        <f>IF(AQ264="2",BI264,0)</f>
        <v>0</v>
      </c>
      <c r="AH264" s="27">
        <f>IF(AQ264="0",BJ264,0)</f>
        <v>0</v>
      </c>
      <c r="AI264" s="20"/>
      <c r="AJ264" s="13">
        <f>IF(AN264=0,I264,0)</f>
        <v>0</v>
      </c>
      <c r="AK264" s="13">
        <f>IF(AN264=15,I264,0)</f>
        <v>0</v>
      </c>
      <c r="AL264" s="13">
        <f>IF(AN264=21,I264,0)</f>
        <v>0</v>
      </c>
      <c r="AN264" s="27">
        <v>21</v>
      </c>
      <c r="AO264" s="27">
        <f>F264*0.153709981167608</f>
        <v>0</v>
      </c>
      <c r="AP264" s="27">
        <f>F264*(1-0.153709981167608)</f>
        <v>0</v>
      </c>
      <c r="AQ264" s="23" t="s">
        <v>7</v>
      </c>
      <c r="AV264" s="27">
        <f>AW264+AX264</f>
        <v>0</v>
      </c>
      <c r="AW264" s="27">
        <f>E264*AO264</f>
        <v>0</v>
      </c>
      <c r="AX264" s="27">
        <f>E264*AP264</f>
        <v>0</v>
      </c>
      <c r="AY264" s="28" t="s">
        <v>1071</v>
      </c>
      <c r="AZ264" s="28" t="s">
        <v>1097</v>
      </c>
      <c r="BA264" s="20" t="s">
        <v>1106</v>
      </c>
      <c r="BC264" s="27">
        <f>AW264+AX264</f>
        <v>0</v>
      </c>
      <c r="BD264" s="27">
        <f>F264/(100-BE264)*100</f>
        <v>0</v>
      </c>
      <c r="BE264" s="27">
        <v>0</v>
      </c>
      <c r="BF264" s="27">
        <f>K264</f>
        <v>3.695</v>
      </c>
      <c r="BH264" s="13">
        <f>E264*AO264</f>
        <v>0</v>
      </c>
      <c r="BI264" s="13">
        <f>E264*AP264</f>
        <v>0</v>
      </c>
      <c r="BJ264" s="13">
        <f>E264*F264</f>
        <v>0</v>
      </c>
    </row>
    <row r="265" spans="1:62" ht="12.75">
      <c r="A265" s="107"/>
      <c r="B265" s="108"/>
      <c r="C265" s="99" t="s">
        <v>1731</v>
      </c>
      <c r="D265" s="100" t="s">
        <v>1005</v>
      </c>
      <c r="E265" s="101">
        <f>25*2</f>
        <v>50</v>
      </c>
      <c r="F265" s="132"/>
      <c r="G265" s="139"/>
      <c r="H265" s="110"/>
      <c r="I265" s="140"/>
      <c r="J265" s="213"/>
      <c r="K265" s="214"/>
      <c r="L265" s="150"/>
      <c r="Z265" s="27"/>
      <c r="AB265" s="27"/>
      <c r="AC265" s="27"/>
      <c r="AD265" s="27"/>
      <c r="AE265" s="27"/>
      <c r="AF265" s="27"/>
      <c r="AG265" s="27"/>
      <c r="AH265" s="27"/>
      <c r="AI265" s="20"/>
      <c r="AJ265" s="13"/>
      <c r="AK265" s="13"/>
      <c r="AL265" s="13"/>
      <c r="AN265" s="27"/>
      <c r="AO265" s="27"/>
      <c r="AP265" s="27"/>
      <c r="AQ265" s="23"/>
      <c r="AV265" s="27"/>
      <c r="AW265" s="27"/>
      <c r="AX265" s="27"/>
      <c r="AY265" s="28"/>
      <c r="AZ265" s="28"/>
      <c r="BA265" s="20"/>
      <c r="BC265" s="27"/>
      <c r="BD265" s="27"/>
      <c r="BE265" s="27"/>
      <c r="BF265" s="27"/>
      <c r="BH265" s="13"/>
      <c r="BI265" s="13"/>
      <c r="BJ265" s="13"/>
    </row>
    <row r="266" spans="1:62" ht="12.75">
      <c r="A266" s="107" t="s">
        <v>128</v>
      </c>
      <c r="B266" s="108" t="s">
        <v>442</v>
      </c>
      <c r="C266" s="109" t="s">
        <v>789</v>
      </c>
      <c r="D266" s="205" t="s">
        <v>1005</v>
      </c>
      <c r="E266" s="110">
        <f>+E267</f>
        <v>59.07</v>
      </c>
      <c r="F266" s="132">
        <v>0</v>
      </c>
      <c r="G266" s="139">
        <f>E266*AO266</f>
        <v>0</v>
      </c>
      <c r="H266" s="110">
        <f>E266*AP266</f>
        <v>0</v>
      </c>
      <c r="I266" s="140">
        <f>E266*F266</f>
        <v>0</v>
      </c>
      <c r="J266" s="213">
        <v>0.14607</v>
      </c>
      <c r="K266" s="214">
        <f>E266*J266</f>
        <v>8.6283549</v>
      </c>
      <c r="L266" s="150" t="s">
        <v>1039</v>
      </c>
      <c r="Z266" s="27">
        <f>IF(AQ266="5",BJ266,0)</f>
        <v>0</v>
      </c>
      <c r="AB266" s="27">
        <f>IF(AQ266="1",BH266,0)</f>
        <v>0</v>
      </c>
      <c r="AC266" s="27">
        <f>IF(AQ266="1",BI266,0)</f>
        <v>0</v>
      </c>
      <c r="AD266" s="27">
        <f>IF(AQ266="7",BH266,0)</f>
        <v>0</v>
      </c>
      <c r="AE266" s="27">
        <f>IF(AQ266="7",BI266,0)</f>
        <v>0</v>
      </c>
      <c r="AF266" s="27">
        <f>IF(AQ266="2",BH266,0)</f>
        <v>0</v>
      </c>
      <c r="AG266" s="27">
        <f>IF(AQ266="2",BI266,0)</f>
        <v>0</v>
      </c>
      <c r="AH266" s="27">
        <f>IF(AQ266="0",BJ266,0)</f>
        <v>0</v>
      </c>
      <c r="AI266" s="20"/>
      <c r="AJ266" s="13">
        <f>IF(AN266=0,I266,0)</f>
        <v>0</v>
      </c>
      <c r="AK266" s="13">
        <f>IF(AN266=15,I266,0)</f>
        <v>0</v>
      </c>
      <c r="AL266" s="13">
        <f>IF(AN266=21,I266,0)</f>
        <v>0</v>
      </c>
      <c r="AN266" s="27">
        <v>21</v>
      </c>
      <c r="AO266" s="27">
        <f>F266*0.552466666666667</f>
        <v>0</v>
      </c>
      <c r="AP266" s="27">
        <f>F266*(1-0.552466666666667)</f>
        <v>0</v>
      </c>
      <c r="AQ266" s="23" t="s">
        <v>7</v>
      </c>
      <c r="AV266" s="27">
        <f>AW266+AX266</f>
        <v>0</v>
      </c>
      <c r="AW266" s="27">
        <f>E266*AO266</f>
        <v>0</v>
      </c>
      <c r="AX266" s="27">
        <f>E266*AP266</f>
        <v>0</v>
      </c>
      <c r="AY266" s="28" t="s">
        <v>1071</v>
      </c>
      <c r="AZ266" s="28" t="s">
        <v>1097</v>
      </c>
      <c r="BA266" s="20" t="s">
        <v>1106</v>
      </c>
      <c r="BC266" s="27">
        <f>AW266+AX266</f>
        <v>0</v>
      </c>
      <c r="BD266" s="27">
        <f>F266/(100-BE266)*100</f>
        <v>0</v>
      </c>
      <c r="BE266" s="27">
        <v>0</v>
      </c>
      <c r="BF266" s="27">
        <f>K266</f>
        <v>8.6283549</v>
      </c>
      <c r="BH266" s="13">
        <f>E266*AO266</f>
        <v>0</v>
      </c>
      <c r="BI266" s="13">
        <f>E266*AP266</f>
        <v>0</v>
      </c>
      <c r="BJ266" s="13">
        <f>E266*F266</f>
        <v>0</v>
      </c>
    </row>
    <row r="267" spans="1:62" ht="12.75">
      <c r="A267" s="107"/>
      <c r="B267" s="108"/>
      <c r="C267" s="99" t="s">
        <v>1730</v>
      </c>
      <c r="D267" s="100" t="s">
        <v>1005</v>
      </c>
      <c r="E267" s="101">
        <f>+E216</f>
        <v>59.07</v>
      </c>
      <c r="F267" s="132"/>
      <c r="G267" s="139"/>
      <c r="H267" s="110"/>
      <c r="I267" s="140"/>
      <c r="J267" s="213"/>
      <c r="K267" s="214"/>
      <c r="L267" s="150"/>
      <c r="Z267" s="27"/>
      <c r="AB267" s="27"/>
      <c r="AC267" s="27"/>
      <c r="AD267" s="27"/>
      <c r="AE267" s="27"/>
      <c r="AF267" s="27"/>
      <c r="AG267" s="27"/>
      <c r="AH267" s="27"/>
      <c r="AI267" s="20"/>
      <c r="AJ267" s="13"/>
      <c r="AK267" s="13"/>
      <c r="AL267" s="13"/>
      <c r="AN267" s="27"/>
      <c r="AO267" s="27"/>
      <c r="AP267" s="27"/>
      <c r="AQ267" s="23"/>
      <c r="AV267" s="27"/>
      <c r="AW267" s="27"/>
      <c r="AX267" s="27"/>
      <c r="AY267" s="28"/>
      <c r="AZ267" s="28"/>
      <c r="BA267" s="20"/>
      <c r="BC267" s="27"/>
      <c r="BD267" s="27"/>
      <c r="BE267" s="27"/>
      <c r="BF267" s="27"/>
      <c r="BH267" s="13"/>
      <c r="BI267" s="13"/>
      <c r="BJ267" s="13"/>
    </row>
    <row r="268" spans="1:47" ht="12.75">
      <c r="A268" s="111"/>
      <c r="B268" s="112" t="s">
        <v>69</v>
      </c>
      <c r="C268" s="113" t="s">
        <v>790</v>
      </c>
      <c r="D268" s="206" t="s">
        <v>6</v>
      </c>
      <c r="E268" s="114" t="s">
        <v>6</v>
      </c>
      <c r="F268" s="133" t="s">
        <v>6</v>
      </c>
      <c r="G268" s="141">
        <f>SUM(G269:G269)</f>
        <v>0</v>
      </c>
      <c r="H268" s="115">
        <f>SUM(H269:H269)</f>
        <v>0</v>
      </c>
      <c r="I268" s="142">
        <f>SUM(I269:I269)</f>
        <v>0</v>
      </c>
      <c r="J268" s="215"/>
      <c r="K268" s="216">
        <f>SUM(K269:K269)</f>
        <v>11.45082</v>
      </c>
      <c r="L268" s="151"/>
      <c r="AI268" s="20"/>
      <c r="AS268" s="29">
        <f>SUM(AJ269:AJ269)</f>
        <v>0</v>
      </c>
      <c r="AT268" s="29">
        <f>SUM(AK269:AK269)</f>
        <v>0</v>
      </c>
      <c r="AU268" s="29">
        <f>SUM(AL269:AL269)</f>
        <v>0</v>
      </c>
    </row>
    <row r="269" spans="1:62" ht="12.75">
      <c r="A269" s="107" t="s">
        <v>129</v>
      </c>
      <c r="B269" s="108" t="s">
        <v>443</v>
      </c>
      <c r="C269" s="109" t="s">
        <v>791</v>
      </c>
      <c r="D269" s="205" t="s">
        <v>1005</v>
      </c>
      <c r="E269" s="110">
        <f>+E270</f>
        <v>27.46</v>
      </c>
      <c r="F269" s="132">
        <v>0</v>
      </c>
      <c r="G269" s="139">
        <f>E269*AO269</f>
        <v>0</v>
      </c>
      <c r="H269" s="110">
        <f>E269*AP269</f>
        <v>0</v>
      </c>
      <c r="I269" s="140">
        <f>E269*F269</f>
        <v>0</v>
      </c>
      <c r="J269" s="213">
        <v>0.417</v>
      </c>
      <c r="K269" s="214">
        <f>E269*J269</f>
        <v>11.45082</v>
      </c>
      <c r="L269" s="150" t="s">
        <v>1039</v>
      </c>
      <c r="Z269" s="27">
        <f>IF(AQ269="5",BJ269,0)</f>
        <v>0</v>
      </c>
      <c r="AB269" s="27">
        <f>IF(AQ269="1",BH269,0)</f>
        <v>0</v>
      </c>
      <c r="AC269" s="27">
        <f>IF(AQ269="1",BI269,0)</f>
        <v>0</v>
      </c>
      <c r="AD269" s="27">
        <f>IF(AQ269="7",BH269,0)</f>
        <v>0</v>
      </c>
      <c r="AE269" s="27">
        <f>IF(AQ269="7",BI269,0)</f>
        <v>0</v>
      </c>
      <c r="AF269" s="27">
        <f>IF(AQ269="2",BH269,0)</f>
        <v>0</v>
      </c>
      <c r="AG269" s="27">
        <f>IF(AQ269="2",BI269,0)</f>
        <v>0</v>
      </c>
      <c r="AH269" s="27">
        <f>IF(AQ269="0",BJ269,0)</f>
        <v>0</v>
      </c>
      <c r="AI269" s="20"/>
      <c r="AJ269" s="13">
        <f>IF(AN269=0,I269,0)</f>
        <v>0</v>
      </c>
      <c r="AK269" s="13">
        <f>IF(AN269=15,I269,0)</f>
        <v>0</v>
      </c>
      <c r="AL269" s="13">
        <f>IF(AN269=21,I269,0)</f>
        <v>0</v>
      </c>
      <c r="AN269" s="27">
        <v>21</v>
      </c>
      <c r="AO269" s="27">
        <f>F269*0</f>
        <v>0</v>
      </c>
      <c r="AP269" s="27">
        <f>F269*(1-0)</f>
        <v>0</v>
      </c>
      <c r="AQ269" s="23" t="s">
        <v>7</v>
      </c>
      <c r="AV269" s="27">
        <f>AW269+AX269</f>
        <v>0</v>
      </c>
      <c r="AW269" s="27">
        <f>E269*AO269</f>
        <v>0</v>
      </c>
      <c r="AX269" s="27">
        <f>E269*AP269</f>
        <v>0</v>
      </c>
      <c r="AY269" s="28" t="s">
        <v>1072</v>
      </c>
      <c r="AZ269" s="28" t="s">
        <v>1098</v>
      </c>
      <c r="BA269" s="20" t="s">
        <v>1106</v>
      </c>
      <c r="BC269" s="27">
        <f>AW269+AX269</f>
        <v>0</v>
      </c>
      <c r="BD269" s="27">
        <f>F269/(100-BE269)*100</f>
        <v>0</v>
      </c>
      <c r="BE269" s="27">
        <v>0</v>
      </c>
      <c r="BF269" s="27">
        <f>K269</f>
        <v>11.45082</v>
      </c>
      <c r="BH269" s="13">
        <f>E269*AO269</f>
        <v>0</v>
      </c>
      <c r="BI269" s="13">
        <f>E269*AP269</f>
        <v>0</v>
      </c>
      <c r="BJ269" s="13">
        <f>E269*F269</f>
        <v>0</v>
      </c>
    </row>
    <row r="270" spans="1:62" ht="12.75">
      <c r="A270" s="107"/>
      <c r="B270" s="108"/>
      <c r="C270" s="99" t="s">
        <v>1732</v>
      </c>
      <c r="D270" s="100" t="s">
        <v>1005</v>
      </c>
      <c r="E270" s="101">
        <f>+(4.1*3.1+3.5*2.5+3*2)</f>
        <v>27.46</v>
      </c>
      <c r="F270" s="132"/>
      <c r="G270" s="139"/>
      <c r="H270" s="110"/>
      <c r="I270" s="140"/>
      <c r="J270" s="213"/>
      <c r="K270" s="214"/>
      <c r="L270" s="150"/>
      <c r="Z270" s="27"/>
      <c r="AB270" s="27"/>
      <c r="AC270" s="27"/>
      <c r="AD270" s="27"/>
      <c r="AE270" s="27"/>
      <c r="AF270" s="27"/>
      <c r="AG270" s="27"/>
      <c r="AH270" s="27"/>
      <c r="AI270" s="20"/>
      <c r="AJ270" s="13"/>
      <c r="AK270" s="13"/>
      <c r="AL270" s="13"/>
      <c r="AN270" s="27"/>
      <c r="AO270" s="27"/>
      <c r="AP270" s="27"/>
      <c r="AQ270" s="23"/>
      <c r="AV270" s="27"/>
      <c r="AW270" s="27"/>
      <c r="AX270" s="27"/>
      <c r="AY270" s="28"/>
      <c r="AZ270" s="28"/>
      <c r="BA270" s="20"/>
      <c r="BC270" s="27"/>
      <c r="BD270" s="27"/>
      <c r="BE270" s="27"/>
      <c r="BF270" s="27"/>
      <c r="BH270" s="13"/>
      <c r="BI270" s="13"/>
      <c r="BJ270" s="13"/>
    </row>
    <row r="271" spans="1:47" ht="12.75">
      <c r="A271" s="111"/>
      <c r="B271" s="112" t="s">
        <v>70</v>
      </c>
      <c r="C271" s="113" t="s">
        <v>792</v>
      </c>
      <c r="D271" s="206" t="s">
        <v>6</v>
      </c>
      <c r="E271" s="114" t="s">
        <v>6</v>
      </c>
      <c r="F271" s="133" t="s">
        <v>6</v>
      </c>
      <c r="G271" s="141">
        <f>SUM(G272:G272)</f>
        <v>0</v>
      </c>
      <c r="H271" s="115">
        <f>SUM(H272:H272)</f>
        <v>0</v>
      </c>
      <c r="I271" s="142">
        <f>SUM(I272:I272)</f>
        <v>0</v>
      </c>
      <c r="J271" s="215"/>
      <c r="K271" s="216">
        <f>SUM(K272:K272)</f>
        <v>0</v>
      </c>
      <c r="L271" s="151"/>
      <c r="AI271" s="20"/>
      <c r="AS271" s="29">
        <f>SUM(AJ272:AJ272)</f>
        <v>0</v>
      </c>
      <c r="AT271" s="29">
        <f>SUM(AK272:AK272)</f>
        <v>0</v>
      </c>
      <c r="AU271" s="29">
        <f>SUM(AL272:AL272)</f>
        <v>0</v>
      </c>
    </row>
    <row r="272" spans="1:62" ht="12.75">
      <c r="A272" s="107" t="s">
        <v>130</v>
      </c>
      <c r="B272" s="108" t="s">
        <v>444</v>
      </c>
      <c r="C272" s="109" t="s">
        <v>793</v>
      </c>
      <c r="D272" s="205" t="s">
        <v>1008</v>
      </c>
      <c r="E272" s="110">
        <f>+E273</f>
        <v>4.7414</v>
      </c>
      <c r="F272" s="132">
        <v>0</v>
      </c>
      <c r="G272" s="139">
        <f>E272*AO272</f>
        <v>0</v>
      </c>
      <c r="H272" s="110">
        <f>E272*AP272</f>
        <v>0</v>
      </c>
      <c r="I272" s="140">
        <f>E272*F272</f>
        <v>0</v>
      </c>
      <c r="J272" s="213">
        <v>0</v>
      </c>
      <c r="K272" s="214">
        <f>E272*J272</f>
        <v>0</v>
      </c>
      <c r="L272" s="150" t="s">
        <v>1039</v>
      </c>
      <c r="Z272" s="27">
        <f>IF(AQ272="5",BJ272,0)</f>
        <v>0</v>
      </c>
      <c r="AB272" s="27">
        <f>IF(AQ272="1",BH272,0)</f>
        <v>0</v>
      </c>
      <c r="AC272" s="27">
        <f>IF(AQ272="1",BI272,0)</f>
        <v>0</v>
      </c>
      <c r="AD272" s="27">
        <f>IF(AQ272="7",BH272,0)</f>
        <v>0</v>
      </c>
      <c r="AE272" s="27">
        <f>IF(AQ272="7",BI272,0)</f>
        <v>0</v>
      </c>
      <c r="AF272" s="27">
        <f>IF(AQ272="2",BH272,0)</f>
        <v>0</v>
      </c>
      <c r="AG272" s="27">
        <f>IF(AQ272="2",BI272,0)</f>
        <v>0</v>
      </c>
      <c r="AH272" s="27">
        <f>IF(AQ272="0",BJ272,0)</f>
        <v>0</v>
      </c>
      <c r="AI272" s="20"/>
      <c r="AJ272" s="13">
        <f>IF(AN272=0,I272,0)</f>
        <v>0</v>
      </c>
      <c r="AK272" s="13">
        <f>IF(AN272=15,I272,0)</f>
        <v>0</v>
      </c>
      <c r="AL272" s="13">
        <f>IF(AN272=21,I272,0)</f>
        <v>0</v>
      </c>
      <c r="AN272" s="27">
        <v>21</v>
      </c>
      <c r="AO272" s="27">
        <f>F272*0.152002942770851</f>
        <v>0</v>
      </c>
      <c r="AP272" s="27">
        <f>F272*(1-0.152002942770851)</f>
        <v>0</v>
      </c>
      <c r="AQ272" s="23" t="s">
        <v>7</v>
      </c>
      <c r="AV272" s="27">
        <f>AW272+AX272</f>
        <v>0</v>
      </c>
      <c r="AW272" s="27">
        <f>E272*AO272</f>
        <v>0</v>
      </c>
      <c r="AX272" s="27">
        <f>E272*AP272</f>
        <v>0</v>
      </c>
      <c r="AY272" s="28" t="s">
        <v>1073</v>
      </c>
      <c r="AZ272" s="28" t="s">
        <v>1098</v>
      </c>
      <c r="BA272" s="20" t="s">
        <v>1106</v>
      </c>
      <c r="BC272" s="27">
        <f>AW272+AX272</f>
        <v>0</v>
      </c>
      <c r="BD272" s="27">
        <f>F272/(100-BE272)*100</f>
        <v>0</v>
      </c>
      <c r="BE272" s="27">
        <v>0</v>
      </c>
      <c r="BF272" s="27">
        <f>K272</f>
        <v>0</v>
      </c>
      <c r="BH272" s="13">
        <f>E272*AO272</f>
        <v>0</v>
      </c>
      <c r="BI272" s="13">
        <f>E272*AP272</f>
        <v>0</v>
      </c>
      <c r="BJ272" s="13">
        <f>E272*F272</f>
        <v>0</v>
      </c>
    </row>
    <row r="273" spans="1:62" ht="25.5">
      <c r="A273" s="107"/>
      <c r="B273" s="108"/>
      <c r="C273" s="99" t="s">
        <v>1733</v>
      </c>
      <c r="D273" s="100" t="s">
        <v>1008</v>
      </c>
      <c r="E273" s="101">
        <f>+(3.14*0.58*2+3.14*0.35)</f>
        <v>4.7414</v>
      </c>
      <c r="F273" s="132"/>
      <c r="G273" s="139"/>
      <c r="H273" s="110"/>
      <c r="I273" s="140"/>
      <c r="J273" s="213"/>
      <c r="K273" s="214"/>
      <c r="L273" s="150"/>
      <c r="Z273" s="27"/>
      <c r="AB273" s="27"/>
      <c r="AC273" s="27"/>
      <c r="AD273" s="27"/>
      <c r="AE273" s="27"/>
      <c r="AF273" s="27"/>
      <c r="AG273" s="27"/>
      <c r="AH273" s="27"/>
      <c r="AI273" s="20"/>
      <c r="AJ273" s="13"/>
      <c r="AK273" s="13"/>
      <c r="AL273" s="13"/>
      <c r="AN273" s="27"/>
      <c r="AO273" s="27"/>
      <c r="AP273" s="27"/>
      <c r="AQ273" s="23"/>
      <c r="AV273" s="27"/>
      <c r="AW273" s="27"/>
      <c r="AX273" s="27"/>
      <c r="AY273" s="28"/>
      <c r="AZ273" s="28"/>
      <c r="BA273" s="20"/>
      <c r="BC273" s="27"/>
      <c r="BD273" s="27"/>
      <c r="BE273" s="27"/>
      <c r="BF273" s="27"/>
      <c r="BH273" s="13"/>
      <c r="BI273" s="13"/>
      <c r="BJ273" s="13"/>
    </row>
    <row r="274" spans="1:47" ht="12.75">
      <c r="A274" s="111"/>
      <c r="B274" s="112" t="s">
        <v>445</v>
      </c>
      <c r="C274" s="113" t="s">
        <v>794</v>
      </c>
      <c r="D274" s="206" t="s">
        <v>6</v>
      </c>
      <c r="E274" s="114" t="s">
        <v>6</v>
      </c>
      <c r="F274" s="133" t="s">
        <v>6</v>
      </c>
      <c r="G274" s="141">
        <f>SUM(G275:G282)</f>
        <v>0</v>
      </c>
      <c r="H274" s="115">
        <f>SUM(H275:H282)</f>
        <v>0</v>
      </c>
      <c r="I274" s="142">
        <f>SUM(I275:I282)</f>
        <v>0</v>
      </c>
      <c r="J274" s="215"/>
      <c r="K274" s="216">
        <f>SUM(K275:K282)</f>
        <v>0.277662955</v>
      </c>
      <c r="L274" s="151"/>
      <c r="AI274" s="20"/>
      <c r="AS274" s="29">
        <f>SUM(AJ275:AJ282)</f>
        <v>0</v>
      </c>
      <c r="AT274" s="29">
        <f>SUM(AK275:AK282)</f>
        <v>0</v>
      </c>
      <c r="AU274" s="29">
        <f>SUM(AL275:AL282)</f>
        <v>0</v>
      </c>
    </row>
    <row r="275" spans="1:62" ht="38.25">
      <c r="A275" s="107" t="s">
        <v>131</v>
      </c>
      <c r="B275" s="108" t="s">
        <v>446</v>
      </c>
      <c r="C275" s="109" t="s">
        <v>795</v>
      </c>
      <c r="D275" s="205" t="s">
        <v>1005</v>
      </c>
      <c r="E275" s="110">
        <f>+E276</f>
        <v>226.2</v>
      </c>
      <c r="F275" s="132">
        <v>0</v>
      </c>
      <c r="G275" s="139">
        <f>E275*AO275</f>
        <v>0</v>
      </c>
      <c r="H275" s="110">
        <f>E275*AP275</f>
        <v>0</v>
      </c>
      <c r="I275" s="140">
        <f>E275*F275</f>
        <v>0</v>
      </c>
      <c r="J275" s="213">
        <v>0</v>
      </c>
      <c r="K275" s="214">
        <f>E275*J275</f>
        <v>0</v>
      </c>
      <c r="L275" s="150" t="s">
        <v>1039</v>
      </c>
      <c r="Z275" s="27">
        <f>IF(AQ275="5",BJ275,0)</f>
        <v>0</v>
      </c>
      <c r="AB275" s="27">
        <f>IF(AQ275="1",BH275,0)</f>
        <v>0</v>
      </c>
      <c r="AC275" s="27">
        <f>IF(AQ275="1",BI275,0)</f>
        <v>0</v>
      </c>
      <c r="AD275" s="27">
        <f>IF(AQ275="7",BH275,0)</f>
        <v>0</v>
      </c>
      <c r="AE275" s="27">
        <f>IF(AQ275="7",BI275,0)</f>
        <v>0</v>
      </c>
      <c r="AF275" s="27">
        <f>IF(AQ275="2",BH275,0)</f>
        <v>0</v>
      </c>
      <c r="AG275" s="27">
        <f>IF(AQ275="2",BI275,0)</f>
        <v>0</v>
      </c>
      <c r="AH275" s="27">
        <f>IF(AQ275="0",BJ275,0)</f>
        <v>0</v>
      </c>
      <c r="AI275" s="20"/>
      <c r="AJ275" s="13">
        <f>IF(AN275=0,I275,0)</f>
        <v>0</v>
      </c>
      <c r="AK275" s="13">
        <f>IF(AN275=15,I275,0)</f>
        <v>0</v>
      </c>
      <c r="AL275" s="13">
        <f>IF(AN275=21,I275,0)</f>
        <v>0</v>
      </c>
      <c r="AN275" s="27">
        <v>21</v>
      </c>
      <c r="AO275" s="27">
        <f>F275*0</f>
        <v>0</v>
      </c>
      <c r="AP275" s="27">
        <f>F275*(1-0)</f>
        <v>0</v>
      </c>
      <c r="AQ275" s="23" t="s">
        <v>13</v>
      </c>
      <c r="AV275" s="27">
        <f>AW275+AX275</f>
        <v>0</v>
      </c>
      <c r="AW275" s="27">
        <f>E275*AO275</f>
        <v>0</v>
      </c>
      <c r="AX275" s="27">
        <f>E275*AP275</f>
        <v>0</v>
      </c>
      <c r="AY275" s="28" t="s">
        <v>1074</v>
      </c>
      <c r="AZ275" s="28" t="s">
        <v>1099</v>
      </c>
      <c r="BA275" s="20" t="s">
        <v>1106</v>
      </c>
      <c r="BC275" s="27">
        <f>AW275+AX275</f>
        <v>0</v>
      </c>
      <c r="BD275" s="27">
        <f>F275/(100-BE275)*100</f>
        <v>0</v>
      </c>
      <c r="BE275" s="27">
        <v>0</v>
      </c>
      <c r="BF275" s="27">
        <f>K275</f>
        <v>0</v>
      </c>
      <c r="BH275" s="13">
        <f>E275*AO275</f>
        <v>0</v>
      </c>
      <c r="BI275" s="13">
        <f>E275*AP275</f>
        <v>0</v>
      </c>
      <c r="BJ275" s="13">
        <f>E275*F275</f>
        <v>0</v>
      </c>
    </row>
    <row r="276" spans="1:62" ht="12.75">
      <c r="A276" s="107"/>
      <c r="B276" s="108"/>
      <c r="C276" s="99" t="s">
        <v>1734</v>
      </c>
      <c r="D276" s="100" t="s">
        <v>1005</v>
      </c>
      <c r="E276" s="101">
        <f>178.7+47.5</f>
        <v>226.2</v>
      </c>
      <c r="F276" s="132"/>
      <c r="G276" s="139"/>
      <c r="H276" s="110"/>
      <c r="I276" s="140"/>
      <c r="J276" s="213"/>
      <c r="K276" s="214"/>
      <c r="L276" s="150"/>
      <c r="Z276" s="27"/>
      <c r="AB276" s="27"/>
      <c r="AC276" s="27"/>
      <c r="AD276" s="27"/>
      <c r="AE276" s="27"/>
      <c r="AF276" s="27"/>
      <c r="AG276" s="27"/>
      <c r="AH276" s="27"/>
      <c r="AI276" s="20"/>
      <c r="AJ276" s="13"/>
      <c r="AK276" s="13"/>
      <c r="AL276" s="13"/>
      <c r="AN276" s="27"/>
      <c r="AO276" s="27"/>
      <c r="AP276" s="27"/>
      <c r="AQ276" s="23"/>
      <c r="AV276" s="27"/>
      <c r="AW276" s="27"/>
      <c r="AX276" s="27"/>
      <c r="AY276" s="28"/>
      <c r="AZ276" s="28"/>
      <c r="BA276" s="20"/>
      <c r="BC276" s="27"/>
      <c r="BD276" s="27"/>
      <c r="BE276" s="27"/>
      <c r="BF276" s="27"/>
      <c r="BH276" s="13"/>
      <c r="BI276" s="13"/>
      <c r="BJ276" s="13"/>
    </row>
    <row r="277" spans="1:62" ht="38.25">
      <c r="A277" s="107" t="s">
        <v>132</v>
      </c>
      <c r="B277" s="108" t="s">
        <v>447</v>
      </c>
      <c r="C277" s="109" t="s">
        <v>796</v>
      </c>
      <c r="D277" s="205" t="s">
        <v>1005</v>
      </c>
      <c r="E277" s="110">
        <f>+E278+E279</f>
        <v>326.6623</v>
      </c>
      <c r="F277" s="132">
        <v>0</v>
      </c>
      <c r="G277" s="139">
        <f>E277*AO277</f>
        <v>0</v>
      </c>
      <c r="H277" s="110">
        <f>E277*AP277</f>
        <v>0</v>
      </c>
      <c r="I277" s="140">
        <f>E277*F277</f>
        <v>0</v>
      </c>
      <c r="J277" s="213">
        <v>0.00085</v>
      </c>
      <c r="K277" s="214">
        <f>E277*J277</f>
        <v>0.277662955</v>
      </c>
      <c r="L277" s="150" t="s">
        <v>1039</v>
      </c>
      <c r="Z277" s="27">
        <f>IF(AQ277="5",BJ277,0)</f>
        <v>0</v>
      </c>
      <c r="AB277" s="27">
        <f>IF(AQ277="1",BH277,0)</f>
        <v>0</v>
      </c>
      <c r="AC277" s="27">
        <f>IF(AQ277="1",BI277,0)</f>
        <v>0</v>
      </c>
      <c r="AD277" s="27">
        <f>IF(AQ277="7",BH277,0)</f>
        <v>0</v>
      </c>
      <c r="AE277" s="27">
        <f>IF(AQ277="7",BI277,0)</f>
        <v>0</v>
      </c>
      <c r="AF277" s="27">
        <f>IF(AQ277="2",BH277,0)</f>
        <v>0</v>
      </c>
      <c r="AG277" s="27">
        <f>IF(AQ277="2",BI277,0)</f>
        <v>0</v>
      </c>
      <c r="AH277" s="27">
        <f>IF(AQ277="0",BJ277,0)</f>
        <v>0</v>
      </c>
      <c r="AI277" s="20"/>
      <c r="AJ277" s="13">
        <f>IF(AN277=0,I277,0)</f>
        <v>0</v>
      </c>
      <c r="AK277" s="13">
        <f>IF(AN277=15,I277,0)</f>
        <v>0</v>
      </c>
      <c r="AL277" s="13">
        <f>IF(AN277=21,I277,0)</f>
        <v>0</v>
      </c>
      <c r="AN277" s="27">
        <v>21</v>
      </c>
      <c r="AO277" s="27">
        <f>F277*0.431925678795623</f>
        <v>0</v>
      </c>
      <c r="AP277" s="27">
        <f>F277*(1-0.431925678795623)</f>
        <v>0</v>
      </c>
      <c r="AQ277" s="23" t="s">
        <v>13</v>
      </c>
      <c r="AV277" s="27">
        <f>AW277+AX277</f>
        <v>0</v>
      </c>
      <c r="AW277" s="27">
        <f>E277*AO277</f>
        <v>0</v>
      </c>
      <c r="AX277" s="27">
        <f>E277*AP277</f>
        <v>0</v>
      </c>
      <c r="AY277" s="28" t="s">
        <v>1074</v>
      </c>
      <c r="AZ277" s="28" t="s">
        <v>1099</v>
      </c>
      <c r="BA277" s="20" t="s">
        <v>1106</v>
      </c>
      <c r="BC277" s="27">
        <f>AW277+AX277</f>
        <v>0</v>
      </c>
      <c r="BD277" s="27">
        <f>F277/(100-BE277)*100</f>
        <v>0</v>
      </c>
      <c r="BE277" s="27">
        <v>0</v>
      </c>
      <c r="BF277" s="27">
        <f>K277</f>
        <v>0.277662955</v>
      </c>
      <c r="BH277" s="13">
        <f>E277*AO277</f>
        <v>0</v>
      </c>
      <c r="BI277" s="13">
        <f>E277*AP277</f>
        <v>0</v>
      </c>
      <c r="BJ277" s="13">
        <f>E277*F277</f>
        <v>0</v>
      </c>
    </row>
    <row r="278" spans="1:62" ht="12.75">
      <c r="A278" s="107"/>
      <c r="B278" s="108"/>
      <c r="C278" s="99" t="s">
        <v>1735</v>
      </c>
      <c r="D278" s="100" t="s">
        <v>1005</v>
      </c>
      <c r="E278" s="101">
        <f>+((77.22+53.45)/2*4.38)</f>
        <v>286.1673</v>
      </c>
      <c r="F278" s="132"/>
      <c r="G278" s="139"/>
      <c r="H278" s="110"/>
      <c r="I278" s="140"/>
      <c r="J278" s="213"/>
      <c r="K278" s="214"/>
      <c r="L278" s="150"/>
      <c r="Z278" s="27"/>
      <c r="AB278" s="27"/>
      <c r="AC278" s="27"/>
      <c r="AD278" s="27"/>
      <c r="AE278" s="27"/>
      <c r="AF278" s="27"/>
      <c r="AG278" s="27"/>
      <c r="AH278" s="27"/>
      <c r="AI278" s="20"/>
      <c r="AJ278" s="13"/>
      <c r="AK278" s="13"/>
      <c r="AL278" s="13"/>
      <c r="AN278" s="27"/>
      <c r="AO278" s="27"/>
      <c r="AP278" s="27"/>
      <c r="AQ278" s="23"/>
      <c r="AV278" s="27"/>
      <c r="AW278" s="27"/>
      <c r="AX278" s="27"/>
      <c r="AY278" s="28"/>
      <c r="AZ278" s="28"/>
      <c r="BA278" s="20"/>
      <c r="BC278" s="27"/>
      <c r="BD278" s="27"/>
      <c r="BE278" s="27"/>
      <c r="BF278" s="27"/>
      <c r="BH278" s="13"/>
      <c r="BI278" s="13"/>
      <c r="BJ278" s="13"/>
    </row>
    <row r="279" spans="1:62" ht="12.75">
      <c r="A279" s="107"/>
      <c r="B279" s="108"/>
      <c r="C279" s="99" t="s">
        <v>1842</v>
      </c>
      <c r="D279" s="100" t="s">
        <v>1005</v>
      </c>
      <c r="E279" s="101">
        <f>80.99*0.5</f>
        <v>40.495</v>
      </c>
      <c r="F279" s="132"/>
      <c r="G279" s="139"/>
      <c r="H279" s="110"/>
      <c r="I279" s="140"/>
      <c r="J279" s="213"/>
      <c r="K279" s="214"/>
      <c r="L279" s="150"/>
      <c r="Z279" s="27"/>
      <c r="AB279" s="27"/>
      <c r="AC279" s="27"/>
      <c r="AD279" s="27"/>
      <c r="AE279" s="27"/>
      <c r="AF279" s="27"/>
      <c r="AG279" s="27"/>
      <c r="AH279" s="27"/>
      <c r="AI279" s="20"/>
      <c r="AJ279" s="13"/>
      <c r="AK279" s="13"/>
      <c r="AL279" s="13"/>
      <c r="AN279" s="27"/>
      <c r="AO279" s="27"/>
      <c r="AP279" s="27"/>
      <c r="AQ279" s="23"/>
      <c r="AV279" s="27"/>
      <c r="AW279" s="27"/>
      <c r="AX279" s="27"/>
      <c r="AY279" s="28"/>
      <c r="AZ279" s="28"/>
      <c r="BA279" s="20"/>
      <c r="BC279" s="27"/>
      <c r="BD279" s="27"/>
      <c r="BE279" s="27"/>
      <c r="BF279" s="27"/>
      <c r="BH279" s="13"/>
      <c r="BI279" s="13"/>
      <c r="BJ279" s="13"/>
    </row>
    <row r="280" spans="1:62" ht="25.5">
      <c r="A280" s="107" t="s">
        <v>133</v>
      </c>
      <c r="B280" s="108" t="s">
        <v>448</v>
      </c>
      <c r="C280" s="109" t="s">
        <v>797</v>
      </c>
      <c r="D280" s="205" t="s">
        <v>1007</v>
      </c>
      <c r="E280" s="110">
        <f>+E281</f>
        <v>1</v>
      </c>
      <c r="F280" s="132">
        <v>0</v>
      </c>
      <c r="G280" s="139">
        <f>E280*AO280</f>
        <v>0</v>
      </c>
      <c r="H280" s="110">
        <f>E280*AP280</f>
        <v>0</v>
      </c>
      <c r="I280" s="140">
        <f>E280*F280</f>
        <v>0</v>
      </c>
      <c r="J280" s="213">
        <v>0</v>
      </c>
      <c r="K280" s="214">
        <f>E280*J280</f>
        <v>0</v>
      </c>
      <c r="L280" s="150"/>
      <c r="Z280" s="27">
        <f>IF(AQ280="5",BJ280,0)</f>
        <v>0</v>
      </c>
      <c r="AB280" s="27">
        <f>IF(AQ280="1",BH280,0)</f>
        <v>0</v>
      </c>
      <c r="AC280" s="27">
        <f>IF(AQ280="1",BI280,0)</f>
        <v>0</v>
      </c>
      <c r="AD280" s="27">
        <f>IF(AQ280="7",BH280,0)</f>
        <v>0</v>
      </c>
      <c r="AE280" s="27">
        <f>IF(AQ280="7",BI280,0)</f>
        <v>0</v>
      </c>
      <c r="AF280" s="27">
        <f>IF(AQ280="2",BH280,0)</f>
        <v>0</v>
      </c>
      <c r="AG280" s="27">
        <f>IF(AQ280="2",BI280,0)</f>
        <v>0</v>
      </c>
      <c r="AH280" s="27">
        <f>IF(AQ280="0",BJ280,0)</f>
        <v>0</v>
      </c>
      <c r="AI280" s="20"/>
      <c r="AJ280" s="13">
        <f>IF(AN280=0,I280,0)</f>
        <v>0</v>
      </c>
      <c r="AK280" s="13">
        <f>IF(AN280=15,I280,0)</f>
        <v>0</v>
      </c>
      <c r="AL280" s="13">
        <f>IF(AN280=21,I280,0)</f>
        <v>0</v>
      </c>
      <c r="AN280" s="27">
        <v>21</v>
      </c>
      <c r="AO280" s="27">
        <f>F280*0</f>
        <v>0</v>
      </c>
      <c r="AP280" s="27">
        <f>F280*(1-0)</f>
        <v>0</v>
      </c>
      <c r="AQ280" s="23" t="s">
        <v>13</v>
      </c>
      <c r="AV280" s="27">
        <f>AW280+AX280</f>
        <v>0</v>
      </c>
      <c r="AW280" s="27">
        <f>E280*AO280</f>
        <v>0</v>
      </c>
      <c r="AX280" s="27">
        <f>E280*AP280</f>
        <v>0</v>
      </c>
      <c r="AY280" s="28" t="s">
        <v>1074</v>
      </c>
      <c r="AZ280" s="28" t="s">
        <v>1099</v>
      </c>
      <c r="BA280" s="20" t="s">
        <v>1106</v>
      </c>
      <c r="BC280" s="27">
        <f>AW280+AX280</f>
        <v>0</v>
      </c>
      <c r="BD280" s="27">
        <f>F280/(100-BE280)*100</f>
        <v>0</v>
      </c>
      <c r="BE280" s="27">
        <v>0</v>
      </c>
      <c r="BF280" s="27">
        <f>K280</f>
        <v>0</v>
      </c>
      <c r="BH280" s="13">
        <f>E280*AO280</f>
        <v>0</v>
      </c>
      <c r="BI280" s="13">
        <f>E280*AP280</f>
        <v>0</v>
      </c>
      <c r="BJ280" s="13">
        <f>E280*F280</f>
        <v>0</v>
      </c>
    </row>
    <row r="281" spans="1:62" ht="12.75">
      <c r="A281" s="107"/>
      <c r="B281" s="108"/>
      <c r="C281" s="99" t="s">
        <v>1736</v>
      </c>
      <c r="D281" s="100" t="s">
        <v>1007</v>
      </c>
      <c r="E281" s="101">
        <v>1</v>
      </c>
      <c r="F281" s="132"/>
      <c r="G281" s="139"/>
      <c r="H281" s="110"/>
      <c r="I281" s="140"/>
      <c r="J281" s="213"/>
      <c r="K281" s="214"/>
      <c r="L281" s="150"/>
      <c r="Z281" s="27"/>
      <c r="AB281" s="27"/>
      <c r="AC281" s="27"/>
      <c r="AD281" s="27"/>
      <c r="AE281" s="27"/>
      <c r="AF281" s="27"/>
      <c r="AG281" s="27"/>
      <c r="AH281" s="27"/>
      <c r="AI281" s="20"/>
      <c r="AJ281" s="13"/>
      <c r="AK281" s="13"/>
      <c r="AL281" s="13"/>
      <c r="AN281" s="27"/>
      <c r="AO281" s="27"/>
      <c r="AP281" s="27"/>
      <c r="AQ281" s="23"/>
      <c r="AV281" s="27"/>
      <c r="AW281" s="27"/>
      <c r="AX281" s="27"/>
      <c r="AY281" s="28"/>
      <c r="AZ281" s="28"/>
      <c r="BA281" s="20"/>
      <c r="BC281" s="27"/>
      <c r="BD281" s="27"/>
      <c r="BE281" s="27"/>
      <c r="BF281" s="27"/>
      <c r="BH281" s="13"/>
      <c r="BI281" s="13"/>
      <c r="BJ281" s="13"/>
    </row>
    <row r="282" spans="1:62" ht="12.75">
      <c r="A282" s="107" t="s">
        <v>134</v>
      </c>
      <c r="B282" s="108" t="s">
        <v>449</v>
      </c>
      <c r="C282" s="109" t="s">
        <v>798</v>
      </c>
      <c r="D282" s="205" t="s">
        <v>1005</v>
      </c>
      <c r="E282" s="110">
        <f>+E283</f>
        <v>9.399999999999999</v>
      </c>
      <c r="F282" s="132">
        <v>0</v>
      </c>
      <c r="G282" s="139">
        <f>E282*AO282</f>
        <v>0</v>
      </c>
      <c r="H282" s="110">
        <f>E282*AP282</f>
        <v>0</v>
      </c>
      <c r="I282" s="140">
        <f>E282*F282</f>
        <v>0</v>
      </c>
      <c r="J282" s="213">
        <v>0</v>
      </c>
      <c r="K282" s="214">
        <f>E282*J282</f>
        <v>0</v>
      </c>
      <c r="L282" s="150" t="s">
        <v>1039</v>
      </c>
      <c r="Z282" s="27">
        <f>IF(AQ282="5",BJ282,0)</f>
        <v>0</v>
      </c>
      <c r="AB282" s="27">
        <f>IF(AQ282="1",BH282,0)</f>
        <v>0</v>
      </c>
      <c r="AC282" s="27">
        <f>IF(AQ282="1",BI282,0)</f>
        <v>0</v>
      </c>
      <c r="AD282" s="27">
        <f>IF(AQ282="7",BH282,0)</f>
        <v>0</v>
      </c>
      <c r="AE282" s="27">
        <f>IF(AQ282="7",BI282,0)</f>
        <v>0</v>
      </c>
      <c r="AF282" s="27">
        <f>IF(AQ282="2",BH282,0)</f>
        <v>0</v>
      </c>
      <c r="AG282" s="27">
        <f>IF(AQ282="2",BI282,0)</f>
        <v>0</v>
      </c>
      <c r="AH282" s="27">
        <f>IF(AQ282="0",BJ282,0)</f>
        <v>0</v>
      </c>
      <c r="AI282" s="20"/>
      <c r="AJ282" s="13">
        <f>IF(AN282=0,I282,0)</f>
        <v>0</v>
      </c>
      <c r="AK282" s="13">
        <f>IF(AN282=15,I282,0)</f>
        <v>0</v>
      </c>
      <c r="AL282" s="13">
        <f>IF(AN282=21,I282,0)</f>
        <v>0</v>
      </c>
      <c r="AN282" s="27">
        <v>21</v>
      </c>
      <c r="AO282" s="27">
        <f>F282*0</f>
        <v>0</v>
      </c>
      <c r="AP282" s="27">
        <f>F282*(1-0)</f>
        <v>0</v>
      </c>
      <c r="AQ282" s="23" t="s">
        <v>13</v>
      </c>
      <c r="AV282" s="27">
        <f>AW282+AX282</f>
        <v>0</v>
      </c>
      <c r="AW282" s="27">
        <f>E282*AO282</f>
        <v>0</v>
      </c>
      <c r="AX282" s="27">
        <f>E282*AP282</f>
        <v>0</v>
      </c>
      <c r="AY282" s="28" t="s">
        <v>1074</v>
      </c>
      <c r="AZ282" s="28" t="s">
        <v>1099</v>
      </c>
      <c r="BA282" s="20" t="s">
        <v>1106</v>
      </c>
      <c r="BC282" s="27">
        <f>AW282+AX282</f>
        <v>0</v>
      </c>
      <c r="BD282" s="27">
        <f>F282/(100-BE282)*100</f>
        <v>0</v>
      </c>
      <c r="BE282" s="27">
        <v>0</v>
      </c>
      <c r="BF282" s="27">
        <f>K282</f>
        <v>0</v>
      </c>
      <c r="BH282" s="13">
        <f>E282*AO282</f>
        <v>0</v>
      </c>
      <c r="BI282" s="13">
        <f>E282*AP282</f>
        <v>0</v>
      </c>
      <c r="BJ282" s="13">
        <f>E282*F282</f>
        <v>0</v>
      </c>
    </row>
    <row r="283" spans="1:62" ht="12.75">
      <c r="A283" s="107"/>
      <c r="B283" s="108"/>
      <c r="C283" s="99" t="s">
        <v>1737</v>
      </c>
      <c r="D283" s="100" t="s">
        <v>1005</v>
      </c>
      <c r="E283" s="101">
        <f>+(2.3+2.4)*2</f>
        <v>9.399999999999999</v>
      </c>
      <c r="F283" s="132"/>
      <c r="G283" s="139"/>
      <c r="H283" s="110"/>
      <c r="I283" s="140"/>
      <c r="J283" s="213"/>
      <c r="K283" s="214"/>
      <c r="L283" s="150"/>
      <c r="Z283" s="27"/>
      <c r="AB283" s="27"/>
      <c r="AC283" s="27"/>
      <c r="AD283" s="27"/>
      <c r="AE283" s="27"/>
      <c r="AF283" s="27"/>
      <c r="AG283" s="27"/>
      <c r="AH283" s="27"/>
      <c r="AI283" s="20"/>
      <c r="AJ283" s="13"/>
      <c r="AK283" s="13"/>
      <c r="AL283" s="13"/>
      <c r="AN283" s="27"/>
      <c r="AO283" s="27"/>
      <c r="AP283" s="27"/>
      <c r="AQ283" s="23"/>
      <c r="AV283" s="27"/>
      <c r="AW283" s="27"/>
      <c r="AX283" s="27"/>
      <c r="AY283" s="28"/>
      <c r="AZ283" s="28"/>
      <c r="BA283" s="20"/>
      <c r="BC283" s="27"/>
      <c r="BD283" s="27"/>
      <c r="BE283" s="27"/>
      <c r="BF283" s="27"/>
      <c r="BH283" s="13"/>
      <c r="BI283" s="13"/>
      <c r="BJ283" s="13"/>
    </row>
    <row r="284" spans="1:47" ht="12.75">
      <c r="A284" s="111"/>
      <c r="B284" s="112" t="s">
        <v>450</v>
      </c>
      <c r="C284" s="113" t="s">
        <v>799</v>
      </c>
      <c r="D284" s="206" t="s">
        <v>6</v>
      </c>
      <c r="E284" s="114" t="s">
        <v>6</v>
      </c>
      <c r="F284" s="133" t="s">
        <v>6</v>
      </c>
      <c r="G284" s="141">
        <f>SUM(G285:G285)</f>
        <v>0</v>
      </c>
      <c r="H284" s="115">
        <f>SUM(H285:H285)</f>
        <v>0</v>
      </c>
      <c r="I284" s="142">
        <f>SUM(I285:I285)</f>
        <v>0</v>
      </c>
      <c r="J284" s="215"/>
      <c r="K284" s="216">
        <f>SUM(K285:K285)</f>
        <v>0</v>
      </c>
      <c r="L284" s="151"/>
      <c r="AI284" s="20"/>
      <c r="AS284" s="29">
        <f>SUM(AJ285:AJ285)</f>
        <v>0</v>
      </c>
      <c r="AT284" s="29">
        <f>SUM(AK285:AK285)</f>
        <v>0</v>
      </c>
      <c r="AU284" s="29">
        <f>SUM(AL285:AL285)</f>
        <v>0</v>
      </c>
    </row>
    <row r="285" spans="1:62" ht="12.75">
      <c r="A285" s="107" t="s">
        <v>135</v>
      </c>
      <c r="B285" s="108" t="s">
        <v>451</v>
      </c>
      <c r="C285" s="109" t="s">
        <v>800</v>
      </c>
      <c r="D285" s="205" t="s">
        <v>1007</v>
      </c>
      <c r="E285" s="110">
        <v>16</v>
      </c>
      <c r="F285" s="132">
        <v>0</v>
      </c>
      <c r="G285" s="139">
        <f>E285*AO285</f>
        <v>0</v>
      </c>
      <c r="H285" s="110">
        <f>E285*AP285</f>
        <v>0</v>
      </c>
      <c r="I285" s="140">
        <f>E285*F285</f>
        <v>0</v>
      </c>
      <c r="J285" s="213">
        <v>0</v>
      </c>
      <c r="K285" s="214">
        <f>E285*J285</f>
        <v>0</v>
      </c>
      <c r="L285" s="150" t="s">
        <v>1039</v>
      </c>
      <c r="Z285" s="27">
        <f>IF(AQ285="5",BJ285,0)</f>
        <v>0</v>
      </c>
      <c r="AB285" s="27">
        <f>IF(AQ285="1",BH285,0)</f>
        <v>0</v>
      </c>
      <c r="AC285" s="27">
        <f>IF(AQ285="1",BI285,0)</f>
        <v>0</v>
      </c>
      <c r="AD285" s="27">
        <f>IF(AQ285="7",BH285,0)</f>
        <v>0</v>
      </c>
      <c r="AE285" s="27">
        <f>IF(AQ285="7",BI285,0)</f>
        <v>0</v>
      </c>
      <c r="AF285" s="27">
        <f>IF(AQ285="2",BH285,0)</f>
        <v>0</v>
      </c>
      <c r="AG285" s="27">
        <f>IF(AQ285="2",BI285,0)</f>
        <v>0</v>
      </c>
      <c r="AH285" s="27">
        <f>IF(AQ285="0",BJ285,0)</f>
        <v>0</v>
      </c>
      <c r="AI285" s="20"/>
      <c r="AJ285" s="13">
        <f>IF(AN285=0,I285,0)</f>
        <v>0</v>
      </c>
      <c r="AK285" s="13">
        <f>IF(AN285=15,I285,0)</f>
        <v>0</v>
      </c>
      <c r="AL285" s="13">
        <f>IF(AN285=21,I285,0)</f>
        <v>0</v>
      </c>
      <c r="AN285" s="27">
        <v>21</v>
      </c>
      <c r="AO285" s="27">
        <f>F285*0</f>
        <v>0</v>
      </c>
      <c r="AP285" s="27">
        <f>F285*(1-0)</f>
        <v>0</v>
      </c>
      <c r="AQ285" s="23" t="s">
        <v>13</v>
      </c>
      <c r="AV285" s="27">
        <f>AW285+AX285</f>
        <v>0</v>
      </c>
      <c r="AW285" s="27">
        <f>E285*AO285</f>
        <v>0</v>
      </c>
      <c r="AX285" s="27">
        <f>E285*AP285</f>
        <v>0</v>
      </c>
      <c r="AY285" s="28" t="s">
        <v>1075</v>
      </c>
      <c r="AZ285" s="28" t="s">
        <v>1100</v>
      </c>
      <c r="BA285" s="20" t="s">
        <v>1106</v>
      </c>
      <c r="BC285" s="27">
        <f>AW285+AX285</f>
        <v>0</v>
      </c>
      <c r="BD285" s="27">
        <f>F285/(100-BE285)*100</f>
        <v>0</v>
      </c>
      <c r="BE285" s="27">
        <v>0</v>
      </c>
      <c r="BF285" s="27">
        <f>K285</f>
        <v>0</v>
      </c>
      <c r="BH285" s="13">
        <f>E285*AO285</f>
        <v>0</v>
      </c>
      <c r="BI285" s="13">
        <f>E285*AP285</f>
        <v>0</v>
      </c>
      <c r="BJ285" s="13">
        <f>E285*F285</f>
        <v>0</v>
      </c>
    </row>
    <row r="286" spans="1:62" ht="12.75">
      <c r="A286" s="107"/>
      <c r="B286" s="108"/>
      <c r="C286" s="99" t="s">
        <v>1738</v>
      </c>
      <c r="D286" s="205"/>
      <c r="E286" s="110"/>
      <c r="F286" s="132"/>
      <c r="G286" s="139"/>
      <c r="H286" s="110"/>
      <c r="I286" s="140"/>
      <c r="J286" s="213"/>
      <c r="K286" s="214"/>
      <c r="L286" s="150"/>
      <c r="Z286" s="27"/>
      <c r="AB286" s="27"/>
      <c r="AC286" s="27"/>
      <c r="AD286" s="27"/>
      <c r="AE286" s="27"/>
      <c r="AF286" s="27"/>
      <c r="AG286" s="27"/>
      <c r="AH286" s="27"/>
      <c r="AI286" s="20"/>
      <c r="AJ286" s="13"/>
      <c r="AK286" s="13"/>
      <c r="AL286" s="13"/>
      <c r="AN286" s="27"/>
      <c r="AO286" s="27"/>
      <c r="AP286" s="27"/>
      <c r="AQ286" s="23"/>
      <c r="AV286" s="27"/>
      <c r="AW286" s="27"/>
      <c r="AX286" s="27"/>
      <c r="AY286" s="28"/>
      <c r="AZ286" s="28"/>
      <c r="BA286" s="20"/>
      <c r="BC286" s="27"/>
      <c r="BD286" s="27"/>
      <c r="BE286" s="27"/>
      <c r="BF286" s="27"/>
      <c r="BH286" s="13"/>
      <c r="BI286" s="13"/>
      <c r="BJ286" s="13"/>
    </row>
    <row r="287" spans="1:47" ht="12.75">
      <c r="A287" s="111"/>
      <c r="B287" s="112" t="s">
        <v>452</v>
      </c>
      <c r="C287" s="113" t="s">
        <v>801</v>
      </c>
      <c r="D287" s="206" t="s">
        <v>6</v>
      </c>
      <c r="E287" s="114" t="s">
        <v>6</v>
      </c>
      <c r="F287" s="133" t="s">
        <v>6</v>
      </c>
      <c r="G287" s="141">
        <f>SUM(G288:G288)</f>
        <v>0</v>
      </c>
      <c r="H287" s="115">
        <f>SUM(H288:H288)</f>
        <v>0</v>
      </c>
      <c r="I287" s="142">
        <f>SUM(I288:I288)</f>
        <v>0</v>
      </c>
      <c r="J287" s="215"/>
      <c r="K287" s="216">
        <f>SUM(K288:K288)</f>
        <v>0.02706</v>
      </c>
      <c r="L287" s="151"/>
      <c r="AI287" s="20"/>
      <c r="AS287" s="29">
        <f>SUM(AJ288:AJ288)</f>
        <v>0</v>
      </c>
      <c r="AT287" s="29">
        <f>SUM(AK288:AK288)</f>
        <v>0</v>
      </c>
      <c r="AU287" s="29">
        <f>SUM(AL288:AL288)</f>
        <v>0</v>
      </c>
    </row>
    <row r="288" spans="1:62" ht="12.75">
      <c r="A288" s="107" t="s">
        <v>136</v>
      </c>
      <c r="B288" s="108" t="s">
        <v>453</v>
      </c>
      <c r="C288" s="109" t="s">
        <v>802</v>
      </c>
      <c r="D288" s="205" t="s">
        <v>1015</v>
      </c>
      <c r="E288" s="110">
        <v>1</v>
      </c>
      <c r="F288" s="132">
        <v>0</v>
      </c>
      <c r="G288" s="139">
        <f>E288*AO288</f>
        <v>0</v>
      </c>
      <c r="H288" s="110">
        <f>E288*AP288</f>
        <v>0</v>
      </c>
      <c r="I288" s="140">
        <f>E288*F288</f>
        <v>0</v>
      </c>
      <c r="J288" s="213">
        <v>0.02706</v>
      </c>
      <c r="K288" s="214">
        <f>E288*J288</f>
        <v>0.02706</v>
      </c>
      <c r="L288" s="150" t="s">
        <v>1039</v>
      </c>
      <c r="Z288" s="27">
        <f>IF(AQ288="5",BJ288,0)</f>
        <v>0</v>
      </c>
      <c r="AB288" s="27">
        <f>IF(AQ288="1",BH288,0)</f>
        <v>0</v>
      </c>
      <c r="AC288" s="27">
        <f>IF(AQ288="1",BI288,0)</f>
        <v>0</v>
      </c>
      <c r="AD288" s="27">
        <f>IF(AQ288="7",BH288,0)</f>
        <v>0</v>
      </c>
      <c r="AE288" s="27">
        <f>IF(AQ288="7",BI288,0)</f>
        <v>0</v>
      </c>
      <c r="AF288" s="27">
        <f>IF(AQ288="2",BH288,0)</f>
        <v>0</v>
      </c>
      <c r="AG288" s="27">
        <f>IF(AQ288="2",BI288,0)</f>
        <v>0</v>
      </c>
      <c r="AH288" s="27">
        <f>IF(AQ288="0",BJ288,0)</f>
        <v>0</v>
      </c>
      <c r="AI288" s="20"/>
      <c r="AJ288" s="13">
        <f>IF(AN288=0,I288,0)</f>
        <v>0</v>
      </c>
      <c r="AK288" s="13">
        <f>IF(AN288=15,I288,0)</f>
        <v>0</v>
      </c>
      <c r="AL288" s="13">
        <f>IF(AN288=21,I288,0)</f>
        <v>0</v>
      </c>
      <c r="AN288" s="27">
        <v>21</v>
      </c>
      <c r="AO288" s="27">
        <f>F288*0.0514599686028257</f>
        <v>0</v>
      </c>
      <c r="AP288" s="27">
        <f>F288*(1-0.0514599686028257)</f>
        <v>0</v>
      </c>
      <c r="AQ288" s="23" t="s">
        <v>13</v>
      </c>
      <c r="AV288" s="27">
        <f>AW288+AX288</f>
        <v>0</v>
      </c>
      <c r="AW288" s="27">
        <f>E288*AO288</f>
        <v>0</v>
      </c>
      <c r="AX288" s="27">
        <f>E288*AP288</f>
        <v>0</v>
      </c>
      <c r="AY288" s="28" t="s">
        <v>1076</v>
      </c>
      <c r="AZ288" s="28" t="s">
        <v>1101</v>
      </c>
      <c r="BA288" s="20" t="s">
        <v>1106</v>
      </c>
      <c r="BC288" s="27">
        <f>AW288+AX288</f>
        <v>0</v>
      </c>
      <c r="BD288" s="27">
        <f>F288/(100-BE288)*100</f>
        <v>0</v>
      </c>
      <c r="BE288" s="27">
        <v>0</v>
      </c>
      <c r="BF288" s="27">
        <f>K288</f>
        <v>0.02706</v>
      </c>
      <c r="BH288" s="13">
        <f>E288*AO288</f>
        <v>0</v>
      </c>
      <c r="BI288" s="13">
        <f>E288*AP288</f>
        <v>0</v>
      </c>
      <c r="BJ288" s="13">
        <f>E288*F288</f>
        <v>0</v>
      </c>
    </row>
    <row r="289" spans="1:62" ht="12.75">
      <c r="A289" s="107"/>
      <c r="B289" s="108"/>
      <c r="C289" s="99" t="s">
        <v>1739</v>
      </c>
      <c r="D289" s="205"/>
      <c r="E289" s="110"/>
      <c r="F289" s="132"/>
      <c r="G289" s="139"/>
      <c r="H289" s="110"/>
      <c r="I289" s="140"/>
      <c r="J289" s="213"/>
      <c r="K289" s="214"/>
      <c r="L289" s="150"/>
      <c r="Z289" s="27"/>
      <c r="AB289" s="27"/>
      <c r="AC289" s="27"/>
      <c r="AD289" s="27"/>
      <c r="AE289" s="27"/>
      <c r="AF289" s="27"/>
      <c r="AG289" s="27"/>
      <c r="AH289" s="27"/>
      <c r="AI289" s="20"/>
      <c r="AJ289" s="13"/>
      <c r="AK289" s="13"/>
      <c r="AL289" s="13"/>
      <c r="AN289" s="27"/>
      <c r="AO289" s="27"/>
      <c r="AP289" s="27"/>
      <c r="AQ289" s="23"/>
      <c r="AV289" s="27"/>
      <c r="AW289" s="27"/>
      <c r="AX289" s="27"/>
      <c r="AY289" s="28"/>
      <c r="AZ289" s="28"/>
      <c r="BA289" s="20"/>
      <c r="BC289" s="27"/>
      <c r="BD289" s="27"/>
      <c r="BE289" s="27"/>
      <c r="BF289" s="27"/>
      <c r="BH289" s="13"/>
      <c r="BI289" s="13"/>
      <c r="BJ289" s="13"/>
    </row>
    <row r="290" spans="1:47" ht="12.75">
      <c r="A290" s="111"/>
      <c r="B290" s="112" t="s">
        <v>454</v>
      </c>
      <c r="C290" s="113" t="s">
        <v>803</v>
      </c>
      <c r="D290" s="206" t="s">
        <v>6</v>
      </c>
      <c r="E290" s="114" t="s">
        <v>6</v>
      </c>
      <c r="F290" s="133" t="s">
        <v>6</v>
      </c>
      <c r="G290" s="141">
        <f>SUM(G291:G293)</f>
        <v>0</v>
      </c>
      <c r="H290" s="115">
        <f>SUM(H291:H293)</f>
        <v>0</v>
      </c>
      <c r="I290" s="142">
        <f>SUM(I291:I293)</f>
        <v>0</v>
      </c>
      <c r="J290" s="215"/>
      <c r="K290" s="216">
        <f>SUM(K291:K293)</f>
        <v>0.665274</v>
      </c>
      <c r="L290" s="151"/>
      <c r="AI290" s="20"/>
      <c r="AS290" s="29">
        <f>SUM(AJ291:AJ293)</f>
        <v>0</v>
      </c>
      <c r="AT290" s="29">
        <f>SUM(AK291:AK293)</f>
        <v>0</v>
      </c>
      <c r="AU290" s="29">
        <f>SUM(AL291:AL293)</f>
        <v>0</v>
      </c>
    </row>
    <row r="291" spans="1:62" ht="12.75">
      <c r="A291" s="107" t="s">
        <v>137</v>
      </c>
      <c r="B291" s="108" t="s">
        <v>455</v>
      </c>
      <c r="C291" s="109" t="s">
        <v>804</v>
      </c>
      <c r="D291" s="205" t="s">
        <v>1008</v>
      </c>
      <c r="E291" s="110">
        <v>2.6</v>
      </c>
      <c r="F291" s="132">
        <v>0</v>
      </c>
      <c r="G291" s="139">
        <f>E291*AO291</f>
        <v>0</v>
      </c>
      <c r="H291" s="110">
        <f>E291*AP291</f>
        <v>0</v>
      </c>
      <c r="I291" s="140">
        <f>E291*F291</f>
        <v>0</v>
      </c>
      <c r="J291" s="213">
        <v>0.08049</v>
      </c>
      <c r="K291" s="214">
        <f>E291*J291</f>
        <v>0.20927400000000002</v>
      </c>
      <c r="L291" s="150" t="s">
        <v>1039</v>
      </c>
      <c r="Z291" s="27">
        <f>IF(AQ291="5",BJ291,0)</f>
        <v>0</v>
      </c>
      <c r="AB291" s="27">
        <f>IF(AQ291="1",BH291,0)</f>
        <v>0</v>
      </c>
      <c r="AC291" s="27">
        <f>IF(AQ291="1",BI291,0)</f>
        <v>0</v>
      </c>
      <c r="AD291" s="27">
        <f>IF(AQ291="7",BH291,0)</f>
        <v>0</v>
      </c>
      <c r="AE291" s="27">
        <f>IF(AQ291="7",BI291,0)</f>
        <v>0</v>
      </c>
      <c r="AF291" s="27">
        <f>IF(AQ291="2",BH291,0)</f>
        <v>0</v>
      </c>
      <c r="AG291" s="27">
        <f>IF(AQ291="2",BI291,0)</f>
        <v>0</v>
      </c>
      <c r="AH291" s="27">
        <f>IF(AQ291="0",BJ291,0)</f>
        <v>0</v>
      </c>
      <c r="AI291" s="20"/>
      <c r="AJ291" s="13">
        <f>IF(AN291=0,I291,0)</f>
        <v>0</v>
      </c>
      <c r="AK291" s="13">
        <f>IF(AN291=15,I291,0)</f>
        <v>0</v>
      </c>
      <c r="AL291" s="13">
        <f>IF(AN291=21,I291,0)</f>
        <v>0</v>
      </c>
      <c r="AN291" s="27">
        <v>21</v>
      </c>
      <c r="AO291" s="27">
        <f>F291*0.820078037904125</f>
        <v>0</v>
      </c>
      <c r="AP291" s="27">
        <f>F291*(1-0.820078037904125)</f>
        <v>0</v>
      </c>
      <c r="AQ291" s="23" t="s">
        <v>13</v>
      </c>
      <c r="AV291" s="27">
        <f>AW291+AX291</f>
        <v>0</v>
      </c>
      <c r="AW291" s="27">
        <f>E291*AO291</f>
        <v>0</v>
      </c>
      <c r="AX291" s="27">
        <f>E291*AP291</f>
        <v>0</v>
      </c>
      <c r="AY291" s="28" t="s">
        <v>1077</v>
      </c>
      <c r="AZ291" s="28" t="s">
        <v>1101</v>
      </c>
      <c r="BA291" s="20" t="s">
        <v>1106</v>
      </c>
      <c r="BC291" s="27">
        <f>AW291+AX291</f>
        <v>0</v>
      </c>
      <c r="BD291" s="27">
        <f>F291/(100-BE291)*100</f>
        <v>0</v>
      </c>
      <c r="BE291" s="27">
        <v>0</v>
      </c>
      <c r="BF291" s="27">
        <f>K291</f>
        <v>0.20927400000000002</v>
      </c>
      <c r="BH291" s="13">
        <f>E291*AO291</f>
        <v>0</v>
      </c>
      <c r="BI291" s="13">
        <f>E291*AP291</f>
        <v>0</v>
      </c>
      <c r="BJ291" s="13">
        <f>E291*F291</f>
        <v>0</v>
      </c>
    </row>
    <row r="292" spans="1:62" ht="12.75">
      <c r="A292" s="107"/>
      <c r="B292" s="108"/>
      <c r="C292" s="99" t="s">
        <v>1740</v>
      </c>
      <c r="D292" s="205"/>
      <c r="E292" s="110"/>
      <c r="F292" s="132"/>
      <c r="G292" s="139"/>
      <c r="H292" s="110"/>
      <c r="I292" s="140"/>
      <c r="J292" s="213"/>
      <c r="K292" s="214"/>
      <c r="L292" s="150"/>
      <c r="Z292" s="27"/>
      <c r="AB292" s="27"/>
      <c r="AC292" s="27"/>
      <c r="AD292" s="27"/>
      <c r="AE292" s="27"/>
      <c r="AF292" s="27"/>
      <c r="AG292" s="27"/>
      <c r="AH292" s="27"/>
      <c r="AI292" s="20"/>
      <c r="AJ292" s="13"/>
      <c r="AK292" s="13"/>
      <c r="AL292" s="13"/>
      <c r="AN292" s="27"/>
      <c r="AO292" s="27"/>
      <c r="AP292" s="27"/>
      <c r="AQ292" s="23"/>
      <c r="AV292" s="27"/>
      <c r="AW292" s="27"/>
      <c r="AX292" s="27"/>
      <c r="AY292" s="28"/>
      <c r="AZ292" s="28"/>
      <c r="BA292" s="20"/>
      <c r="BC292" s="27"/>
      <c r="BD292" s="27"/>
      <c r="BE292" s="27"/>
      <c r="BF292" s="27"/>
      <c r="BH292" s="13"/>
      <c r="BI292" s="13"/>
      <c r="BJ292" s="13"/>
    </row>
    <row r="293" spans="1:62" ht="12.75">
      <c r="A293" s="107" t="s">
        <v>138</v>
      </c>
      <c r="B293" s="108" t="s">
        <v>456</v>
      </c>
      <c r="C293" s="109" t="s">
        <v>805</v>
      </c>
      <c r="D293" s="205" t="s">
        <v>1008</v>
      </c>
      <c r="E293" s="110">
        <v>2</v>
      </c>
      <c r="F293" s="132">
        <v>0</v>
      </c>
      <c r="G293" s="139">
        <f>E293*AO293</f>
        <v>0</v>
      </c>
      <c r="H293" s="110">
        <f>E293*AP293</f>
        <v>0</v>
      </c>
      <c r="I293" s="140">
        <f>E293*F293</f>
        <v>0</v>
      </c>
      <c r="J293" s="213">
        <v>0.228</v>
      </c>
      <c r="K293" s="214">
        <f>E293*J293</f>
        <v>0.456</v>
      </c>
      <c r="L293" s="150"/>
      <c r="Z293" s="27">
        <f>IF(AQ293="5",BJ293,0)</f>
        <v>0</v>
      </c>
      <c r="AB293" s="27">
        <f>IF(AQ293="1",BH293,0)</f>
        <v>0</v>
      </c>
      <c r="AC293" s="27">
        <f>IF(AQ293="1",BI293,0)</f>
        <v>0</v>
      </c>
      <c r="AD293" s="27">
        <f>IF(AQ293="7",BH293,0)</f>
        <v>0</v>
      </c>
      <c r="AE293" s="27">
        <f>IF(AQ293="7",BI293,0)</f>
        <v>0</v>
      </c>
      <c r="AF293" s="27">
        <f>IF(AQ293="2",BH293,0)</f>
        <v>0</v>
      </c>
      <c r="AG293" s="27">
        <f>IF(AQ293="2",BI293,0)</f>
        <v>0</v>
      </c>
      <c r="AH293" s="27">
        <f>IF(AQ293="0",BJ293,0)</f>
        <v>0</v>
      </c>
      <c r="AI293" s="20"/>
      <c r="AJ293" s="13">
        <f>IF(AN293=0,I293,0)</f>
        <v>0</v>
      </c>
      <c r="AK293" s="13">
        <f>IF(AN293=15,I293,0)</f>
        <v>0</v>
      </c>
      <c r="AL293" s="13">
        <f>IF(AN293=21,I293,0)</f>
        <v>0</v>
      </c>
      <c r="AN293" s="27">
        <v>21</v>
      </c>
      <c r="AO293" s="27">
        <f>F293*0</f>
        <v>0</v>
      </c>
      <c r="AP293" s="27">
        <f>F293*(1-0)</f>
        <v>0</v>
      </c>
      <c r="AQ293" s="23" t="s">
        <v>13</v>
      </c>
      <c r="AV293" s="27">
        <f>AW293+AX293</f>
        <v>0</v>
      </c>
      <c r="AW293" s="27">
        <f>E293*AO293</f>
        <v>0</v>
      </c>
      <c r="AX293" s="27">
        <f>E293*AP293</f>
        <v>0</v>
      </c>
      <c r="AY293" s="28" t="s">
        <v>1077</v>
      </c>
      <c r="AZ293" s="28" t="s">
        <v>1101</v>
      </c>
      <c r="BA293" s="20" t="s">
        <v>1106</v>
      </c>
      <c r="BC293" s="27">
        <f>AW293+AX293</f>
        <v>0</v>
      </c>
      <c r="BD293" s="27">
        <f>F293/(100-BE293)*100</f>
        <v>0</v>
      </c>
      <c r="BE293" s="27">
        <v>0</v>
      </c>
      <c r="BF293" s="27">
        <f>K293</f>
        <v>0.456</v>
      </c>
      <c r="BH293" s="13">
        <f>E293*AO293</f>
        <v>0</v>
      </c>
      <c r="BI293" s="13">
        <f>E293*AP293</f>
        <v>0</v>
      </c>
      <c r="BJ293" s="13">
        <f>E293*F293</f>
        <v>0</v>
      </c>
    </row>
    <row r="294" spans="1:62" ht="12.75">
      <c r="A294" s="107"/>
      <c r="B294" s="108"/>
      <c r="C294" s="99" t="s">
        <v>1741</v>
      </c>
      <c r="D294" s="205"/>
      <c r="E294" s="110"/>
      <c r="F294" s="132"/>
      <c r="G294" s="139"/>
      <c r="H294" s="110"/>
      <c r="I294" s="140"/>
      <c r="J294" s="213"/>
      <c r="K294" s="214"/>
      <c r="L294" s="150"/>
      <c r="Z294" s="27"/>
      <c r="AB294" s="27"/>
      <c r="AC294" s="27"/>
      <c r="AD294" s="27"/>
      <c r="AE294" s="27"/>
      <c r="AF294" s="27"/>
      <c r="AG294" s="27"/>
      <c r="AH294" s="27"/>
      <c r="AI294" s="20"/>
      <c r="AJ294" s="13"/>
      <c r="AK294" s="13"/>
      <c r="AL294" s="13"/>
      <c r="AN294" s="27"/>
      <c r="AO294" s="27"/>
      <c r="AP294" s="27"/>
      <c r="AQ294" s="23"/>
      <c r="AV294" s="27"/>
      <c r="AW294" s="27"/>
      <c r="AX294" s="27"/>
      <c r="AY294" s="28"/>
      <c r="AZ294" s="28"/>
      <c r="BA294" s="20"/>
      <c r="BC294" s="27"/>
      <c r="BD294" s="27"/>
      <c r="BE294" s="27"/>
      <c r="BF294" s="27"/>
      <c r="BH294" s="13"/>
      <c r="BI294" s="13"/>
      <c r="BJ294" s="13"/>
    </row>
    <row r="295" spans="1:47" ht="12.75">
      <c r="A295" s="111"/>
      <c r="B295" s="112" t="s">
        <v>457</v>
      </c>
      <c r="C295" s="113" t="s">
        <v>806</v>
      </c>
      <c r="D295" s="206" t="s">
        <v>6</v>
      </c>
      <c r="E295" s="114" t="s">
        <v>6</v>
      </c>
      <c r="F295" s="133" t="s">
        <v>6</v>
      </c>
      <c r="G295" s="141">
        <f>SUM(G296:G296)</f>
        <v>0</v>
      </c>
      <c r="H295" s="115">
        <f>SUM(H296:H296)</f>
        <v>0</v>
      </c>
      <c r="I295" s="142">
        <f>SUM(I296:I296)</f>
        <v>0</v>
      </c>
      <c r="J295" s="215"/>
      <c r="K295" s="216">
        <f>SUM(K296:K296)</f>
        <v>0.23202</v>
      </c>
      <c r="L295" s="151"/>
      <c r="AI295" s="20"/>
      <c r="AS295" s="29">
        <f>SUM(AJ296:AJ296)</f>
        <v>0</v>
      </c>
      <c r="AT295" s="29">
        <f>SUM(AK296:AK296)</f>
        <v>0</v>
      </c>
      <c r="AU295" s="29">
        <f>SUM(AL296:AL296)</f>
        <v>0</v>
      </c>
    </row>
    <row r="296" spans="1:62" ht="12.75">
      <c r="A296" s="107" t="s">
        <v>139</v>
      </c>
      <c r="B296" s="108" t="s">
        <v>458</v>
      </c>
      <c r="C296" s="109" t="s">
        <v>807</v>
      </c>
      <c r="D296" s="205" t="s">
        <v>1007</v>
      </c>
      <c r="E296" s="110">
        <v>1</v>
      </c>
      <c r="F296" s="132">
        <v>0</v>
      </c>
      <c r="G296" s="139">
        <f>E296*AO296</f>
        <v>0</v>
      </c>
      <c r="H296" s="110">
        <f>E296*AP296</f>
        <v>0</v>
      </c>
      <c r="I296" s="140">
        <f>E296*F296</f>
        <v>0</v>
      </c>
      <c r="J296" s="213">
        <v>0.23202</v>
      </c>
      <c r="K296" s="214">
        <f>E296*J296</f>
        <v>0.23202</v>
      </c>
      <c r="L296" s="150" t="s">
        <v>1039</v>
      </c>
      <c r="Z296" s="27">
        <f>IF(AQ296="5",BJ296,0)</f>
        <v>0</v>
      </c>
      <c r="AB296" s="27">
        <f>IF(AQ296="1",BH296,0)</f>
        <v>0</v>
      </c>
      <c r="AC296" s="27">
        <f>IF(AQ296="1",BI296,0)</f>
        <v>0</v>
      </c>
      <c r="AD296" s="27">
        <f>IF(AQ296="7",BH296,0)</f>
        <v>0</v>
      </c>
      <c r="AE296" s="27">
        <f>IF(AQ296="7",BI296,0)</f>
        <v>0</v>
      </c>
      <c r="AF296" s="27">
        <f>IF(AQ296="2",BH296,0)</f>
        <v>0</v>
      </c>
      <c r="AG296" s="27">
        <f>IF(AQ296="2",BI296,0)</f>
        <v>0</v>
      </c>
      <c r="AH296" s="27">
        <f>IF(AQ296="0",BJ296,0)</f>
        <v>0</v>
      </c>
      <c r="AI296" s="20"/>
      <c r="AJ296" s="13">
        <f>IF(AN296=0,I296,0)</f>
        <v>0</v>
      </c>
      <c r="AK296" s="13">
        <f>IF(AN296=15,I296,0)</f>
        <v>0</v>
      </c>
      <c r="AL296" s="13">
        <f>IF(AN296=21,I296,0)</f>
        <v>0</v>
      </c>
      <c r="AN296" s="27">
        <v>21</v>
      </c>
      <c r="AO296" s="27">
        <f>F296*0.000815703808883619</f>
        <v>0</v>
      </c>
      <c r="AP296" s="27">
        <f>F296*(1-0.000815703808883619)</f>
        <v>0</v>
      </c>
      <c r="AQ296" s="23" t="s">
        <v>13</v>
      </c>
      <c r="AV296" s="27">
        <f>AW296+AX296</f>
        <v>0</v>
      </c>
      <c r="AW296" s="27">
        <f>E296*AO296</f>
        <v>0</v>
      </c>
      <c r="AX296" s="27">
        <f>E296*AP296</f>
        <v>0</v>
      </c>
      <c r="AY296" s="28" t="s">
        <v>1078</v>
      </c>
      <c r="AZ296" s="28" t="s">
        <v>1101</v>
      </c>
      <c r="BA296" s="20" t="s">
        <v>1106</v>
      </c>
      <c r="BC296" s="27">
        <f>AW296+AX296</f>
        <v>0</v>
      </c>
      <c r="BD296" s="27">
        <f>F296/(100-BE296)*100</f>
        <v>0</v>
      </c>
      <c r="BE296" s="27">
        <v>0</v>
      </c>
      <c r="BF296" s="27">
        <f>K296</f>
        <v>0.23202</v>
      </c>
      <c r="BH296" s="13">
        <f>E296*AO296</f>
        <v>0</v>
      </c>
      <c r="BI296" s="13">
        <f>E296*AP296</f>
        <v>0</v>
      </c>
      <c r="BJ296" s="13">
        <f>E296*F296</f>
        <v>0</v>
      </c>
    </row>
    <row r="297" spans="1:62" ht="12.75">
      <c r="A297" s="107"/>
      <c r="B297" s="108"/>
      <c r="C297" s="99" t="s">
        <v>1738</v>
      </c>
      <c r="D297" s="205"/>
      <c r="E297" s="110"/>
      <c r="F297" s="132"/>
      <c r="G297" s="139"/>
      <c r="H297" s="110"/>
      <c r="I297" s="140"/>
      <c r="J297" s="213"/>
      <c r="K297" s="214"/>
      <c r="L297" s="150"/>
      <c r="Z297" s="27"/>
      <c r="AB297" s="27"/>
      <c r="AC297" s="27"/>
      <c r="AD297" s="27"/>
      <c r="AE297" s="27"/>
      <c r="AF297" s="27"/>
      <c r="AG297" s="27"/>
      <c r="AH297" s="27"/>
      <c r="AI297" s="20"/>
      <c r="AJ297" s="13"/>
      <c r="AK297" s="13"/>
      <c r="AL297" s="13"/>
      <c r="AN297" s="27"/>
      <c r="AO297" s="27"/>
      <c r="AP297" s="27"/>
      <c r="AQ297" s="23"/>
      <c r="AV297" s="27"/>
      <c r="AW297" s="27"/>
      <c r="AX297" s="27"/>
      <c r="AY297" s="28"/>
      <c r="AZ297" s="28"/>
      <c r="BA297" s="20"/>
      <c r="BC297" s="27"/>
      <c r="BD297" s="27"/>
      <c r="BE297" s="27"/>
      <c r="BF297" s="27"/>
      <c r="BH297" s="13"/>
      <c r="BI297" s="13"/>
      <c r="BJ297" s="13"/>
    </row>
    <row r="298" spans="1:47" ht="12.75">
      <c r="A298" s="111"/>
      <c r="B298" s="112" t="s">
        <v>459</v>
      </c>
      <c r="C298" s="113" t="s">
        <v>808</v>
      </c>
      <c r="D298" s="206" t="s">
        <v>6</v>
      </c>
      <c r="E298" s="114" t="s">
        <v>6</v>
      </c>
      <c r="F298" s="133" t="s">
        <v>6</v>
      </c>
      <c r="G298" s="141">
        <f>SUM(G299:G303)</f>
        <v>0</v>
      </c>
      <c r="H298" s="115">
        <f>SUM(H299:H303)</f>
        <v>0</v>
      </c>
      <c r="I298" s="142">
        <f>SUM(I299:I303)</f>
        <v>0</v>
      </c>
      <c r="J298" s="215"/>
      <c r="K298" s="216">
        <f>SUM(K299:K303)</f>
        <v>0.8529</v>
      </c>
      <c r="L298" s="151"/>
      <c r="AI298" s="20"/>
      <c r="AS298" s="29">
        <f>SUM(AJ299:AJ303)</f>
        <v>0</v>
      </c>
      <c r="AT298" s="29">
        <f>SUM(AK299:AK303)</f>
        <v>0</v>
      </c>
      <c r="AU298" s="29">
        <f>SUM(AL299:AL303)</f>
        <v>0</v>
      </c>
    </row>
    <row r="299" spans="1:62" ht="12.75">
      <c r="A299" s="107" t="s">
        <v>140</v>
      </c>
      <c r="B299" s="108" t="s">
        <v>460</v>
      </c>
      <c r="C299" s="109" t="s">
        <v>809</v>
      </c>
      <c r="D299" s="205" t="s">
        <v>1008</v>
      </c>
      <c r="E299" s="110">
        <v>30</v>
      </c>
      <c r="F299" s="132">
        <v>0</v>
      </c>
      <c r="G299" s="139">
        <f>E299*AO299</f>
        <v>0</v>
      </c>
      <c r="H299" s="110">
        <f>E299*AP299</f>
        <v>0</v>
      </c>
      <c r="I299" s="140">
        <f>E299*F299</f>
        <v>0</v>
      </c>
      <c r="J299" s="213">
        <v>0.01193</v>
      </c>
      <c r="K299" s="214">
        <f>E299*J299</f>
        <v>0.3579</v>
      </c>
      <c r="L299" s="150" t="s">
        <v>1039</v>
      </c>
      <c r="Z299" s="27">
        <f>IF(AQ299="5",BJ299,0)</f>
        <v>0</v>
      </c>
      <c r="AB299" s="27">
        <f>IF(AQ299="1",BH299,0)</f>
        <v>0</v>
      </c>
      <c r="AC299" s="27">
        <f>IF(AQ299="1",BI299,0)</f>
        <v>0</v>
      </c>
      <c r="AD299" s="27">
        <f>IF(AQ299="7",BH299,0)</f>
        <v>0</v>
      </c>
      <c r="AE299" s="27">
        <f>IF(AQ299="7",BI299,0)</f>
        <v>0</v>
      </c>
      <c r="AF299" s="27">
        <f>IF(AQ299="2",BH299,0)</f>
        <v>0</v>
      </c>
      <c r="AG299" s="27">
        <f>IF(AQ299="2",BI299,0)</f>
        <v>0</v>
      </c>
      <c r="AH299" s="27">
        <f>IF(AQ299="0",BJ299,0)</f>
        <v>0</v>
      </c>
      <c r="AI299" s="20"/>
      <c r="AJ299" s="13">
        <f>IF(AN299=0,I299,0)</f>
        <v>0</v>
      </c>
      <c r="AK299" s="13">
        <f>IF(AN299=15,I299,0)</f>
        <v>0</v>
      </c>
      <c r="AL299" s="13">
        <f>IF(AN299=21,I299,0)</f>
        <v>0</v>
      </c>
      <c r="AN299" s="27">
        <v>21</v>
      </c>
      <c r="AO299" s="27">
        <f>F299*0.054073315219812</f>
        <v>0</v>
      </c>
      <c r="AP299" s="27">
        <f>F299*(1-0.054073315219812)</f>
        <v>0</v>
      </c>
      <c r="AQ299" s="23" t="s">
        <v>13</v>
      </c>
      <c r="AV299" s="27">
        <f>AW299+AX299</f>
        <v>0</v>
      </c>
      <c r="AW299" s="27">
        <f>E299*AO299</f>
        <v>0</v>
      </c>
      <c r="AX299" s="27">
        <f>E299*AP299</f>
        <v>0</v>
      </c>
      <c r="AY299" s="28" t="s">
        <v>1079</v>
      </c>
      <c r="AZ299" s="28" t="s">
        <v>1102</v>
      </c>
      <c r="BA299" s="20" t="s">
        <v>1106</v>
      </c>
      <c r="BC299" s="27">
        <f>AW299+AX299</f>
        <v>0</v>
      </c>
      <c r="BD299" s="27">
        <f>F299/(100-BE299)*100</f>
        <v>0</v>
      </c>
      <c r="BE299" s="27">
        <v>0</v>
      </c>
      <c r="BF299" s="27">
        <f>K299</f>
        <v>0.3579</v>
      </c>
      <c r="BH299" s="13">
        <f>E299*AO299</f>
        <v>0</v>
      </c>
      <c r="BI299" s="13">
        <f>E299*AP299</f>
        <v>0</v>
      </c>
      <c r="BJ299" s="13">
        <f>E299*F299</f>
        <v>0</v>
      </c>
    </row>
    <row r="300" spans="1:62" ht="12.75">
      <c r="A300" s="107"/>
      <c r="B300" s="108"/>
      <c r="C300" s="99" t="s">
        <v>1742</v>
      </c>
      <c r="D300" s="205"/>
      <c r="E300" s="110"/>
      <c r="F300" s="132"/>
      <c r="G300" s="139"/>
      <c r="H300" s="110"/>
      <c r="I300" s="140"/>
      <c r="J300" s="213"/>
      <c r="K300" s="214"/>
      <c r="L300" s="150"/>
      <c r="Z300" s="27"/>
      <c r="AB300" s="27"/>
      <c r="AC300" s="27"/>
      <c r="AD300" s="27"/>
      <c r="AE300" s="27"/>
      <c r="AF300" s="27"/>
      <c r="AG300" s="27"/>
      <c r="AH300" s="27"/>
      <c r="AI300" s="20"/>
      <c r="AJ300" s="13"/>
      <c r="AK300" s="13"/>
      <c r="AL300" s="13"/>
      <c r="AN300" s="27"/>
      <c r="AO300" s="27"/>
      <c r="AP300" s="27"/>
      <c r="AQ300" s="23"/>
      <c r="AV300" s="27"/>
      <c r="AW300" s="27"/>
      <c r="AX300" s="27"/>
      <c r="AY300" s="28"/>
      <c r="AZ300" s="28"/>
      <c r="BA300" s="20"/>
      <c r="BC300" s="27"/>
      <c r="BD300" s="27"/>
      <c r="BE300" s="27"/>
      <c r="BF300" s="27"/>
      <c r="BH300" s="13"/>
      <c r="BI300" s="13"/>
      <c r="BJ300" s="13"/>
    </row>
    <row r="301" spans="1:62" ht="12.75">
      <c r="A301" s="107" t="s">
        <v>141</v>
      </c>
      <c r="B301" s="108" t="s">
        <v>461</v>
      </c>
      <c r="C301" s="109" t="s">
        <v>810</v>
      </c>
      <c r="D301" s="205" t="s">
        <v>1007</v>
      </c>
      <c r="E301" s="110">
        <v>1</v>
      </c>
      <c r="F301" s="132">
        <v>0</v>
      </c>
      <c r="G301" s="139">
        <f>E301*AO301</f>
        <v>0</v>
      </c>
      <c r="H301" s="110">
        <f>E301*AP301</f>
        <v>0</v>
      </c>
      <c r="I301" s="140">
        <f>E301*F301</f>
        <v>0</v>
      </c>
      <c r="J301" s="213">
        <v>0.21</v>
      </c>
      <c r="K301" s="214">
        <f>E301*J301</f>
        <v>0.21</v>
      </c>
      <c r="L301" s="150" t="s">
        <v>1039</v>
      </c>
      <c r="Z301" s="27">
        <f>IF(AQ301="5",BJ301,0)</f>
        <v>0</v>
      </c>
      <c r="AB301" s="27">
        <f>IF(AQ301="1",BH301,0)</f>
        <v>0</v>
      </c>
      <c r="AC301" s="27">
        <f>IF(AQ301="1",BI301,0)</f>
        <v>0</v>
      </c>
      <c r="AD301" s="27">
        <f>IF(AQ301="7",BH301,0)</f>
        <v>0</v>
      </c>
      <c r="AE301" s="27">
        <f>IF(AQ301="7",BI301,0)</f>
        <v>0</v>
      </c>
      <c r="AF301" s="27">
        <f>IF(AQ301="2",BH301,0)</f>
        <v>0</v>
      </c>
      <c r="AG301" s="27">
        <f>IF(AQ301="2",BI301,0)</f>
        <v>0</v>
      </c>
      <c r="AH301" s="27">
        <f>IF(AQ301="0",BJ301,0)</f>
        <v>0</v>
      </c>
      <c r="AI301" s="20"/>
      <c r="AJ301" s="13">
        <f>IF(AN301=0,I301,0)</f>
        <v>0</v>
      </c>
      <c r="AK301" s="13">
        <f>IF(AN301=15,I301,0)</f>
        <v>0</v>
      </c>
      <c r="AL301" s="13">
        <f>IF(AN301=21,I301,0)</f>
        <v>0</v>
      </c>
      <c r="AN301" s="27">
        <v>21</v>
      </c>
      <c r="AO301" s="27">
        <f>F301*0</f>
        <v>0</v>
      </c>
      <c r="AP301" s="27">
        <f>F301*(1-0)</f>
        <v>0</v>
      </c>
      <c r="AQ301" s="23" t="s">
        <v>13</v>
      </c>
      <c r="AV301" s="27">
        <f>AW301+AX301</f>
        <v>0</v>
      </c>
      <c r="AW301" s="27">
        <f>E301*AO301</f>
        <v>0</v>
      </c>
      <c r="AX301" s="27">
        <f>E301*AP301</f>
        <v>0</v>
      </c>
      <c r="AY301" s="28" t="s">
        <v>1079</v>
      </c>
      <c r="AZ301" s="28" t="s">
        <v>1102</v>
      </c>
      <c r="BA301" s="20" t="s">
        <v>1106</v>
      </c>
      <c r="BC301" s="27">
        <f>AW301+AX301</f>
        <v>0</v>
      </c>
      <c r="BD301" s="27">
        <f>F301/(100-BE301)*100</f>
        <v>0</v>
      </c>
      <c r="BE301" s="27">
        <v>0</v>
      </c>
      <c r="BF301" s="27">
        <f>K301</f>
        <v>0.21</v>
      </c>
      <c r="BH301" s="13">
        <f>E301*AO301</f>
        <v>0</v>
      </c>
      <c r="BI301" s="13">
        <f>E301*AP301</f>
        <v>0</v>
      </c>
      <c r="BJ301" s="13">
        <f>E301*F301</f>
        <v>0</v>
      </c>
    </row>
    <row r="302" spans="1:62" ht="12.75">
      <c r="A302" s="107"/>
      <c r="B302" s="108"/>
      <c r="C302" s="99" t="s">
        <v>1743</v>
      </c>
      <c r="D302" s="205"/>
      <c r="E302" s="110"/>
      <c r="F302" s="132"/>
      <c r="G302" s="139"/>
      <c r="H302" s="110"/>
      <c r="I302" s="140"/>
      <c r="J302" s="213"/>
      <c r="K302" s="214"/>
      <c r="L302" s="150"/>
      <c r="Z302" s="27"/>
      <c r="AB302" s="27"/>
      <c r="AC302" s="27"/>
      <c r="AD302" s="27"/>
      <c r="AE302" s="27"/>
      <c r="AF302" s="27"/>
      <c r="AG302" s="27"/>
      <c r="AH302" s="27"/>
      <c r="AI302" s="20"/>
      <c r="AJ302" s="13"/>
      <c r="AK302" s="13"/>
      <c r="AL302" s="13"/>
      <c r="AN302" s="27"/>
      <c r="AO302" s="27"/>
      <c r="AP302" s="27"/>
      <c r="AQ302" s="23"/>
      <c r="AV302" s="27"/>
      <c r="AW302" s="27"/>
      <c r="AX302" s="27"/>
      <c r="AY302" s="28"/>
      <c r="AZ302" s="28"/>
      <c r="BA302" s="20"/>
      <c r="BC302" s="27"/>
      <c r="BD302" s="27"/>
      <c r="BE302" s="27"/>
      <c r="BF302" s="27"/>
      <c r="BH302" s="13"/>
      <c r="BI302" s="13"/>
      <c r="BJ302" s="13"/>
    </row>
    <row r="303" spans="1:62" ht="12.75">
      <c r="A303" s="107" t="s">
        <v>142</v>
      </c>
      <c r="B303" s="108" t="s">
        <v>462</v>
      </c>
      <c r="C303" s="109" t="s">
        <v>811</v>
      </c>
      <c r="D303" s="205" t="s">
        <v>1007</v>
      </c>
      <c r="E303" s="110">
        <v>1</v>
      </c>
      <c r="F303" s="132">
        <v>0</v>
      </c>
      <c r="G303" s="139">
        <f>E303*AO303</f>
        <v>0</v>
      </c>
      <c r="H303" s="110">
        <f>E303*AP303</f>
        <v>0</v>
      </c>
      <c r="I303" s="140">
        <f>E303*F303</f>
        <v>0</v>
      </c>
      <c r="J303" s="213">
        <v>0.285</v>
      </c>
      <c r="K303" s="214">
        <f>E303*J303</f>
        <v>0.285</v>
      </c>
      <c r="L303" s="150" t="s">
        <v>1039</v>
      </c>
      <c r="Z303" s="27">
        <f>IF(AQ303="5",BJ303,0)</f>
        <v>0</v>
      </c>
      <c r="AB303" s="27">
        <f>IF(AQ303="1",BH303,0)</f>
        <v>0</v>
      </c>
      <c r="AC303" s="27">
        <f>IF(AQ303="1",BI303,0)</f>
        <v>0</v>
      </c>
      <c r="AD303" s="27">
        <f>IF(AQ303="7",BH303,0)</f>
        <v>0</v>
      </c>
      <c r="AE303" s="27">
        <f>IF(AQ303="7",BI303,0)</f>
        <v>0</v>
      </c>
      <c r="AF303" s="27">
        <f>IF(AQ303="2",BH303,0)</f>
        <v>0</v>
      </c>
      <c r="AG303" s="27">
        <f>IF(AQ303="2",BI303,0)</f>
        <v>0</v>
      </c>
      <c r="AH303" s="27">
        <f>IF(AQ303="0",BJ303,0)</f>
        <v>0</v>
      </c>
      <c r="AI303" s="20"/>
      <c r="AJ303" s="13">
        <f>IF(AN303=0,I303,0)</f>
        <v>0</v>
      </c>
      <c r="AK303" s="13">
        <f>IF(AN303=15,I303,0)</f>
        <v>0</v>
      </c>
      <c r="AL303" s="13">
        <f>IF(AN303=21,I303,0)</f>
        <v>0</v>
      </c>
      <c r="AN303" s="27">
        <v>21</v>
      </c>
      <c r="AO303" s="27">
        <f>F303*0</f>
        <v>0</v>
      </c>
      <c r="AP303" s="27">
        <f>F303*(1-0)</f>
        <v>0</v>
      </c>
      <c r="AQ303" s="23" t="s">
        <v>13</v>
      </c>
      <c r="AV303" s="27">
        <f>AW303+AX303</f>
        <v>0</v>
      </c>
      <c r="AW303" s="27">
        <f>E303*AO303</f>
        <v>0</v>
      </c>
      <c r="AX303" s="27">
        <f>E303*AP303</f>
        <v>0</v>
      </c>
      <c r="AY303" s="28" t="s">
        <v>1079</v>
      </c>
      <c r="AZ303" s="28" t="s">
        <v>1102</v>
      </c>
      <c r="BA303" s="20" t="s">
        <v>1106</v>
      </c>
      <c r="BC303" s="27">
        <f>AW303+AX303</f>
        <v>0</v>
      </c>
      <c r="BD303" s="27">
        <f>F303/(100-BE303)*100</f>
        <v>0</v>
      </c>
      <c r="BE303" s="27">
        <v>0</v>
      </c>
      <c r="BF303" s="27">
        <f>K303</f>
        <v>0.285</v>
      </c>
      <c r="BH303" s="13">
        <f>E303*AO303</f>
        <v>0</v>
      </c>
      <c r="BI303" s="13">
        <f>E303*AP303</f>
        <v>0</v>
      </c>
      <c r="BJ303" s="13">
        <f>E303*F303</f>
        <v>0</v>
      </c>
    </row>
    <row r="304" spans="1:62" ht="12.75">
      <c r="A304" s="107"/>
      <c r="B304" s="108"/>
      <c r="C304" s="99" t="s">
        <v>1744</v>
      </c>
      <c r="D304" s="205"/>
      <c r="E304" s="110"/>
      <c r="F304" s="132"/>
      <c r="G304" s="139"/>
      <c r="H304" s="110"/>
      <c r="I304" s="140"/>
      <c r="J304" s="213"/>
      <c r="K304" s="214"/>
      <c r="L304" s="150"/>
      <c r="Z304" s="27"/>
      <c r="AB304" s="27"/>
      <c r="AC304" s="27"/>
      <c r="AD304" s="27"/>
      <c r="AE304" s="27"/>
      <c r="AF304" s="27"/>
      <c r="AG304" s="27"/>
      <c r="AH304" s="27"/>
      <c r="AI304" s="20"/>
      <c r="AJ304" s="13"/>
      <c r="AK304" s="13"/>
      <c r="AL304" s="13"/>
      <c r="AN304" s="27"/>
      <c r="AO304" s="27"/>
      <c r="AP304" s="27"/>
      <c r="AQ304" s="23"/>
      <c r="AV304" s="27"/>
      <c r="AW304" s="27"/>
      <c r="AX304" s="27"/>
      <c r="AY304" s="28"/>
      <c r="AZ304" s="28"/>
      <c r="BA304" s="20"/>
      <c r="BC304" s="27"/>
      <c r="BD304" s="27"/>
      <c r="BE304" s="27"/>
      <c r="BF304" s="27"/>
      <c r="BH304" s="13"/>
      <c r="BI304" s="13"/>
      <c r="BJ304" s="13"/>
    </row>
    <row r="305" spans="1:47" ht="12.75">
      <c r="A305" s="111"/>
      <c r="B305" s="112" t="s">
        <v>93</v>
      </c>
      <c r="C305" s="113" t="s">
        <v>812</v>
      </c>
      <c r="D305" s="206" t="s">
        <v>6</v>
      </c>
      <c r="E305" s="114" t="s">
        <v>6</v>
      </c>
      <c r="F305" s="133" t="s">
        <v>6</v>
      </c>
      <c r="G305" s="141">
        <f>SUM(G306:G339)</f>
        <v>0</v>
      </c>
      <c r="H305" s="115">
        <f>SUM(H306:H339)</f>
        <v>0</v>
      </c>
      <c r="I305" s="142">
        <f>SUM(I306:I339)</f>
        <v>0</v>
      </c>
      <c r="J305" s="215"/>
      <c r="K305" s="216">
        <f>SUM(K306:K339)</f>
        <v>0.0190458</v>
      </c>
      <c r="L305" s="151"/>
      <c r="AI305" s="20"/>
      <c r="AS305" s="29">
        <f>SUM(AJ306:AJ339)</f>
        <v>0</v>
      </c>
      <c r="AT305" s="29">
        <f>SUM(AK306:AK339)</f>
        <v>0</v>
      </c>
      <c r="AU305" s="29">
        <f>SUM(AL306:AL339)</f>
        <v>0</v>
      </c>
    </row>
    <row r="306" spans="1:62" ht="12.75">
      <c r="A306" s="107" t="s">
        <v>143</v>
      </c>
      <c r="B306" s="108" t="s">
        <v>463</v>
      </c>
      <c r="C306" s="109" t="s">
        <v>813</v>
      </c>
      <c r="D306" s="205" t="s">
        <v>1008</v>
      </c>
      <c r="E306" s="110">
        <v>3</v>
      </c>
      <c r="F306" s="132">
        <v>0</v>
      </c>
      <c r="G306" s="139">
        <f aca="true" t="shared" si="126" ref="G306:G339">E306*AO306</f>
        <v>0</v>
      </c>
      <c r="H306" s="110">
        <f aca="true" t="shared" si="127" ref="H306:H339">E306*AP306</f>
        <v>0</v>
      </c>
      <c r="I306" s="140">
        <f aca="true" t="shared" si="128" ref="I306:I339">E306*F306</f>
        <v>0</v>
      </c>
      <c r="J306" s="213">
        <v>1E-05</v>
      </c>
      <c r="K306" s="214">
        <f aca="true" t="shared" si="129" ref="K306:K339">E306*J306</f>
        <v>3.0000000000000004E-05</v>
      </c>
      <c r="L306" s="150" t="s">
        <v>1039</v>
      </c>
      <c r="Z306" s="27">
        <f aca="true" t="shared" si="130" ref="Z306:Z339">IF(AQ306="5",BJ306,0)</f>
        <v>0</v>
      </c>
      <c r="AB306" s="27">
        <f aca="true" t="shared" si="131" ref="AB306:AB339">IF(AQ306="1",BH306,0)</f>
        <v>0</v>
      </c>
      <c r="AC306" s="27">
        <f aca="true" t="shared" si="132" ref="AC306:AC339">IF(AQ306="1",BI306,0)</f>
        <v>0</v>
      </c>
      <c r="AD306" s="27">
        <f aca="true" t="shared" si="133" ref="AD306:AD339">IF(AQ306="7",BH306,0)</f>
        <v>0</v>
      </c>
      <c r="AE306" s="27">
        <f aca="true" t="shared" si="134" ref="AE306:AE339">IF(AQ306="7",BI306,0)</f>
        <v>0</v>
      </c>
      <c r="AF306" s="27">
        <f aca="true" t="shared" si="135" ref="AF306:AF339">IF(AQ306="2",BH306,0)</f>
        <v>0</v>
      </c>
      <c r="AG306" s="27">
        <f aca="true" t="shared" si="136" ref="AG306:AG339">IF(AQ306="2",BI306,0)</f>
        <v>0</v>
      </c>
      <c r="AH306" s="27">
        <f aca="true" t="shared" si="137" ref="AH306:AH339">IF(AQ306="0",BJ306,0)</f>
        <v>0</v>
      </c>
      <c r="AI306" s="20"/>
      <c r="AJ306" s="13">
        <f aca="true" t="shared" si="138" ref="AJ306:AJ339">IF(AN306=0,I306,0)</f>
        <v>0</v>
      </c>
      <c r="AK306" s="13">
        <f aca="true" t="shared" si="139" ref="AK306:AK339">IF(AN306=15,I306,0)</f>
        <v>0</v>
      </c>
      <c r="AL306" s="13">
        <f aca="true" t="shared" si="140" ref="AL306:AL339">IF(AN306=21,I306,0)</f>
        <v>0</v>
      </c>
      <c r="AN306" s="27">
        <v>21</v>
      </c>
      <c r="AO306" s="27">
        <f>F306*0.0046448087431694</f>
        <v>0</v>
      </c>
      <c r="AP306" s="27">
        <f>F306*(1-0.0046448087431694)</f>
        <v>0</v>
      </c>
      <c r="AQ306" s="23" t="s">
        <v>7</v>
      </c>
      <c r="AV306" s="27">
        <f aca="true" t="shared" si="141" ref="AV306:AV339">AW306+AX306</f>
        <v>0</v>
      </c>
      <c r="AW306" s="27">
        <f aca="true" t="shared" si="142" ref="AW306:AW339">E306*AO306</f>
        <v>0</v>
      </c>
      <c r="AX306" s="27">
        <f aca="true" t="shared" si="143" ref="AX306:AX339">E306*AP306</f>
        <v>0</v>
      </c>
      <c r="AY306" s="28" t="s">
        <v>1080</v>
      </c>
      <c r="AZ306" s="28" t="s">
        <v>1103</v>
      </c>
      <c r="BA306" s="20" t="s">
        <v>1106</v>
      </c>
      <c r="BC306" s="27">
        <f aca="true" t="shared" si="144" ref="BC306:BC339">AW306+AX306</f>
        <v>0</v>
      </c>
      <c r="BD306" s="27">
        <f aca="true" t="shared" si="145" ref="BD306:BD339">F306/(100-BE306)*100</f>
        <v>0</v>
      </c>
      <c r="BE306" s="27">
        <v>0</v>
      </c>
      <c r="BF306" s="27">
        <f aca="true" t="shared" si="146" ref="BF306:BF339">K306</f>
        <v>3.0000000000000004E-05</v>
      </c>
      <c r="BH306" s="13">
        <f aca="true" t="shared" si="147" ref="BH306:BH339">E306*AO306</f>
        <v>0</v>
      </c>
      <c r="BI306" s="13">
        <f aca="true" t="shared" si="148" ref="BI306:BI339">E306*AP306</f>
        <v>0</v>
      </c>
      <c r="BJ306" s="13">
        <f aca="true" t="shared" si="149" ref="BJ306:BJ339">E306*F306</f>
        <v>0</v>
      </c>
    </row>
    <row r="307" spans="1:62" ht="12.75">
      <c r="A307" s="107"/>
      <c r="B307" s="108"/>
      <c r="C307" s="99" t="s">
        <v>1745</v>
      </c>
      <c r="D307" s="205"/>
      <c r="E307" s="110"/>
      <c r="F307" s="132"/>
      <c r="G307" s="139"/>
      <c r="H307" s="110"/>
      <c r="I307" s="140"/>
      <c r="J307" s="213"/>
      <c r="K307" s="214"/>
      <c r="L307" s="150"/>
      <c r="Z307" s="27"/>
      <c r="AB307" s="27"/>
      <c r="AC307" s="27"/>
      <c r="AD307" s="27"/>
      <c r="AE307" s="27"/>
      <c r="AF307" s="27"/>
      <c r="AG307" s="27"/>
      <c r="AH307" s="27"/>
      <c r="AI307" s="20"/>
      <c r="AJ307" s="13"/>
      <c r="AK307" s="13"/>
      <c r="AL307" s="13"/>
      <c r="AN307" s="27"/>
      <c r="AO307" s="27"/>
      <c r="AP307" s="27"/>
      <c r="AQ307" s="23"/>
      <c r="AV307" s="27"/>
      <c r="AW307" s="27"/>
      <c r="AX307" s="27"/>
      <c r="AY307" s="28"/>
      <c r="AZ307" s="28"/>
      <c r="BA307" s="20"/>
      <c r="BC307" s="27"/>
      <c r="BD307" s="27"/>
      <c r="BE307" s="27"/>
      <c r="BF307" s="27"/>
      <c r="BH307" s="13"/>
      <c r="BI307" s="13"/>
      <c r="BJ307" s="13"/>
    </row>
    <row r="308" spans="1:62" ht="12.75">
      <c r="A308" s="107" t="s">
        <v>144</v>
      </c>
      <c r="B308" s="108" t="s">
        <v>464</v>
      </c>
      <c r="C308" s="109" t="s">
        <v>814</v>
      </c>
      <c r="D308" s="205" t="s">
        <v>1008</v>
      </c>
      <c r="E308" s="110">
        <f>+E309+E310</f>
        <v>217.3</v>
      </c>
      <c r="F308" s="132">
        <v>0</v>
      </c>
      <c r="G308" s="139">
        <f t="shared" si="126"/>
        <v>0</v>
      </c>
      <c r="H308" s="110">
        <f t="shared" si="127"/>
        <v>0</v>
      </c>
      <c r="I308" s="140">
        <f t="shared" si="128"/>
        <v>0</v>
      </c>
      <c r="J308" s="213">
        <v>1E-05</v>
      </c>
      <c r="K308" s="214">
        <f t="shared" si="129"/>
        <v>0.0021730000000000005</v>
      </c>
      <c r="L308" s="150" t="s">
        <v>1039</v>
      </c>
      <c r="Z308" s="27">
        <f t="shared" si="130"/>
        <v>0</v>
      </c>
      <c r="AB308" s="27">
        <f t="shared" si="131"/>
        <v>0</v>
      </c>
      <c r="AC308" s="27">
        <f t="shared" si="132"/>
        <v>0</v>
      </c>
      <c r="AD308" s="27">
        <f t="shared" si="133"/>
        <v>0</v>
      </c>
      <c r="AE308" s="27">
        <f t="shared" si="134"/>
        <v>0</v>
      </c>
      <c r="AF308" s="27">
        <f t="shared" si="135"/>
        <v>0</v>
      </c>
      <c r="AG308" s="27">
        <f t="shared" si="136"/>
        <v>0</v>
      </c>
      <c r="AH308" s="27">
        <f t="shared" si="137"/>
        <v>0</v>
      </c>
      <c r="AI308" s="20"/>
      <c r="AJ308" s="13">
        <f t="shared" si="138"/>
        <v>0</v>
      </c>
      <c r="AK308" s="13">
        <f t="shared" si="139"/>
        <v>0</v>
      </c>
      <c r="AL308" s="13">
        <f t="shared" si="140"/>
        <v>0</v>
      </c>
      <c r="AN308" s="27">
        <v>21</v>
      </c>
      <c r="AO308" s="27">
        <f>F308*0.00527537301475551</f>
        <v>0</v>
      </c>
      <c r="AP308" s="27">
        <f>F308*(1-0.00527537301475551)</f>
        <v>0</v>
      </c>
      <c r="AQ308" s="23" t="s">
        <v>7</v>
      </c>
      <c r="AV308" s="27">
        <f t="shared" si="141"/>
        <v>0</v>
      </c>
      <c r="AW308" s="27">
        <f t="shared" si="142"/>
        <v>0</v>
      </c>
      <c r="AX308" s="27">
        <f t="shared" si="143"/>
        <v>0</v>
      </c>
      <c r="AY308" s="28" t="s">
        <v>1080</v>
      </c>
      <c r="AZ308" s="28" t="s">
        <v>1103</v>
      </c>
      <c r="BA308" s="20" t="s">
        <v>1106</v>
      </c>
      <c r="BC308" s="27">
        <f t="shared" si="144"/>
        <v>0</v>
      </c>
      <c r="BD308" s="27">
        <f t="shared" si="145"/>
        <v>0</v>
      </c>
      <c r="BE308" s="27">
        <v>0</v>
      </c>
      <c r="BF308" s="27">
        <f t="shared" si="146"/>
        <v>0.0021730000000000005</v>
      </c>
      <c r="BH308" s="13">
        <f t="shared" si="147"/>
        <v>0</v>
      </c>
      <c r="BI308" s="13">
        <f t="shared" si="148"/>
        <v>0</v>
      </c>
      <c r="BJ308" s="13">
        <f t="shared" si="149"/>
        <v>0</v>
      </c>
    </row>
    <row r="309" spans="1:62" ht="12.75">
      <c r="A309" s="107"/>
      <c r="B309" s="108"/>
      <c r="C309" s="99" t="s">
        <v>1746</v>
      </c>
      <c r="D309" s="100" t="s">
        <v>1008</v>
      </c>
      <c r="E309" s="101">
        <f>220.3-6*1</f>
        <v>214.3</v>
      </c>
      <c r="F309" s="132"/>
      <c r="G309" s="139"/>
      <c r="H309" s="110"/>
      <c r="I309" s="140"/>
      <c r="J309" s="213"/>
      <c r="K309" s="214"/>
      <c r="L309" s="150"/>
      <c r="Z309" s="27"/>
      <c r="AB309" s="27"/>
      <c r="AC309" s="27"/>
      <c r="AD309" s="27"/>
      <c r="AE309" s="27"/>
      <c r="AF309" s="27"/>
      <c r="AG309" s="27"/>
      <c r="AH309" s="27"/>
      <c r="AI309" s="20"/>
      <c r="AJ309" s="13"/>
      <c r="AK309" s="13"/>
      <c r="AL309" s="13"/>
      <c r="AN309" s="27"/>
      <c r="AO309" s="27"/>
      <c r="AP309" s="27"/>
      <c r="AQ309" s="23"/>
      <c r="AV309" s="27"/>
      <c r="AW309" s="27"/>
      <c r="AX309" s="27"/>
      <c r="AY309" s="28"/>
      <c r="AZ309" s="28"/>
      <c r="BA309" s="20"/>
      <c r="BC309" s="27"/>
      <c r="BD309" s="27"/>
      <c r="BE309" s="27"/>
      <c r="BF309" s="27"/>
      <c r="BH309" s="13"/>
      <c r="BI309" s="13"/>
      <c r="BJ309" s="13"/>
    </row>
    <row r="310" spans="1:62" ht="12.75">
      <c r="A310" s="107"/>
      <c r="B310" s="108"/>
      <c r="C310" s="99" t="s">
        <v>1747</v>
      </c>
      <c r="D310" s="100" t="s">
        <v>1008</v>
      </c>
      <c r="E310" s="101">
        <v>3</v>
      </c>
      <c r="F310" s="132"/>
      <c r="G310" s="139"/>
      <c r="H310" s="110"/>
      <c r="I310" s="140"/>
      <c r="J310" s="213"/>
      <c r="K310" s="214"/>
      <c r="L310" s="150"/>
      <c r="Z310" s="27"/>
      <c r="AB310" s="27"/>
      <c r="AC310" s="27"/>
      <c r="AD310" s="27"/>
      <c r="AE310" s="27"/>
      <c r="AF310" s="27"/>
      <c r="AG310" s="27"/>
      <c r="AH310" s="27"/>
      <c r="AI310" s="20"/>
      <c r="AJ310" s="13"/>
      <c r="AK310" s="13"/>
      <c r="AL310" s="13"/>
      <c r="AN310" s="27"/>
      <c r="AO310" s="27"/>
      <c r="AP310" s="27"/>
      <c r="AQ310" s="23"/>
      <c r="AV310" s="27"/>
      <c r="AW310" s="27"/>
      <c r="AX310" s="27"/>
      <c r="AY310" s="28"/>
      <c r="AZ310" s="28"/>
      <c r="BA310" s="20"/>
      <c r="BC310" s="27"/>
      <c r="BD310" s="27"/>
      <c r="BE310" s="27"/>
      <c r="BF310" s="27"/>
      <c r="BH310" s="13"/>
      <c r="BI310" s="13"/>
      <c r="BJ310" s="13"/>
    </row>
    <row r="311" spans="1:62" ht="12.75">
      <c r="A311" s="107" t="s">
        <v>145</v>
      </c>
      <c r="B311" s="108" t="s">
        <v>465</v>
      </c>
      <c r="C311" s="109" t="s">
        <v>815</v>
      </c>
      <c r="D311" s="205" t="s">
        <v>1008</v>
      </c>
      <c r="E311" s="110">
        <f>+E312</f>
        <v>281.03</v>
      </c>
      <c r="F311" s="132">
        <v>0</v>
      </c>
      <c r="G311" s="139">
        <f t="shared" si="126"/>
        <v>0</v>
      </c>
      <c r="H311" s="110">
        <f t="shared" si="127"/>
        <v>0</v>
      </c>
      <c r="I311" s="140">
        <f t="shared" si="128"/>
        <v>0</v>
      </c>
      <c r="J311" s="213">
        <v>1E-05</v>
      </c>
      <c r="K311" s="214">
        <f t="shared" si="129"/>
        <v>0.0028103</v>
      </c>
      <c r="L311" s="150" t="s">
        <v>1039</v>
      </c>
      <c r="Z311" s="27">
        <f t="shared" si="130"/>
        <v>0</v>
      </c>
      <c r="AB311" s="27">
        <f t="shared" si="131"/>
        <v>0</v>
      </c>
      <c r="AC311" s="27">
        <f t="shared" si="132"/>
        <v>0</v>
      </c>
      <c r="AD311" s="27">
        <f t="shared" si="133"/>
        <v>0</v>
      </c>
      <c r="AE311" s="27">
        <f t="shared" si="134"/>
        <v>0</v>
      </c>
      <c r="AF311" s="27">
        <f t="shared" si="135"/>
        <v>0</v>
      </c>
      <c r="AG311" s="27">
        <f t="shared" si="136"/>
        <v>0</v>
      </c>
      <c r="AH311" s="27">
        <f t="shared" si="137"/>
        <v>0</v>
      </c>
      <c r="AI311" s="20"/>
      <c r="AJ311" s="13">
        <f t="shared" si="138"/>
        <v>0</v>
      </c>
      <c r="AK311" s="13">
        <f t="shared" si="139"/>
        <v>0</v>
      </c>
      <c r="AL311" s="13">
        <f t="shared" si="140"/>
        <v>0</v>
      </c>
      <c r="AN311" s="27">
        <v>21</v>
      </c>
      <c r="AO311" s="27">
        <f>F311*0.00462584922038507</f>
        <v>0</v>
      </c>
      <c r="AP311" s="27">
        <f>F311*(1-0.00462584922038507)</f>
        <v>0</v>
      </c>
      <c r="AQ311" s="23" t="s">
        <v>7</v>
      </c>
      <c r="AV311" s="27">
        <f t="shared" si="141"/>
        <v>0</v>
      </c>
      <c r="AW311" s="27">
        <f t="shared" si="142"/>
        <v>0</v>
      </c>
      <c r="AX311" s="27">
        <f t="shared" si="143"/>
        <v>0</v>
      </c>
      <c r="AY311" s="28" t="s">
        <v>1080</v>
      </c>
      <c r="AZ311" s="28" t="s">
        <v>1103</v>
      </c>
      <c r="BA311" s="20" t="s">
        <v>1106</v>
      </c>
      <c r="BC311" s="27">
        <f t="shared" si="144"/>
        <v>0</v>
      </c>
      <c r="BD311" s="27">
        <f t="shared" si="145"/>
        <v>0</v>
      </c>
      <c r="BE311" s="27">
        <v>0</v>
      </c>
      <c r="BF311" s="27">
        <f t="shared" si="146"/>
        <v>0.0028103</v>
      </c>
      <c r="BH311" s="13">
        <f t="shared" si="147"/>
        <v>0</v>
      </c>
      <c r="BI311" s="13">
        <f t="shared" si="148"/>
        <v>0</v>
      </c>
      <c r="BJ311" s="13">
        <f t="shared" si="149"/>
        <v>0</v>
      </c>
    </row>
    <row r="312" spans="1:62" ht="12.75">
      <c r="A312" s="107"/>
      <c r="B312" s="108"/>
      <c r="C312" s="99" t="s">
        <v>1748</v>
      </c>
      <c r="D312" s="100" t="s">
        <v>1008</v>
      </c>
      <c r="E312" s="101">
        <f>479.53-6.5*1-192</f>
        <v>281.03</v>
      </c>
      <c r="F312" s="132"/>
      <c r="G312" s="139"/>
      <c r="H312" s="110"/>
      <c r="I312" s="140"/>
      <c r="J312" s="213"/>
      <c r="K312" s="214"/>
      <c r="L312" s="150"/>
      <c r="Z312" s="27"/>
      <c r="AB312" s="27"/>
      <c r="AC312" s="27"/>
      <c r="AD312" s="27"/>
      <c r="AE312" s="27"/>
      <c r="AF312" s="27"/>
      <c r="AG312" s="27"/>
      <c r="AH312" s="27"/>
      <c r="AI312" s="20"/>
      <c r="AJ312" s="13"/>
      <c r="AK312" s="13"/>
      <c r="AL312" s="13"/>
      <c r="AN312" s="27"/>
      <c r="AO312" s="27"/>
      <c r="AP312" s="27"/>
      <c r="AQ312" s="23"/>
      <c r="AV312" s="27"/>
      <c r="AW312" s="27"/>
      <c r="AX312" s="27"/>
      <c r="AY312" s="28"/>
      <c r="AZ312" s="28"/>
      <c r="BA312" s="20"/>
      <c r="BC312" s="27"/>
      <c r="BD312" s="27"/>
      <c r="BE312" s="27"/>
      <c r="BF312" s="27"/>
      <c r="BH312" s="13"/>
      <c r="BI312" s="13"/>
      <c r="BJ312" s="13"/>
    </row>
    <row r="313" spans="1:62" ht="12.75">
      <c r="A313" s="107" t="s">
        <v>146</v>
      </c>
      <c r="B313" s="108" t="s">
        <v>466</v>
      </c>
      <c r="C313" s="109" t="s">
        <v>816</v>
      </c>
      <c r="D313" s="205" t="s">
        <v>1008</v>
      </c>
      <c r="E313" s="110">
        <f>+E314</f>
        <v>365.25</v>
      </c>
      <c r="F313" s="132">
        <v>0</v>
      </c>
      <c r="G313" s="139">
        <f t="shared" si="126"/>
        <v>0</v>
      </c>
      <c r="H313" s="110">
        <f t="shared" si="127"/>
        <v>0</v>
      </c>
      <c r="I313" s="140">
        <f t="shared" si="128"/>
        <v>0</v>
      </c>
      <c r="J313" s="213">
        <v>1E-05</v>
      </c>
      <c r="K313" s="214">
        <f t="shared" si="129"/>
        <v>0.0036525000000000004</v>
      </c>
      <c r="L313" s="150" t="s">
        <v>1039</v>
      </c>
      <c r="Z313" s="27">
        <f t="shared" si="130"/>
        <v>0</v>
      </c>
      <c r="AB313" s="27">
        <f t="shared" si="131"/>
        <v>0</v>
      </c>
      <c r="AC313" s="27">
        <f t="shared" si="132"/>
        <v>0</v>
      </c>
      <c r="AD313" s="27">
        <f t="shared" si="133"/>
        <v>0</v>
      </c>
      <c r="AE313" s="27">
        <f t="shared" si="134"/>
        <v>0</v>
      </c>
      <c r="AF313" s="27">
        <f t="shared" si="135"/>
        <v>0</v>
      </c>
      <c r="AG313" s="27">
        <f t="shared" si="136"/>
        <v>0</v>
      </c>
      <c r="AH313" s="27">
        <f t="shared" si="137"/>
        <v>0</v>
      </c>
      <c r="AI313" s="20"/>
      <c r="AJ313" s="13">
        <f t="shared" si="138"/>
        <v>0</v>
      </c>
      <c r="AK313" s="13">
        <f t="shared" si="139"/>
        <v>0</v>
      </c>
      <c r="AL313" s="13">
        <f t="shared" si="140"/>
        <v>0</v>
      </c>
      <c r="AN313" s="27">
        <v>21</v>
      </c>
      <c r="AO313" s="27">
        <f>F313*0.00448933743948323</f>
        <v>0</v>
      </c>
      <c r="AP313" s="27">
        <f>F313*(1-0.00448933743948323)</f>
        <v>0</v>
      </c>
      <c r="AQ313" s="23" t="s">
        <v>7</v>
      </c>
      <c r="AV313" s="27">
        <f t="shared" si="141"/>
        <v>0</v>
      </c>
      <c r="AW313" s="27">
        <f t="shared" si="142"/>
        <v>0</v>
      </c>
      <c r="AX313" s="27">
        <f t="shared" si="143"/>
        <v>0</v>
      </c>
      <c r="AY313" s="28" t="s">
        <v>1080</v>
      </c>
      <c r="AZ313" s="28" t="s">
        <v>1103</v>
      </c>
      <c r="BA313" s="20" t="s">
        <v>1106</v>
      </c>
      <c r="BC313" s="27">
        <f t="shared" si="144"/>
        <v>0</v>
      </c>
      <c r="BD313" s="27">
        <f t="shared" si="145"/>
        <v>0</v>
      </c>
      <c r="BE313" s="27">
        <v>0</v>
      </c>
      <c r="BF313" s="27">
        <f t="shared" si="146"/>
        <v>0.0036525000000000004</v>
      </c>
      <c r="BH313" s="13">
        <f t="shared" si="147"/>
        <v>0</v>
      </c>
      <c r="BI313" s="13">
        <f t="shared" si="148"/>
        <v>0</v>
      </c>
      <c r="BJ313" s="13">
        <f t="shared" si="149"/>
        <v>0</v>
      </c>
    </row>
    <row r="314" spans="1:62" ht="12.75">
      <c r="A314" s="107"/>
      <c r="B314" s="108"/>
      <c r="C314" s="99" t="s">
        <v>1749</v>
      </c>
      <c r="D314" s="100" t="s">
        <v>1008</v>
      </c>
      <c r="E314" s="101">
        <f>+(444.75-9.5*1-70)</f>
        <v>365.25</v>
      </c>
      <c r="F314" s="132"/>
      <c r="G314" s="139"/>
      <c r="H314" s="110"/>
      <c r="I314" s="140"/>
      <c r="J314" s="213"/>
      <c r="K314" s="214"/>
      <c r="L314" s="150"/>
      <c r="Z314" s="27"/>
      <c r="AB314" s="27"/>
      <c r="AC314" s="27"/>
      <c r="AD314" s="27"/>
      <c r="AE314" s="27"/>
      <c r="AF314" s="27"/>
      <c r="AG314" s="27"/>
      <c r="AH314" s="27"/>
      <c r="AI314" s="20"/>
      <c r="AJ314" s="13"/>
      <c r="AK314" s="13"/>
      <c r="AL314" s="13"/>
      <c r="AN314" s="27"/>
      <c r="AO314" s="27"/>
      <c r="AP314" s="27"/>
      <c r="AQ314" s="23"/>
      <c r="AV314" s="27"/>
      <c r="AW314" s="27"/>
      <c r="AX314" s="27"/>
      <c r="AY314" s="28"/>
      <c r="AZ314" s="28"/>
      <c r="BA314" s="20"/>
      <c r="BC314" s="27"/>
      <c r="BD314" s="27"/>
      <c r="BE314" s="27"/>
      <c r="BF314" s="27"/>
      <c r="BH314" s="13"/>
      <c r="BI314" s="13"/>
      <c r="BJ314" s="13"/>
    </row>
    <row r="315" spans="1:62" ht="12.75">
      <c r="A315" s="107" t="s">
        <v>147</v>
      </c>
      <c r="B315" s="108" t="s">
        <v>467</v>
      </c>
      <c r="C315" s="109" t="s">
        <v>817</v>
      </c>
      <c r="D315" s="205" t="s">
        <v>1008</v>
      </c>
      <c r="E315" s="110">
        <f>+E316</f>
        <v>257.5</v>
      </c>
      <c r="F315" s="132">
        <v>0</v>
      </c>
      <c r="G315" s="139">
        <f t="shared" si="126"/>
        <v>0</v>
      </c>
      <c r="H315" s="110">
        <f t="shared" si="127"/>
        <v>0</v>
      </c>
      <c r="I315" s="140">
        <f t="shared" si="128"/>
        <v>0</v>
      </c>
      <c r="J315" s="213">
        <v>2E-05</v>
      </c>
      <c r="K315" s="214">
        <f t="shared" si="129"/>
        <v>0.00515</v>
      </c>
      <c r="L315" s="150" t="s">
        <v>1039</v>
      </c>
      <c r="Z315" s="27">
        <f t="shared" si="130"/>
        <v>0</v>
      </c>
      <c r="AB315" s="27">
        <f t="shared" si="131"/>
        <v>0</v>
      </c>
      <c r="AC315" s="27">
        <f t="shared" si="132"/>
        <v>0</v>
      </c>
      <c r="AD315" s="27">
        <f t="shared" si="133"/>
        <v>0</v>
      </c>
      <c r="AE315" s="27">
        <f t="shared" si="134"/>
        <v>0</v>
      </c>
      <c r="AF315" s="27">
        <f t="shared" si="135"/>
        <v>0</v>
      </c>
      <c r="AG315" s="27">
        <f t="shared" si="136"/>
        <v>0</v>
      </c>
      <c r="AH315" s="27">
        <f t="shared" si="137"/>
        <v>0</v>
      </c>
      <c r="AI315" s="20"/>
      <c r="AJ315" s="13">
        <f t="shared" si="138"/>
        <v>0</v>
      </c>
      <c r="AK315" s="13">
        <f t="shared" si="139"/>
        <v>0</v>
      </c>
      <c r="AL315" s="13">
        <f t="shared" si="140"/>
        <v>0</v>
      </c>
      <c r="AN315" s="27">
        <v>21</v>
      </c>
      <c r="AO315" s="27">
        <f>F315*0.00430904816443694</f>
        <v>0</v>
      </c>
      <c r="AP315" s="27">
        <f>F315*(1-0.00430904816443694)</f>
        <v>0</v>
      </c>
      <c r="AQ315" s="23" t="s">
        <v>7</v>
      </c>
      <c r="AV315" s="27">
        <f t="shared" si="141"/>
        <v>0</v>
      </c>
      <c r="AW315" s="27">
        <f t="shared" si="142"/>
        <v>0</v>
      </c>
      <c r="AX315" s="27">
        <f t="shared" si="143"/>
        <v>0</v>
      </c>
      <c r="AY315" s="28" t="s">
        <v>1080</v>
      </c>
      <c r="AZ315" s="28" t="s">
        <v>1103</v>
      </c>
      <c r="BA315" s="20" t="s">
        <v>1106</v>
      </c>
      <c r="BC315" s="27">
        <f t="shared" si="144"/>
        <v>0</v>
      </c>
      <c r="BD315" s="27">
        <f t="shared" si="145"/>
        <v>0</v>
      </c>
      <c r="BE315" s="27">
        <v>0</v>
      </c>
      <c r="BF315" s="27">
        <f t="shared" si="146"/>
        <v>0.00515</v>
      </c>
      <c r="BH315" s="13">
        <f t="shared" si="147"/>
        <v>0</v>
      </c>
      <c r="BI315" s="13">
        <f t="shared" si="148"/>
        <v>0</v>
      </c>
      <c r="BJ315" s="13">
        <f t="shared" si="149"/>
        <v>0</v>
      </c>
    </row>
    <row r="316" spans="1:62" ht="12.75">
      <c r="A316" s="107"/>
      <c r="B316" s="108"/>
      <c r="C316" s="99" t="s">
        <v>1750</v>
      </c>
      <c r="D316" s="100" t="s">
        <v>1008</v>
      </c>
      <c r="E316" s="101">
        <f>+(265-7.5*1)</f>
        <v>257.5</v>
      </c>
      <c r="F316" s="132"/>
      <c r="G316" s="139"/>
      <c r="H316" s="110"/>
      <c r="I316" s="140"/>
      <c r="J316" s="213"/>
      <c r="K316" s="214"/>
      <c r="L316" s="150"/>
      <c r="Z316" s="27"/>
      <c r="AB316" s="27"/>
      <c r="AC316" s="27"/>
      <c r="AD316" s="27"/>
      <c r="AE316" s="27"/>
      <c r="AF316" s="27"/>
      <c r="AG316" s="27"/>
      <c r="AH316" s="27"/>
      <c r="AI316" s="20"/>
      <c r="AJ316" s="13"/>
      <c r="AK316" s="13"/>
      <c r="AL316" s="13"/>
      <c r="AN316" s="27"/>
      <c r="AO316" s="27"/>
      <c r="AP316" s="27"/>
      <c r="AQ316" s="23"/>
      <c r="AV316" s="27"/>
      <c r="AW316" s="27"/>
      <c r="AX316" s="27"/>
      <c r="AY316" s="28"/>
      <c r="AZ316" s="28"/>
      <c r="BA316" s="20"/>
      <c r="BC316" s="27"/>
      <c r="BD316" s="27"/>
      <c r="BE316" s="27"/>
      <c r="BF316" s="27"/>
      <c r="BH316" s="13"/>
      <c r="BI316" s="13"/>
      <c r="BJ316" s="13"/>
    </row>
    <row r="317" spans="1:62" ht="12.75">
      <c r="A317" s="107" t="s">
        <v>148</v>
      </c>
      <c r="B317" s="108" t="s">
        <v>468</v>
      </c>
      <c r="C317" s="109" t="s">
        <v>818</v>
      </c>
      <c r="D317" s="205" t="s">
        <v>1007</v>
      </c>
      <c r="E317" s="110">
        <v>3</v>
      </c>
      <c r="F317" s="132">
        <v>0</v>
      </c>
      <c r="G317" s="139">
        <f t="shared" si="126"/>
        <v>0</v>
      </c>
      <c r="H317" s="110">
        <f t="shared" si="127"/>
        <v>0</v>
      </c>
      <c r="I317" s="140">
        <f t="shared" si="128"/>
        <v>0</v>
      </c>
      <c r="J317" s="213">
        <v>2E-05</v>
      </c>
      <c r="K317" s="214">
        <f t="shared" si="129"/>
        <v>6.000000000000001E-05</v>
      </c>
      <c r="L317" s="150" t="s">
        <v>1039</v>
      </c>
      <c r="Z317" s="27">
        <f t="shared" si="130"/>
        <v>0</v>
      </c>
      <c r="AB317" s="27">
        <f t="shared" si="131"/>
        <v>0</v>
      </c>
      <c r="AC317" s="27">
        <f t="shared" si="132"/>
        <v>0</v>
      </c>
      <c r="AD317" s="27">
        <f t="shared" si="133"/>
        <v>0</v>
      </c>
      <c r="AE317" s="27">
        <f t="shared" si="134"/>
        <v>0</v>
      </c>
      <c r="AF317" s="27">
        <f t="shared" si="135"/>
        <v>0</v>
      </c>
      <c r="AG317" s="27">
        <f t="shared" si="136"/>
        <v>0</v>
      </c>
      <c r="AH317" s="27">
        <f t="shared" si="137"/>
        <v>0</v>
      </c>
      <c r="AI317" s="20"/>
      <c r="AJ317" s="13">
        <f t="shared" si="138"/>
        <v>0</v>
      </c>
      <c r="AK317" s="13">
        <f t="shared" si="139"/>
        <v>0</v>
      </c>
      <c r="AL317" s="13">
        <f t="shared" si="140"/>
        <v>0</v>
      </c>
      <c r="AN317" s="27">
        <v>21</v>
      </c>
      <c r="AO317" s="27">
        <f>F317*0.00559130709990505</f>
        <v>0</v>
      </c>
      <c r="AP317" s="27">
        <f>F317*(1-0.00559130709990505)</f>
        <v>0</v>
      </c>
      <c r="AQ317" s="23" t="s">
        <v>7</v>
      </c>
      <c r="AV317" s="27">
        <f t="shared" si="141"/>
        <v>0</v>
      </c>
      <c r="AW317" s="27">
        <f t="shared" si="142"/>
        <v>0</v>
      </c>
      <c r="AX317" s="27">
        <f t="shared" si="143"/>
        <v>0</v>
      </c>
      <c r="AY317" s="28" t="s">
        <v>1080</v>
      </c>
      <c r="AZ317" s="28" t="s">
        <v>1103</v>
      </c>
      <c r="BA317" s="20" t="s">
        <v>1106</v>
      </c>
      <c r="BC317" s="27">
        <f t="shared" si="144"/>
        <v>0</v>
      </c>
      <c r="BD317" s="27">
        <f t="shared" si="145"/>
        <v>0</v>
      </c>
      <c r="BE317" s="27">
        <v>0</v>
      </c>
      <c r="BF317" s="27">
        <f t="shared" si="146"/>
        <v>6.000000000000001E-05</v>
      </c>
      <c r="BH317" s="13">
        <f t="shared" si="147"/>
        <v>0</v>
      </c>
      <c r="BI317" s="13">
        <f t="shared" si="148"/>
        <v>0</v>
      </c>
      <c r="BJ317" s="13">
        <f t="shared" si="149"/>
        <v>0</v>
      </c>
    </row>
    <row r="318" spans="1:62" ht="12.75">
      <c r="A318" s="107"/>
      <c r="B318" s="108"/>
      <c r="C318" s="99" t="s">
        <v>1751</v>
      </c>
      <c r="D318" s="205"/>
      <c r="E318" s="110"/>
      <c r="F318" s="132"/>
      <c r="G318" s="139"/>
      <c r="H318" s="110"/>
      <c r="I318" s="140"/>
      <c r="J318" s="213"/>
      <c r="K318" s="214"/>
      <c r="L318" s="150"/>
      <c r="Z318" s="27"/>
      <c r="AB318" s="27"/>
      <c r="AC318" s="27"/>
      <c r="AD318" s="27"/>
      <c r="AE318" s="27"/>
      <c r="AF318" s="27"/>
      <c r="AG318" s="27"/>
      <c r="AH318" s="27"/>
      <c r="AI318" s="20"/>
      <c r="AJ318" s="13"/>
      <c r="AK318" s="13"/>
      <c r="AL318" s="13"/>
      <c r="AN318" s="27"/>
      <c r="AO318" s="27"/>
      <c r="AP318" s="27"/>
      <c r="AQ318" s="23"/>
      <c r="AV318" s="27"/>
      <c r="AW318" s="27"/>
      <c r="AX318" s="27"/>
      <c r="AY318" s="28"/>
      <c r="AZ318" s="28"/>
      <c r="BA318" s="20"/>
      <c r="BC318" s="27"/>
      <c r="BD318" s="27"/>
      <c r="BE318" s="27"/>
      <c r="BF318" s="27"/>
      <c r="BH318" s="13"/>
      <c r="BI318" s="13"/>
      <c r="BJ318" s="13"/>
    </row>
    <row r="319" spans="1:62" ht="12.75">
      <c r="A319" s="107" t="s">
        <v>149</v>
      </c>
      <c r="B319" s="108" t="s">
        <v>469</v>
      </c>
      <c r="C319" s="109" t="s">
        <v>819</v>
      </c>
      <c r="D319" s="205" t="s">
        <v>1007</v>
      </c>
      <c r="E319" s="110">
        <v>2</v>
      </c>
      <c r="F319" s="132">
        <v>0</v>
      </c>
      <c r="G319" s="139">
        <f t="shared" si="126"/>
        <v>0</v>
      </c>
      <c r="H319" s="110">
        <f t="shared" si="127"/>
        <v>0</v>
      </c>
      <c r="I319" s="140">
        <f t="shared" si="128"/>
        <v>0</v>
      </c>
      <c r="J319" s="213">
        <v>5E-05</v>
      </c>
      <c r="K319" s="214">
        <f t="shared" si="129"/>
        <v>0.0001</v>
      </c>
      <c r="L319" s="150" t="s">
        <v>1039</v>
      </c>
      <c r="Z319" s="27">
        <f t="shared" si="130"/>
        <v>0</v>
      </c>
      <c r="AB319" s="27">
        <f t="shared" si="131"/>
        <v>0</v>
      </c>
      <c r="AC319" s="27">
        <f t="shared" si="132"/>
        <v>0</v>
      </c>
      <c r="AD319" s="27">
        <f t="shared" si="133"/>
        <v>0</v>
      </c>
      <c r="AE319" s="27">
        <f t="shared" si="134"/>
        <v>0</v>
      </c>
      <c r="AF319" s="27">
        <f t="shared" si="135"/>
        <v>0</v>
      </c>
      <c r="AG319" s="27">
        <f t="shared" si="136"/>
        <v>0</v>
      </c>
      <c r="AH319" s="27">
        <f t="shared" si="137"/>
        <v>0</v>
      </c>
      <c r="AI319" s="20"/>
      <c r="AJ319" s="13">
        <f t="shared" si="138"/>
        <v>0</v>
      </c>
      <c r="AK319" s="13">
        <f t="shared" si="139"/>
        <v>0</v>
      </c>
      <c r="AL319" s="13">
        <f t="shared" si="140"/>
        <v>0</v>
      </c>
      <c r="AN319" s="27">
        <v>21</v>
      </c>
      <c r="AO319" s="27">
        <f>F319*0.00728719830482195</f>
        <v>0</v>
      </c>
      <c r="AP319" s="27">
        <f>F319*(1-0.00728719830482195)</f>
        <v>0</v>
      </c>
      <c r="AQ319" s="23" t="s">
        <v>7</v>
      </c>
      <c r="AV319" s="27">
        <f t="shared" si="141"/>
        <v>0</v>
      </c>
      <c r="AW319" s="27">
        <f t="shared" si="142"/>
        <v>0</v>
      </c>
      <c r="AX319" s="27">
        <f t="shared" si="143"/>
        <v>0</v>
      </c>
      <c r="AY319" s="28" t="s">
        <v>1080</v>
      </c>
      <c r="AZ319" s="28" t="s">
        <v>1103</v>
      </c>
      <c r="BA319" s="20" t="s">
        <v>1106</v>
      </c>
      <c r="BC319" s="27">
        <f t="shared" si="144"/>
        <v>0</v>
      </c>
      <c r="BD319" s="27">
        <f t="shared" si="145"/>
        <v>0</v>
      </c>
      <c r="BE319" s="27">
        <v>0</v>
      </c>
      <c r="BF319" s="27">
        <f t="shared" si="146"/>
        <v>0.0001</v>
      </c>
      <c r="BH319" s="13">
        <f t="shared" si="147"/>
        <v>0</v>
      </c>
      <c r="BI319" s="13">
        <f t="shared" si="148"/>
        <v>0</v>
      </c>
      <c r="BJ319" s="13">
        <f t="shared" si="149"/>
        <v>0</v>
      </c>
    </row>
    <row r="320" spans="1:62" ht="12.75">
      <c r="A320" s="107"/>
      <c r="B320" s="108"/>
      <c r="C320" s="99" t="s">
        <v>1752</v>
      </c>
      <c r="D320" s="205"/>
      <c r="E320" s="110"/>
      <c r="F320" s="132"/>
      <c r="G320" s="139"/>
      <c r="H320" s="110"/>
      <c r="I320" s="140"/>
      <c r="J320" s="213"/>
      <c r="K320" s="214"/>
      <c r="L320" s="150"/>
      <c r="Z320" s="27"/>
      <c r="AB320" s="27"/>
      <c r="AC320" s="27"/>
      <c r="AD320" s="27"/>
      <c r="AE320" s="27"/>
      <c r="AF320" s="27"/>
      <c r="AG320" s="27"/>
      <c r="AH320" s="27"/>
      <c r="AI320" s="20"/>
      <c r="AJ320" s="13"/>
      <c r="AK320" s="13"/>
      <c r="AL320" s="13"/>
      <c r="AN320" s="27"/>
      <c r="AO320" s="27"/>
      <c r="AP320" s="27"/>
      <c r="AQ320" s="23"/>
      <c r="AV320" s="27"/>
      <c r="AW320" s="27"/>
      <c r="AX320" s="27"/>
      <c r="AY320" s="28"/>
      <c r="AZ320" s="28"/>
      <c r="BA320" s="20"/>
      <c r="BC320" s="27"/>
      <c r="BD320" s="27"/>
      <c r="BE320" s="27"/>
      <c r="BF320" s="27"/>
      <c r="BH320" s="13"/>
      <c r="BI320" s="13"/>
      <c r="BJ320" s="13"/>
    </row>
    <row r="321" spans="1:62" ht="12.75">
      <c r="A321" s="107" t="s">
        <v>150</v>
      </c>
      <c r="B321" s="108" t="s">
        <v>470</v>
      </c>
      <c r="C321" s="109" t="s">
        <v>820</v>
      </c>
      <c r="D321" s="205" t="s">
        <v>1007</v>
      </c>
      <c r="E321" s="110">
        <v>6</v>
      </c>
      <c r="F321" s="132">
        <v>0</v>
      </c>
      <c r="G321" s="139">
        <f t="shared" si="126"/>
        <v>0</v>
      </c>
      <c r="H321" s="110">
        <f t="shared" si="127"/>
        <v>0</v>
      </c>
      <c r="I321" s="140">
        <f t="shared" si="128"/>
        <v>0</v>
      </c>
      <c r="J321" s="213">
        <v>7E-05</v>
      </c>
      <c r="K321" s="214">
        <f t="shared" si="129"/>
        <v>0.00041999999999999996</v>
      </c>
      <c r="L321" s="150" t="s">
        <v>1039</v>
      </c>
      <c r="Z321" s="27">
        <f t="shared" si="130"/>
        <v>0</v>
      </c>
      <c r="AB321" s="27">
        <f t="shared" si="131"/>
        <v>0</v>
      </c>
      <c r="AC321" s="27">
        <f t="shared" si="132"/>
        <v>0</v>
      </c>
      <c r="AD321" s="27">
        <f t="shared" si="133"/>
        <v>0</v>
      </c>
      <c r="AE321" s="27">
        <f t="shared" si="134"/>
        <v>0</v>
      </c>
      <c r="AF321" s="27">
        <f t="shared" si="135"/>
        <v>0</v>
      </c>
      <c r="AG321" s="27">
        <f t="shared" si="136"/>
        <v>0</v>
      </c>
      <c r="AH321" s="27">
        <f t="shared" si="137"/>
        <v>0</v>
      </c>
      <c r="AI321" s="20"/>
      <c r="AJ321" s="13">
        <f t="shared" si="138"/>
        <v>0</v>
      </c>
      <c r="AK321" s="13">
        <f t="shared" si="139"/>
        <v>0</v>
      </c>
      <c r="AL321" s="13">
        <f t="shared" si="140"/>
        <v>0</v>
      </c>
      <c r="AN321" s="27">
        <v>21</v>
      </c>
      <c r="AO321" s="27">
        <f>F321*0.00811097285589198</f>
        <v>0</v>
      </c>
      <c r="AP321" s="27">
        <f>F321*(1-0.00811097285589198)</f>
        <v>0</v>
      </c>
      <c r="AQ321" s="23" t="s">
        <v>7</v>
      </c>
      <c r="AV321" s="27">
        <f t="shared" si="141"/>
        <v>0</v>
      </c>
      <c r="AW321" s="27">
        <f t="shared" si="142"/>
        <v>0</v>
      </c>
      <c r="AX321" s="27">
        <f t="shared" si="143"/>
        <v>0</v>
      </c>
      <c r="AY321" s="28" t="s">
        <v>1080</v>
      </c>
      <c r="AZ321" s="28" t="s">
        <v>1103</v>
      </c>
      <c r="BA321" s="20" t="s">
        <v>1106</v>
      </c>
      <c r="BC321" s="27">
        <f t="shared" si="144"/>
        <v>0</v>
      </c>
      <c r="BD321" s="27">
        <f t="shared" si="145"/>
        <v>0</v>
      </c>
      <c r="BE321" s="27">
        <v>0</v>
      </c>
      <c r="BF321" s="27">
        <f t="shared" si="146"/>
        <v>0.00041999999999999996</v>
      </c>
      <c r="BH321" s="13">
        <f t="shared" si="147"/>
        <v>0</v>
      </c>
      <c r="BI321" s="13">
        <f t="shared" si="148"/>
        <v>0</v>
      </c>
      <c r="BJ321" s="13">
        <f t="shared" si="149"/>
        <v>0</v>
      </c>
    </row>
    <row r="322" spans="1:62" ht="12.75">
      <c r="A322" s="107"/>
      <c r="B322" s="108"/>
      <c r="C322" s="99" t="s">
        <v>1753</v>
      </c>
      <c r="D322" s="205"/>
      <c r="E322" s="110"/>
      <c r="F322" s="132"/>
      <c r="G322" s="139"/>
      <c r="H322" s="110"/>
      <c r="I322" s="140"/>
      <c r="J322" s="213"/>
      <c r="K322" s="214"/>
      <c r="L322" s="150"/>
      <c r="Z322" s="27"/>
      <c r="AB322" s="27"/>
      <c r="AC322" s="27"/>
      <c r="AD322" s="27"/>
      <c r="AE322" s="27"/>
      <c r="AF322" s="27"/>
      <c r="AG322" s="27"/>
      <c r="AH322" s="27"/>
      <c r="AI322" s="20"/>
      <c r="AJ322" s="13"/>
      <c r="AK322" s="13"/>
      <c r="AL322" s="13"/>
      <c r="AN322" s="27"/>
      <c r="AO322" s="27"/>
      <c r="AP322" s="27"/>
      <c r="AQ322" s="23"/>
      <c r="AV322" s="27"/>
      <c r="AW322" s="27"/>
      <c r="AX322" s="27"/>
      <c r="AY322" s="28"/>
      <c r="AZ322" s="28"/>
      <c r="BA322" s="20"/>
      <c r="BC322" s="27"/>
      <c r="BD322" s="27"/>
      <c r="BE322" s="27"/>
      <c r="BF322" s="27"/>
      <c r="BH322" s="13"/>
      <c r="BI322" s="13"/>
      <c r="BJ322" s="13"/>
    </row>
    <row r="323" spans="1:62" ht="12.75">
      <c r="A323" s="107" t="s">
        <v>151</v>
      </c>
      <c r="B323" s="108" t="s">
        <v>471</v>
      </c>
      <c r="C323" s="109" t="s">
        <v>821</v>
      </c>
      <c r="D323" s="205" t="s">
        <v>1007</v>
      </c>
      <c r="E323" s="110">
        <f>+E324</f>
        <v>0</v>
      </c>
      <c r="F323" s="132">
        <v>0</v>
      </c>
      <c r="G323" s="139">
        <f t="shared" si="126"/>
        <v>0</v>
      </c>
      <c r="H323" s="110">
        <f t="shared" si="127"/>
        <v>0</v>
      </c>
      <c r="I323" s="140">
        <f t="shared" si="128"/>
        <v>0</v>
      </c>
      <c r="J323" s="213">
        <v>3E-05</v>
      </c>
      <c r="K323" s="214">
        <f t="shared" si="129"/>
        <v>0</v>
      </c>
      <c r="L323" s="150" t="s">
        <v>1039</v>
      </c>
      <c r="Z323" s="27">
        <f t="shared" si="130"/>
        <v>0</v>
      </c>
      <c r="AB323" s="27">
        <f t="shared" si="131"/>
        <v>0</v>
      </c>
      <c r="AC323" s="27">
        <f t="shared" si="132"/>
        <v>0</v>
      </c>
      <c r="AD323" s="27">
        <f t="shared" si="133"/>
        <v>0</v>
      </c>
      <c r="AE323" s="27">
        <f t="shared" si="134"/>
        <v>0</v>
      </c>
      <c r="AF323" s="27">
        <f t="shared" si="135"/>
        <v>0</v>
      </c>
      <c r="AG323" s="27">
        <f t="shared" si="136"/>
        <v>0</v>
      </c>
      <c r="AH323" s="27">
        <f t="shared" si="137"/>
        <v>0</v>
      </c>
      <c r="AI323" s="20"/>
      <c r="AJ323" s="13">
        <f t="shared" si="138"/>
        <v>0</v>
      </c>
      <c r="AK323" s="13">
        <f t="shared" si="139"/>
        <v>0</v>
      </c>
      <c r="AL323" s="13">
        <f t="shared" si="140"/>
        <v>0</v>
      </c>
      <c r="AN323" s="27">
        <v>21</v>
      </c>
      <c r="AO323" s="27">
        <f>F323*0.00709677419354839</f>
        <v>0</v>
      </c>
      <c r="AP323" s="27">
        <f>F323*(1-0.00709677419354839)</f>
        <v>0</v>
      </c>
      <c r="AQ323" s="23" t="s">
        <v>7</v>
      </c>
      <c r="AV323" s="27">
        <f t="shared" si="141"/>
        <v>0</v>
      </c>
      <c r="AW323" s="27">
        <f t="shared" si="142"/>
        <v>0</v>
      </c>
      <c r="AX323" s="27">
        <f t="shared" si="143"/>
        <v>0</v>
      </c>
      <c r="AY323" s="28" t="s">
        <v>1080</v>
      </c>
      <c r="AZ323" s="28" t="s">
        <v>1103</v>
      </c>
      <c r="BA323" s="20" t="s">
        <v>1106</v>
      </c>
      <c r="BC323" s="27">
        <f t="shared" si="144"/>
        <v>0</v>
      </c>
      <c r="BD323" s="27">
        <f t="shared" si="145"/>
        <v>0</v>
      </c>
      <c r="BE323" s="27">
        <v>0</v>
      </c>
      <c r="BF323" s="27">
        <f t="shared" si="146"/>
        <v>0</v>
      </c>
      <c r="BH323" s="13">
        <f t="shared" si="147"/>
        <v>0</v>
      </c>
      <c r="BI323" s="13">
        <f t="shared" si="148"/>
        <v>0</v>
      </c>
      <c r="BJ323" s="13">
        <f t="shared" si="149"/>
        <v>0</v>
      </c>
    </row>
    <row r="324" spans="1:62" ht="12.75">
      <c r="A324" s="107"/>
      <c r="B324" s="108"/>
      <c r="C324" s="99" t="s">
        <v>1754</v>
      </c>
      <c r="D324" s="205"/>
      <c r="E324" s="110"/>
      <c r="F324" s="132"/>
      <c r="G324" s="139"/>
      <c r="H324" s="110"/>
      <c r="I324" s="140"/>
      <c r="J324" s="213"/>
      <c r="K324" s="214"/>
      <c r="L324" s="150"/>
      <c r="Z324" s="27"/>
      <c r="AB324" s="27"/>
      <c r="AC324" s="27"/>
      <c r="AD324" s="27"/>
      <c r="AE324" s="27"/>
      <c r="AF324" s="27"/>
      <c r="AG324" s="27"/>
      <c r="AH324" s="27"/>
      <c r="AI324" s="20"/>
      <c r="AJ324" s="13"/>
      <c r="AK324" s="13"/>
      <c r="AL324" s="13"/>
      <c r="AN324" s="27"/>
      <c r="AO324" s="27"/>
      <c r="AP324" s="27"/>
      <c r="AQ324" s="23"/>
      <c r="AV324" s="27"/>
      <c r="AW324" s="27"/>
      <c r="AX324" s="27"/>
      <c r="AY324" s="28"/>
      <c r="AZ324" s="28"/>
      <c r="BA324" s="20"/>
      <c r="BC324" s="27"/>
      <c r="BD324" s="27"/>
      <c r="BE324" s="27"/>
      <c r="BF324" s="27"/>
      <c r="BH324" s="13"/>
      <c r="BI324" s="13"/>
      <c r="BJ324" s="13"/>
    </row>
    <row r="325" spans="1:62" ht="12.75">
      <c r="A325" s="107" t="s">
        <v>152</v>
      </c>
      <c r="B325" s="108" t="s">
        <v>472</v>
      </c>
      <c r="C325" s="109" t="s">
        <v>822</v>
      </c>
      <c r="D325" s="205" t="s">
        <v>1007</v>
      </c>
      <c r="E325" s="110">
        <v>2</v>
      </c>
      <c r="F325" s="132">
        <v>0</v>
      </c>
      <c r="G325" s="139">
        <f t="shared" si="126"/>
        <v>0</v>
      </c>
      <c r="H325" s="110">
        <f t="shared" si="127"/>
        <v>0</v>
      </c>
      <c r="I325" s="140">
        <f t="shared" si="128"/>
        <v>0</v>
      </c>
      <c r="J325" s="213">
        <v>8E-05</v>
      </c>
      <c r="K325" s="214">
        <f t="shared" si="129"/>
        <v>0.00016</v>
      </c>
      <c r="L325" s="150" t="s">
        <v>1039</v>
      </c>
      <c r="Z325" s="27">
        <f t="shared" si="130"/>
        <v>0</v>
      </c>
      <c r="AB325" s="27">
        <f t="shared" si="131"/>
        <v>0</v>
      </c>
      <c r="AC325" s="27">
        <f t="shared" si="132"/>
        <v>0</v>
      </c>
      <c r="AD325" s="27">
        <f t="shared" si="133"/>
        <v>0</v>
      </c>
      <c r="AE325" s="27">
        <f t="shared" si="134"/>
        <v>0</v>
      </c>
      <c r="AF325" s="27">
        <f t="shared" si="135"/>
        <v>0</v>
      </c>
      <c r="AG325" s="27">
        <f t="shared" si="136"/>
        <v>0</v>
      </c>
      <c r="AH325" s="27">
        <f t="shared" si="137"/>
        <v>0</v>
      </c>
      <c r="AI325" s="20"/>
      <c r="AJ325" s="13">
        <f t="shared" si="138"/>
        <v>0</v>
      </c>
      <c r="AK325" s="13">
        <f t="shared" si="139"/>
        <v>0</v>
      </c>
      <c r="AL325" s="13">
        <f t="shared" si="140"/>
        <v>0</v>
      </c>
      <c r="AN325" s="27">
        <v>21</v>
      </c>
      <c r="AO325" s="27">
        <f>F325*0.008203125</f>
        <v>0</v>
      </c>
      <c r="AP325" s="27">
        <f>F325*(1-0.008203125)</f>
        <v>0</v>
      </c>
      <c r="AQ325" s="23" t="s">
        <v>7</v>
      </c>
      <c r="AV325" s="27">
        <f t="shared" si="141"/>
        <v>0</v>
      </c>
      <c r="AW325" s="27">
        <f t="shared" si="142"/>
        <v>0</v>
      </c>
      <c r="AX325" s="27">
        <f t="shared" si="143"/>
        <v>0</v>
      </c>
      <c r="AY325" s="28" t="s">
        <v>1080</v>
      </c>
      <c r="AZ325" s="28" t="s">
        <v>1103</v>
      </c>
      <c r="BA325" s="20" t="s">
        <v>1106</v>
      </c>
      <c r="BC325" s="27">
        <f t="shared" si="144"/>
        <v>0</v>
      </c>
      <c r="BD325" s="27">
        <f t="shared" si="145"/>
        <v>0</v>
      </c>
      <c r="BE325" s="27">
        <v>0</v>
      </c>
      <c r="BF325" s="27">
        <f t="shared" si="146"/>
        <v>0.00016</v>
      </c>
      <c r="BH325" s="13">
        <f t="shared" si="147"/>
        <v>0</v>
      </c>
      <c r="BI325" s="13">
        <f t="shared" si="148"/>
        <v>0</v>
      </c>
      <c r="BJ325" s="13">
        <f t="shared" si="149"/>
        <v>0</v>
      </c>
    </row>
    <row r="326" spans="1:62" ht="12.75">
      <c r="A326" s="107"/>
      <c r="B326" s="108"/>
      <c r="C326" s="99" t="s">
        <v>1755</v>
      </c>
      <c r="D326" s="205"/>
      <c r="E326" s="110"/>
      <c r="F326" s="132"/>
      <c r="G326" s="139"/>
      <c r="H326" s="110"/>
      <c r="I326" s="140"/>
      <c r="J326" s="213"/>
      <c r="K326" s="214"/>
      <c r="L326" s="150"/>
      <c r="Z326" s="27"/>
      <c r="AB326" s="27"/>
      <c r="AC326" s="27"/>
      <c r="AD326" s="27"/>
      <c r="AE326" s="27"/>
      <c r="AF326" s="27"/>
      <c r="AG326" s="27"/>
      <c r="AH326" s="27"/>
      <c r="AI326" s="20"/>
      <c r="AJ326" s="13"/>
      <c r="AK326" s="13"/>
      <c r="AL326" s="13"/>
      <c r="AN326" s="27"/>
      <c r="AO326" s="27"/>
      <c r="AP326" s="27"/>
      <c r="AQ326" s="23"/>
      <c r="AV326" s="27"/>
      <c r="AW326" s="27"/>
      <c r="AX326" s="27"/>
      <c r="AY326" s="28"/>
      <c r="AZ326" s="28"/>
      <c r="BA326" s="20"/>
      <c r="BC326" s="27"/>
      <c r="BD326" s="27"/>
      <c r="BE326" s="27"/>
      <c r="BF326" s="27"/>
      <c r="BH326" s="13"/>
      <c r="BI326" s="13"/>
      <c r="BJ326" s="13"/>
    </row>
    <row r="327" spans="1:62" ht="12.75">
      <c r="A327" s="107" t="s">
        <v>153</v>
      </c>
      <c r="B327" s="108" t="s">
        <v>473</v>
      </c>
      <c r="C327" s="109" t="s">
        <v>823</v>
      </c>
      <c r="D327" s="205" t="s">
        <v>1007</v>
      </c>
      <c r="E327" s="110">
        <f>+E328</f>
        <v>13</v>
      </c>
      <c r="F327" s="132">
        <v>0</v>
      </c>
      <c r="G327" s="139">
        <f t="shared" si="126"/>
        <v>0</v>
      </c>
      <c r="H327" s="110">
        <f t="shared" si="127"/>
        <v>0</v>
      </c>
      <c r="I327" s="140">
        <f t="shared" si="128"/>
        <v>0</v>
      </c>
      <c r="J327" s="213">
        <v>9E-05</v>
      </c>
      <c r="K327" s="214">
        <f t="shared" si="129"/>
        <v>0.00117</v>
      </c>
      <c r="L327" s="150" t="s">
        <v>1039</v>
      </c>
      <c r="Z327" s="27">
        <f t="shared" si="130"/>
        <v>0</v>
      </c>
      <c r="AB327" s="27">
        <f t="shared" si="131"/>
        <v>0</v>
      </c>
      <c r="AC327" s="27">
        <f t="shared" si="132"/>
        <v>0</v>
      </c>
      <c r="AD327" s="27">
        <f t="shared" si="133"/>
        <v>0</v>
      </c>
      <c r="AE327" s="27">
        <f t="shared" si="134"/>
        <v>0</v>
      </c>
      <c r="AF327" s="27">
        <f t="shared" si="135"/>
        <v>0</v>
      </c>
      <c r="AG327" s="27">
        <f t="shared" si="136"/>
        <v>0</v>
      </c>
      <c r="AH327" s="27">
        <f t="shared" si="137"/>
        <v>0</v>
      </c>
      <c r="AI327" s="20"/>
      <c r="AJ327" s="13">
        <f t="shared" si="138"/>
        <v>0</v>
      </c>
      <c r="AK327" s="13">
        <f t="shared" si="139"/>
        <v>0</v>
      </c>
      <c r="AL327" s="13">
        <f t="shared" si="140"/>
        <v>0</v>
      </c>
      <c r="AN327" s="27">
        <v>21</v>
      </c>
      <c r="AO327" s="27">
        <f>F327*0.00877005347593583</f>
        <v>0</v>
      </c>
      <c r="AP327" s="27">
        <f>F327*(1-0.00877005347593583)</f>
        <v>0</v>
      </c>
      <c r="AQ327" s="23" t="s">
        <v>7</v>
      </c>
      <c r="AV327" s="27">
        <f t="shared" si="141"/>
        <v>0</v>
      </c>
      <c r="AW327" s="27">
        <f t="shared" si="142"/>
        <v>0</v>
      </c>
      <c r="AX327" s="27">
        <f t="shared" si="143"/>
        <v>0</v>
      </c>
      <c r="AY327" s="28" t="s">
        <v>1080</v>
      </c>
      <c r="AZ327" s="28" t="s">
        <v>1103</v>
      </c>
      <c r="BA327" s="20" t="s">
        <v>1106</v>
      </c>
      <c r="BC327" s="27">
        <f t="shared" si="144"/>
        <v>0</v>
      </c>
      <c r="BD327" s="27">
        <f t="shared" si="145"/>
        <v>0</v>
      </c>
      <c r="BE327" s="27">
        <v>0</v>
      </c>
      <c r="BF327" s="27">
        <f t="shared" si="146"/>
        <v>0.00117</v>
      </c>
      <c r="BH327" s="13">
        <f t="shared" si="147"/>
        <v>0</v>
      </c>
      <c r="BI327" s="13">
        <f t="shared" si="148"/>
        <v>0</v>
      </c>
      <c r="BJ327" s="13">
        <f t="shared" si="149"/>
        <v>0</v>
      </c>
    </row>
    <row r="328" spans="1:62" ht="12.75">
      <c r="A328" s="107"/>
      <c r="B328" s="108"/>
      <c r="C328" s="99" t="s">
        <v>1756</v>
      </c>
      <c r="D328" s="100" t="s">
        <v>1007</v>
      </c>
      <c r="E328" s="101">
        <f>3*2+7*1</f>
        <v>13</v>
      </c>
      <c r="F328" s="132"/>
      <c r="G328" s="139"/>
      <c r="H328" s="110"/>
      <c r="I328" s="140"/>
      <c r="J328" s="213"/>
      <c r="K328" s="214"/>
      <c r="L328" s="150"/>
      <c r="Z328" s="27"/>
      <c r="AB328" s="27"/>
      <c r="AC328" s="27"/>
      <c r="AD328" s="27"/>
      <c r="AE328" s="27"/>
      <c r="AF328" s="27"/>
      <c r="AG328" s="27"/>
      <c r="AH328" s="27"/>
      <c r="AI328" s="20"/>
      <c r="AJ328" s="13"/>
      <c r="AK328" s="13"/>
      <c r="AL328" s="13"/>
      <c r="AN328" s="27"/>
      <c r="AO328" s="27"/>
      <c r="AP328" s="27"/>
      <c r="AQ328" s="23"/>
      <c r="AV328" s="27"/>
      <c r="AW328" s="27"/>
      <c r="AX328" s="27"/>
      <c r="AY328" s="28"/>
      <c r="AZ328" s="28"/>
      <c r="BA328" s="20"/>
      <c r="BC328" s="27"/>
      <c r="BD328" s="27"/>
      <c r="BE328" s="27"/>
      <c r="BF328" s="27"/>
      <c r="BH328" s="13"/>
      <c r="BI328" s="13"/>
      <c r="BJ328" s="13"/>
    </row>
    <row r="329" spans="1:62" ht="12.75">
      <c r="A329" s="107" t="s">
        <v>154</v>
      </c>
      <c r="B329" s="108" t="s">
        <v>474</v>
      </c>
      <c r="C329" s="109" t="s">
        <v>824</v>
      </c>
      <c r="D329" s="205" t="s">
        <v>1007</v>
      </c>
      <c r="E329" s="110">
        <v>2</v>
      </c>
      <c r="F329" s="132">
        <v>0</v>
      </c>
      <c r="G329" s="139">
        <f t="shared" si="126"/>
        <v>0</v>
      </c>
      <c r="H329" s="110">
        <f t="shared" si="127"/>
        <v>0</v>
      </c>
      <c r="I329" s="140">
        <f t="shared" si="128"/>
        <v>0</v>
      </c>
      <c r="J329" s="213">
        <v>5E-05</v>
      </c>
      <c r="K329" s="214">
        <f t="shared" si="129"/>
        <v>0.0001</v>
      </c>
      <c r="L329" s="150" t="s">
        <v>1039</v>
      </c>
      <c r="Z329" s="27">
        <f t="shared" si="130"/>
        <v>0</v>
      </c>
      <c r="AB329" s="27">
        <f t="shared" si="131"/>
        <v>0</v>
      </c>
      <c r="AC329" s="27">
        <f t="shared" si="132"/>
        <v>0</v>
      </c>
      <c r="AD329" s="27">
        <f t="shared" si="133"/>
        <v>0</v>
      </c>
      <c r="AE329" s="27">
        <f t="shared" si="134"/>
        <v>0</v>
      </c>
      <c r="AF329" s="27">
        <f t="shared" si="135"/>
        <v>0</v>
      </c>
      <c r="AG329" s="27">
        <f t="shared" si="136"/>
        <v>0</v>
      </c>
      <c r="AH329" s="27">
        <f t="shared" si="137"/>
        <v>0</v>
      </c>
      <c r="AI329" s="20"/>
      <c r="AJ329" s="13">
        <f t="shared" si="138"/>
        <v>0</v>
      </c>
      <c r="AK329" s="13">
        <f t="shared" si="139"/>
        <v>0</v>
      </c>
      <c r="AL329" s="13">
        <f t="shared" si="140"/>
        <v>0</v>
      </c>
      <c r="AN329" s="27">
        <v>21</v>
      </c>
      <c r="AO329" s="27">
        <f>F329*0.00767295597484277</f>
        <v>0</v>
      </c>
      <c r="AP329" s="27">
        <f>F329*(1-0.00767295597484277)</f>
        <v>0</v>
      </c>
      <c r="AQ329" s="23" t="s">
        <v>7</v>
      </c>
      <c r="AV329" s="27">
        <f t="shared" si="141"/>
        <v>0</v>
      </c>
      <c r="AW329" s="27">
        <f t="shared" si="142"/>
        <v>0</v>
      </c>
      <c r="AX329" s="27">
        <f t="shared" si="143"/>
        <v>0</v>
      </c>
      <c r="AY329" s="28" t="s">
        <v>1080</v>
      </c>
      <c r="AZ329" s="28" t="s">
        <v>1103</v>
      </c>
      <c r="BA329" s="20" t="s">
        <v>1106</v>
      </c>
      <c r="BC329" s="27">
        <f t="shared" si="144"/>
        <v>0</v>
      </c>
      <c r="BD329" s="27">
        <f t="shared" si="145"/>
        <v>0</v>
      </c>
      <c r="BE329" s="27">
        <v>0</v>
      </c>
      <c r="BF329" s="27">
        <f t="shared" si="146"/>
        <v>0.0001</v>
      </c>
      <c r="BH329" s="13">
        <f t="shared" si="147"/>
        <v>0</v>
      </c>
      <c r="BI329" s="13">
        <f t="shared" si="148"/>
        <v>0</v>
      </c>
      <c r="BJ329" s="13">
        <f t="shared" si="149"/>
        <v>0</v>
      </c>
    </row>
    <row r="330" spans="1:62" ht="12.75">
      <c r="A330" s="107"/>
      <c r="B330" s="108"/>
      <c r="C330" s="99" t="s">
        <v>1757</v>
      </c>
      <c r="D330" s="205"/>
      <c r="E330" s="110"/>
      <c r="F330" s="132"/>
      <c r="G330" s="139"/>
      <c r="H330" s="110"/>
      <c r="I330" s="140"/>
      <c r="J330" s="213"/>
      <c r="K330" s="214"/>
      <c r="L330" s="150"/>
      <c r="Z330" s="27"/>
      <c r="AB330" s="27"/>
      <c r="AC330" s="27"/>
      <c r="AD330" s="27"/>
      <c r="AE330" s="27"/>
      <c r="AF330" s="27"/>
      <c r="AG330" s="27"/>
      <c r="AH330" s="27"/>
      <c r="AI330" s="20"/>
      <c r="AJ330" s="13"/>
      <c r="AK330" s="13"/>
      <c r="AL330" s="13"/>
      <c r="AN330" s="27"/>
      <c r="AO330" s="27"/>
      <c r="AP330" s="27"/>
      <c r="AQ330" s="23"/>
      <c r="AV330" s="27"/>
      <c r="AW330" s="27"/>
      <c r="AX330" s="27"/>
      <c r="AY330" s="28"/>
      <c r="AZ330" s="28"/>
      <c r="BA330" s="20"/>
      <c r="BC330" s="27"/>
      <c r="BD330" s="27"/>
      <c r="BE330" s="27"/>
      <c r="BF330" s="27"/>
      <c r="BH330" s="13"/>
      <c r="BI330" s="13"/>
      <c r="BJ330" s="13"/>
    </row>
    <row r="331" spans="1:62" ht="12.75">
      <c r="A331" s="107" t="s">
        <v>155</v>
      </c>
      <c r="B331" s="108" t="s">
        <v>475</v>
      </c>
      <c r="C331" s="109" t="s">
        <v>825</v>
      </c>
      <c r="D331" s="205" t="s">
        <v>1007</v>
      </c>
      <c r="E331" s="110">
        <f>+E332</f>
        <v>6</v>
      </c>
      <c r="F331" s="132">
        <v>0</v>
      </c>
      <c r="G331" s="139">
        <f t="shared" si="126"/>
        <v>0</v>
      </c>
      <c r="H331" s="110">
        <f t="shared" si="127"/>
        <v>0</v>
      </c>
      <c r="I331" s="140">
        <f t="shared" si="128"/>
        <v>0</v>
      </c>
      <c r="J331" s="213">
        <v>0.00017</v>
      </c>
      <c r="K331" s="214">
        <f t="shared" si="129"/>
        <v>0.00102</v>
      </c>
      <c r="L331" s="150" t="s">
        <v>1039</v>
      </c>
      <c r="Z331" s="27">
        <f t="shared" si="130"/>
        <v>0</v>
      </c>
      <c r="AB331" s="27">
        <f t="shared" si="131"/>
        <v>0</v>
      </c>
      <c r="AC331" s="27">
        <f t="shared" si="132"/>
        <v>0</v>
      </c>
      <c r="AD331" s="27">
        <f t="shared" si="133"/>
        <v>0</v>
      </c>
      <c r="AE331" s="27">
        <f t="shared" si="134"/>
        <v>0</v>
      </c>
      <c r="AF331" s="27">
        <f t="shared" si="135"/>
        <v>0</v>
      </c>
      <c r="AG331" s="27">
        <f t="shared" si="136"/>
        <v>0</v>
      </c>
      <c r="AH331" s="27">
        <f t="shared" si="137"/>
        <v>0</v>
      </c>
      <c r="AI331" s="20"/>
      <c r="AJ331" s="13">
        <f t="shared" si="138"/>
        <v>0</v>
      </c>
      <c r="AK331" s="13">
        <f t="shared" si="139"/>
        <v>0</v>
      </c>
      <c r="AL331" s="13">
        <f t="shared" si="140"/>
        <v>0</v>
      </c>
      <c r="AN331" s="27">
        <v>21</v>
      </c>
      <c r="AO331" s="27">
        <f>F331*0.00586872586872587</f>
        <v>0</v>
      </c>
      <c r="AP331" s="27">
        <f>F331*(1-0.00586872586872587)</f>
        <v>0</v>
      </c>
      <c r="AQ331" s="23" t="s">
        <v>7</v>
      </c>
      <c r="AV331" s="27">
        <f t="shared" si="141"/>
        <v>0</v>
      </c>
      <c r="AW331" s="27">
        <f t="shared" si="142"/>
        <v>0</v>
      </c>
      <c r="AX331" s="27">
        <f t="shared" si="143"/>
        <v>0</v>
      </c>
      <c r="AY331" s="28" t="s">
        <v>1080</v>
      </c>
      <c r="AZ331" s="28" t="s">
        <v>1103</v>
      </c>
      <c r="BA331" s="20" t="s">
        <v>1106</v>
      </c>
      <c r="BC331" s="27">
        <f t="shared" si="144"/>
        <v>0</v>
      </c>
      <c r="BD331" s="27">
        <f t="shared" si="145"/>
        <v>0</v>
      </c>
      <c r="BE331" s="27">
        <v>0</v>
      </c>
      <c r="BF331" s="27">
        <f t="shared" si="146"/>
        <v>0.00102</v>
      </c>
      <c r="BH331" s="13">
        <f t="shared" si="147"/>
        <v>0</v>
      </c>
      <c r="BI331" s="13">
        <f t="shared" si="148"/>
        <v>0</v>
      </c>
      <c r="BJ331" s="13">
        <f t="shared" si="149"/>
        <v>0</v>
      </c>
    </row>
    <row r="332" spans="1:62" ht="12.75">
      <c r="A332" s="107"/>
      <c r="B332" s="108"/>
      <c r="C332" s="99" t="s">
        <v>1758</v>
      </c>
      <c r="D332" s="100" t="s">
        <v>1007</v>
      </c>
      <c r="E332" s="101">
        <f>3*2</f>
        <v>6</v>
      </c>
      <c r="F332" s="132"/>
      <c r="G332" s="139"/>
      <c r="H332" s="110"/>
      <c r="I332" s="140"/>
      <c r="J332" s="213"/>
      <c r="K332" s="214"/>
      <c r="L332" s="150"/>
      <c r="Z332" s="27"/>
      <c r="AB332" s="27"/>
      <c r="AC332" s="27"/>
      <c r="AD332" s="27"/>
      <c r="AE332" s="27"/>
      <c r="AF332" s="27"/>
      <c r="AG332" s="27"/>
      <c r="AH332" s="27"/>
      <c r="AI332" s="20"/>
      <c r="AJ332" s="13"/>
      <c r="AK332" s="13"/>
      <c r="AL332" s="13"/>
      <c r="AN332" s="27"/>
      <c r="AO332" s="27"/>
      <c r="AP332" s="27"/>
      <c r="AQ332" s="23"/>
      <c r="AV332" s="27"/>
      <c r="AW332" s="27"/>
      <c r="AX332" s="27"/>
      <c r="AY332" s="28"/>
      <c r="AZ332" s="28"/>
      <c r="BA332" s="20"/>
      <c r="BC332" s="27"/>
      <c r="BD332" s="27"/>
      <c r="BE332" s="27"/>
      <c r="BF332" s="27"/>
      <c r="BH332" s="13"/>
      <c r="BI332" s="13"/>
      <c r="BJ332" s="13"/>
    </row>
    <row r="333" spans="1:62" ht="12.75">
      <c r="A333" s="107" t="s">
        <v>156</v>
      </c>
      <c r="B333" s="108" t="s">
        <v>476</v>
      </c>
      <c r="C333" s="109" t="s">
        <v>826</v>
      </c>
      <c r="D333" s="205" t="s">
        <v>1007</v>
      </c>
      <c r="E333" s="110">
        <v>8</v>
      </c>
      <c r="F333" s="132">
        <v>0</v>
      </c>
      <c r="G333" s="139">
        <f t="shared" si="126"/>
        <v>0</v>
      </c>
      <c r="H333" s="110">
        <f t="shared" si="127"/>
        <v>0</v>
      </c>
      <c r="I333" s="140">
        <f t="shared" si="128"/>
        <v>0</v>
      </c>
      <c r="J333" s="213">
        <v>0.00013</v>
      </c>
      <c r="K333" s="214">
        <f t="shared" si="129"/>
        <v>0.00104</v>
      </c>
      <c r="L333" s="150" t="s">
        <v>1039</v>
      </c>
      <c r="Z333" s="27">
        <f t="shared" si="130"/>
        <v>0</v>
      </c>
      <c r="AB333" s="27">
        <f t="shared" si="131"/>
        <v>0</v>
      </c>
      <c r="AC333" s="27">
        <f t="shared" si="132"/>
        <v>0</v>
      </c>
      <c r="AD333" s="27">
        <f t="shared" si="133"/>
        <v>0</v>
      </c>
      <c r="AE333" s="27">
        <f t="shared" si="134"/>
        <v>0</v>
      </c>
      <c r="AF333" s="27">
        <f t="shared" si="135"/>
        <v>0</v>
      </c>
      <c r="AG333" s="27">
        <f t="shared" si="136"/>
        <v>0</v>
      </c>
      <c r="AH333" s="27">
        <f t="shared" si="137"/>
        <v>0</v>
      </c>
      <c r="AI333" s="20"/>
      <c r="AJ333" s="13">
        <f t="shared" si="138"/>
        <v>0</v>
      </c>
      <c r="AK333" s="13">
        <f t="shared" si="139"/>
        <v>0</v>
      </c>
      <c r="AL333" s="13">
        <f t="shared" si="140"/>
        <v>0</v>
      </c>
      <c r="AN333" s="27">
        <v>21</v>
      </c>
      <c r="AO333" s="27">
        <f>F333*0.00986666666666667</f>
        <v>0</v>
      </c>
      <c r="AP333" s="27">
        <f>F333*(1-0.00986666666666667)</f>
        <v>0</v>
      </c>
      <c r="AQ333" s="23" t="s">
        <v>7</v>
      </c>
      <c r="AV333" s="27">
        <f t="shared" si="141"/>
        <v>0</v>
      </c>
      <c r="AW333" s="27">
        <f t="shared" si="142"/>
        <v>0</v>
      </c>
      <c r="AX333" s="27">
        <f t="shared" si="143"/>
        <v>0</v>
      </c>
      <c r="AY333" s="28" t="s">
        <v>1080</v>
      </c>
      <c r="AZ333" s="28" t="s">
        <v>1103</v>
      </c>
      <c r="BA333" s="20" t="s">
        <v>1106</v>
      </c>
      <c r="BC333" s="27">
        <f t="shared" si="144"/>
        <v>0</v>
      </c>
      <c r="BD333" s="27">
        <f t="shared" si="145"/>
        <v>0</v>
      </c>
      <c r="BE333" s="27">
        <v>0</v>
      </c>
      <c r="BF333" s="27">
        <f t="shared" si="146"/>
        <v>0.00104</v>
      </c>
      <c r="BH333" s="13">
        <f t="shared" si="147"/>
        <v>0</v>
      </c>
      <c r="BI333" s="13">
        <f t="shared" si="148"/>
        <v>0</v>
      </c>
      <c r="BJ333" s="13">
        <f t="shared" si="149"/>
        <v>0</v>
      </c>
    </row>
    <row r="334" spans="1:62" ht="12.75">
      <c r="A334" s="107"/>
      <c r="B334" s="108"/>
      <c r="C334" s="99" t="s">
        <v>1759</v>
      </c>
      <c r="D334" s="205"/>
      <c r="E334" s="110"/>
      <c r="F334" s="132"/>
      <c r="G334" s="139"/>
      <c r="H334" s="110"/>
      <c r="I334" s="140"/>
      <c r="J334" s="213"/>
      <c r="K334" s="214"/>
      <c r="L334" s="150"/>
      <c r="Z334" s="27"/>
      <c r="AB334" s="27"/>
      <c r="AC334" s="27"/>
      <c r="AD334" s="27"/>
      <c r="AE334" s="27"/>
      <c r="AF334" s="27"/>
      <c r="AG334" s="27"/>
      <c r="AH334" s="27"/>
      <c r="AI334" s="20"/>
      <c r="AJ334" s="13"/>
      <c r="AK334" s="13"/>
      <c r="AL334" s="13"/>
      <c r="AN334" s="27"/>
      <c r="AO334" s="27"/>
      <c r="AP334" s="27"/>
      <c r="AQ334" s="23"/>
      <c r="AV334" s="27"/>
      <c r="AW334" s="27"/>
      <c r="AX334" s="27"/>
      <c r="AY334" s="28"/>
      <c r="AZ334" s="28"/>
      <c r="BA334" s="20"/>
      <c r="BC334" s="27"/>
      <c r="BD334" s="27"/>
      <c r="BE334" s="27"/>
      <c r="BF334" s="27"/>
      <c r="BH334" s="13"/>
      <c r="BI334" s="13"/>
      <c r="BJ334" s="13"/>
    </row>
    <row r="335" spans="1:62" ht="12.75">
      <c r="A335" s="107" t="s">
        <v>157</v>
      </c>
      <c r="B335" s="108" t="s">
        <v>477</v>
      </c>
      <c r="C335" s="109" t="s">
        <v>827</v>
      </c>
      <c r="D335" s="205" t="s">
        <v>1007</v>
      </c>
      <c r="E335" s="110">
        <v>1</v>
      </c>
      <c r="F335" s="132">
        <v>0</v>
      </c>
      <c r="G335" s="139">
        <f t="shared" si="126"/>
        <v>0</v>
      </c>
      <c r="H335" s="110">
        <f t="shared" si="127"/>
        <v>0</v>
      </c>
      <c r="I335" s="140">
        <f t="shared" si="128"/>
        <v>0</v>
      </c>
      <c r="J335" s="213">
        <v>5E-05</v>
      </c>
      <c r="K335" s="214">
        <f t="shared" si="129"/>
        <v>5E-05</v>
      </c>
      <c r="L335" s="150" t="s">
        <v>1039</v>
      </c>
      <c r="Z335" s="27">
        <f t="shared" si="130"/>
        <v>0</v>
      </c>
      <c r="AB335" s="27">
        <f t="shared" si="131"/>
        <v>0</v>
      </c>
      <c r="AC335" s="27">
        <f t="shared" si="132"/>
        <v>0</v>
      </c>
      <c r="AD335" s="27">
        <f t="shared" si="133"/>
        <v>0</v>
      </c>
      <c r="AE335" s="27">
        <f t="shared" si="134"/>
        <v>0</v>
      </c>
      <c r="AF335" s="27">
        <f t="shared" si="135"/>
        <v>0</v>
      </c>
      <c r="AG335" s="27">
        <f t="shared" si="136"/>
        <v>0</v>
      </c>
      <c r="AH335" s="27">
        <f t="shared" si="137"/>
        <v>0</v>
      </c>
      <c r="AI335" s="20"/>
      <c r="AJ335" s="13">
        <f t="shared" si="138"/>
        <v>0</v>
      </c>
      <c r="AK335" s="13">
        <f t="shared" si="139"/>
        <v>0</v>
      </c>
      <c r="AL335" s="13">
        <f t="shared" si="140"/>
        <v>0</v>
      </c>
      <c r="AN335" s="27">
        <v>21</v>
      </c>
      <c r="AO335" s="27">
        <f>F335*0.00729222520107239</f>
        <v>0</v>
      </c>
      <c r="AP335" s="27">
        <f>F335*(1-0.00729222520107239)</f>
        <v>0</v>
      </c>
      <c r="AQ335" s="23" t="s">
        <v>7</v>
      </c>
      <c r="AV335" s="27">
        <f t="shared" si="141"/>
        <v>0</v>
      </c>
      <c r="AW335" s="27">
        <f t="shared" si="142"/>
        <v>0</v>
      </c>
      <c r="AX335" s="27">
        <f t="shared" si="143"/>
        <v>0</v>
      </c>
      <c r="AY335" s="28" t="s">
        <v>1080</v>
      </c>
      <c r="AZ335" s="28" t="s">
        <v>1103</v>
      </c>
      <c r="BA335" s="20" t="s">
        <v>1106</v>
      </c>
      <c r="BC335" s="27">
        <f t="shared" si="144"/>
        <v>0</v>
      </c>
      <c r="BD335" s="27">
        <f t="shared" si="145"/>
        <v>0</v>
      </c>
      <c r="BE335" s="27">
        <v>0</v>
      </c>
      <c r="BF335" s="27">
        <f t="shared" si="146"/>
        <v>5E-05</v>
      </c>
      <c r="BH335" s="13">
        <f t="shared" si="147"/>
        <v>0</v>
      </c>
      <c r="BI335" s="13">
        <f t="shared" si="148"/>
        <v>0</v>
      </c>
      <c r="BJ335" s="13">
        <f t="shared" si="149"/>
        <v>0</v>
      </c>
    </row>
    <row r="336" spans="1:62" ht="12.75">
      <c r="A336" s="107"/>
      <c r="B336" s="108"/>
      <c r="C336" s="99" t="s">
        <v>1760</v>
      </c>
      <c r="D336" s="205"/>
      <c r="E336" s="110"/>
      <c r="F336" s="132"/>
      <c r="G336" s="139"/>
      <c r="H336" s="110"/>
      <c r="I336" s="140"/>
      <c r="J336" s="213"/>
      <c r="K336" s="214"/>
      <c r="L336" s="150"/>
      <c r="Z336" s="27"/>
      <c r="AB336" s="27"/>
      <c r="AC336" s="27"/>
      <c r="AD336" s="27"/>
      <c r="AE336" s="27"/>
      <c r="AF336" s="27"/>
      <c r="AG336" s="27"/>
      <c r="AH336" s="27"/>
      <c r="AI336" s="20"/>
      <c r="AJ336" s="13"/>
      <c r="AK336" s="13"/>
      <c r="AL336" s="13"/>
      <c r="AN336" s="27"/>
      <c r="AO336" s="27"/>
      <c r="AP336" s="27"/>
      <c r="AQ336" s="23"/>
      <c r="AV336" s="27"/>
      <c r="AW336" s="27"/>
      <c r="AX336" s="27"/>
      <c r="AY336" s="28"/>
      <c r="AZ336" s="28"/>
      <c r="BA336" s="20"/>
      <c r="BC336" s="27"/>
      <c r="BD336" s="27"/>
      <c r="BE336" s="27"/>
      <c r="BF336" s="27"/>
      <c r="BH336" s="13"/>
      <c r="BI336" s="13"/>
      <c r="BJ336" s="13"/>
    </row>
    <row r="337" spans="1:62" ht="12.75">
      <c r="A337" s="107" t="s">
        <v>158</v>
      </c>
      <c r="B337" s="108" t="s">
        <v>478</v>
      </c>
      <c r="C337" s="109" t="s">
        <v>828</v>
      </c>
      <c r="D337" s="205" t="s">
        <v>1007</v>
      </c>
      <c r="E337" s="110">
        <v>7</v>
      </c>
      <c r="F337" s="132">
        <v>0</v>
      </c>
      <c r="G337" s="139">
        <f t="shared" si="126"/>
        <v>0</v>
      </c>
      <c r="H337" s="110">
        <f t="shared" si="127"/>
        <v>0</v>
      </c>
      <c r="I337" s="140">
        <f t="shared" si="128"/>
        <v>0</v>
      </c>
      <c r="J337" s="213">
        <v>0.00015</v>
      </c>
      <c r="K337" s="214">
        <f t="shared" si="129"/>
        <v>0.00105</v>
      </c>
      <c r="L337" s="150" t="s">
        <v>1039</v>
      </c>
      <c r="Z337" s="27">
        <f t="shared" si="130"/>
        <v>0</v>
      </c>
      <c r="AB337" s="27">
        <f t="shared" si="131"/>
        <v>0</v>
      </c>
      <c r="AC337" s="27">
        <f t="shared" si="132"/>
        <v>0</v>
      </c>
      <c r="AD337" s="27">
        <f t="shared" si="133"/>
        <v>0</v>
      </c>
      <c r="AE337" s="27">
        <f t="shared" si="134"/>
        <v>0</v>
      </c>
      <c r="AF337" s="27">
        <f t="shared" si="135"/>
        <v>0</v>
      </c>
      <c r="AG337" s="27">
        <f t="shared" si="136"/>
        <v>0</v>
      </c>
      <c r="AH337" s="27">
        <f t="shared" si="137"/>
        <v>0</v>
      </c>
      <c r="AI337" s="20"/>
      <c r="AJ337" s="13">
        <f t="shared" si="138"/>
        <v>0</v>
      </c>
      <c r="AK337" s="13">
        <f t="shared" si="139"/>
        <v>0</v>
      </c>
      <c r="AL337" s="13">
        <f t="shared" si="140"/>
        <v>0</v>
      </c>
      <c r="AN337" s="27">
        <v>21</v>
      </c>
      <c r="AO337" s="27">
        <f>F337*0.0103577913608348</f>
        <v>0</v>
      </c>
      <c r="AP337" s="27">
        <f>F337*(1-0.0103577913608348)</f>
        <v>0</v>
      </c>
      <c r="AQ337" s="23" t="s">
        <v>7</v>
      </c>
      <c r="AV337" s="27">
        <f t="shared" si="141"/>
        <v>0</v>
      </c>
      <c r="AW337" s="27">
        <f t="shared" si="142"/>
        <v>0</v>
      </c>
      <c r="AX337" s="27">
        <f t="shared" si="143"/>
        <v>0</v>
      </c>
      <c r="AY337" s="28" t="s">
        <v>1080</v>
      </c>
      <c r="AZ337" s="28" t="s">
        <v>1103</v>
      </c>
      <c r="BA337" s="20" t="s">
        <v>1106</v>
      </c>
      <c r="BC337" s="27">
        <f t="shared" si="144"/>
        <v>0</v>
      </c>
      <c r="BD337" s="27">
        <f t="shared" si="145"/>
        <v>0</v>
      </c>
      <c r="BE337" s="27">
        <v>0</v>
      </c>
      <c r="BF337" s="27">
        <f t="shared" si="146"/>
        <v>0.00105</v>
      </c>
      <c r="BH337" s="13">
        <f t="shared" si="147"/>
        <v>0</v>
      </c>
      <c r="BI337" s="13">
        <f t="shared" si="148"/>
        <v>0</v>
      </c>
      <c r="BJ337" s="13">
        <f t="shared" si="149"/>
        <v>0</v>
      </c>
    </row>
    <row r="338" spans="1:62" ht="12.75">
      <c r="A338" s="107"/>
      <c r="B338" s="108"/>
      <c r="C338" s="99" t="s">
        <v>1761</v>
      </c>
      <c r="D338" s="205"/>
      <c r="E338" s="110"/>
      <c r="F338" s="132"/>
      <c r="G338" s="139"/>
      <c r="H338" s="110"/>
      <c r="I338" s="140"/>
      <c r="J338" s="213"/>
      <c r="K338" s="214"/>
      <c r="L338" s="150"/>
      <c r="Z338" s="27"/>
      <c r="AB338" s="27"/>
      <c r="AC338" s="27"/>
      <c r="AD338" s="27"/>
      <c r="AE338" s="27"/>
      <c r="AF338" s="27"/>
      <c r="AG338" s="27"/>
      <c r="AH338" s="27"/>
      <c r="AI338" s="20"/>
      <c r="AJ338" s="13"/>
      <c r="AK338" s="13"/>
      <c r="AL338" s="13"/>
      <c r="AN338" s="27"/>
      <c r="AO338" s="27"/>
      <c r="AP338" s="27"/>
      <c r="AQ338" s="23"/>
      <c r="AV338" s="27"/>
      <c r="AW338" s="27"/>
      <c r="AX338" s="27"/>
      <c r="AY338" s="28"/>
      <c r="AZ338" s="28"/>
      <c r="BA338" s="20"/>
      <c r="BC338" s="27"/>
      <c r="BD338" s="27"/>
      <c r="BE338" s="27"/>
      <c r="BF338" s="27"/>
      <c r="BH338" s="13"/>
      <c r="BI338" s="13"/>
      <c r="BJ338" s="13"/>
    </row>
    <row r="339" spans="1:62" ht="12.75">
      <c r="A339" s="107" t="s">
        <v>159</v>
      </c>
      <c r="B339" s="108" t="s">
        <v>479</v>
      </c>
      <c r="C339" s="109" t="s">
        <v>829</v>
      </c>
      <c r="D339" s="205" t="s">
        <v>1007</v>
      </c>
      <c r="E339" s="110">
        <v>1</v>
      </c>
      <c r="F339" s="132">
        <v>0</v>
      </c>
      <c r="G339" s="139">
        <f t="shared" si="126"/>
        <v>0</v>
      </c>
      <c r="H339" s="110">
        <f t="shared" si="127"/>
        <v>0</v>
      </c>
      <c r="I339" s="140">
        <f t="shared" si="128"/>
        <v>0</v>
      </c>
      <c r="J339" s="213">
        <v>6E-05</v>
      </c>
      <c r="K339" s="214">
        <f t="shared" si="129"/>
        <v>6E-05</v>
      </c>
      <c r="L339" s="150" t="s">
        <v>1039</v>
      </c>
      <c r="Z339" s="27">
        <f t="shared" si="130"/>
        <v>0</v>
      </c>
      <c r="AB339" s="27">
        <f t="shared" si="131"/>
        <v>0</v>
      </c>
      <c r="AC339" s="27">
        <f t="shared" si="132"/>
        <v>0</v>
      </c>
      <c r="AD339" s="27">
        <f t="shared" si="133"/>
        <v>0</v>
      </c>
      <c r="AE339" s="27">
        <f t="shared" si="134"/>
        <v>0</v>
      </c>
      <c r="AF339" s="27">
        <f t="shared" si="135"/>
        <v>0</v>
      </c>
      <c r="AG339" s="27">
        <f t="shared" si="136"/>
        <v>0</v>
      </c>
      <c r="AH339" s="27">
        <f t="shared" si="137"/>
        <v>0</v>
      </c>
      <c r="AI339" s="20"/>
      <c r="AJ339" s="13">
        <f t="shared" si="138"/>
        <v>0</v>
      </c>
      <c r="AK339" s="13">
        <f t="shared" si="139"/>
        <v>0</v>
      </c>
      <c r="AL339" s="13">
        <f t="shared" si="140"/>
        <v>0</v>
      </c>
      <c r="AN339" s="27">
        <v>21</v>
      </c>
      <c r="AO339" s="27">
        <f>F339*0.00749390832605397</f>
        <v>0</v>
      </c>
      <c r="AP339" s="27">
        <f>F339*(1-0.00749390832605397)</f>
        <v>0</v>
      </c>
      <c r="AQ339" s="23" t="s">
        <v>7</v>
      </c>
      <c r="AV339" s="27">
        <f t="shared" si="141"/>
        <v>0</v>
      </c>
      <c r="AW339" s="27">
        <f t="shared" si="142"/>
        <v>0</v>
      </c>
      <c r="AX339" s="27">
        <f t="shared" si="143"/>
        <v>0</v>
      </c>
      <c r="AY339" s="28" t="s">
        <v>1080</v>
      </c>
      <c r="AZ339" s="28" t="s">
        <v>1103</v>
      </c>
      <c r="BA339" s="20" t="s">
        <v>1106</v>
      </c>
      <c r="BC339" s="27">
        <f t="shared" si="144"/>
        <v>0</v>
      </c>
      <c r="BD339" s="27">
        <f t="shared" si="145"/>
        <v>0</v>
      </c>
      <c r="BE339" s="27">
        <v>0</v>
      </c>
      <c r="BF339" s="27">
        <f t="shared" si="146"/>
        <v>6E-05</v>
      </c>
      <c r="BH339" s="13">
        <f t="shared" si="147"/>
        <v>0</v>
      </c>
      <c r="BI339" s="13">
        <f t="shared" si="148"/>
        <v>0</v>
      </c>
      <c r="BJ339" s="13">
        <f t="shared" si="149"/>
        <v>0</v>
      </c>
    </row>
    <row r="340" spans="1:62" ht="12.75">
      <c r="A340" s="107"/>
      <c r="B340" s="108"/>
      <c r="C340" s="99" t="s">
        <v>1762</v>
      </c>
      <c r="D340" s="205"/>
      <c r="E340" s="110"/>
      <c r="F340" s="132"/>
      <c r="G340" s="139"/>
      <c r="H340" s="110"/>
      <c r="I340" s="140"/>
      <c r="J340" s="213"/>
      <c r="K340" s="214"/>
      <c r="L340" s="150"/>
      <c r="Z340" s="27"/>
      <c r="AB340" s="27"/>
      <c r="AC340" s="27"/>
      <c r="AD340" s="27"/>
      <c r="AE340" s="27"/>
      <c r="AF340" s="27"/>
      <c r="AG340" s="27"/>
      <c r="AH340" s="27"/>
      <c r="AI340" s="20"/>
      <c r="AJ340" s="13"/>
      <c r="AK340" s="13"/>
      <c r="AL340" s="13"/>
      <c r="AN340" s="27"/>
      <c r="AO340" s="27"/>
      <c r="AP340" s="27"/>
      <c r="AQ340" s="23"/>
      <c r="AV340" s="27"/>
      <c r="AW340" s="27"/>
      <c r="AX340" s="27"/>
      <c r="AY340" s="28"/>
      <c r="AZ340" s="28"/>
      <c r="BA340" s="20"/>
      <c r="BC340" s="27"/>
      <c r="BD340" s="27"/>
      <c r="BE340" s="27"/>
      <c r="BF340" s="27"/>
      <c r="BH340" s="13"/>
      <c r="BI340" s="13"/>
      <c r="BJ340" s="13"/>
    </row>
    <row r="341" spans="1:47" ht="12.75">
      <c r="A341" s="111"/>
      <c r="B341" s="112" t="s">
        <v>95</v>
      </c>
      <c r="C341" s="113" t="s">
        <v>830</v>
      </c>
      <c r="D341" s="206" t="s">
        <v>6</v>
      </c>
      <c r="E341" s="114" t="s">
        <v>6</v>
      </c>
      <c r="F341" s="133" t="s">
        <v>6</v>
      </c>
      <c r="G341" s="141">
        <f>SUM(G342:G375)</f>
        <v>0</v>
      </c>
      <c r="H341" s="115">
        <f>SUM(H342:H375)</f>
        <v>0</v>
      </c>
      <c r="I341" s="142">
        <f>SUM(I342:I375)</f>
        <v>0</v>
      </c>
      <c r="J341" s="215"/>
      <c r="K341" s="216">
        <f>SUM(K342:K375)</f>
        <v>32.57201145379999</v>
      </c>
      <c r="L341" s="151"/>
      <c r="AI341" s="20"/>
      <c r="AS341" s="29">
        <f>SUM(AJ342:AJ375)</f>
        <v>0</v>
      </c>
      <c r="AT341" s="29">
        <f>SUM(AK342:AK375)</f>
        <v>0</v>
      </c>
      <c r="AU341" s="29">
        <f>SUM(AL342:AL375)</f>
        <v>0</v>
      </c>
    </row>
    <row r="342" spans="1:62" ht="12.75">
      <c r="A342" s="107" t="s">
        <v>160</v>
      </c>
      <c r="B342" s="108" t="s">
        <v>480</v>
      </c>
      <c r="C342" s="109" t="s">
        <v>831</v>
      </c>
      <c r="D342" s="205" t="s">
        <v>1008</v>
      </c>
      <c r="E342" s="110">
        <v>1409.6</v>
      </c>
      <c r="F342" s="132">
        <v>0</v>
      </c>
      <c r="G342" s="139">
        <f aca="true" t="shared" si="150" ref="G342:G375">E342*AO342</f>
        <v>0</v>
      </c>
      <c r="H342" s="110">
        <f aca="true" t="shared" si="151" ref="H342:H375">E342*AP342</f>
        <v>0</v>
      </c>
      <c r="I342" s="140">
        <f aca="true" t="shared" si="152" ref="I342:I375">E342*F342</f>
        <v>0</v>
      </c>
      <c r="J342" s="213">
        <v>0</v>
      </c>
      <c r="K342" s="214">
        <f aca="true" t="shared" si="153" ref="K342:K375">E342*J342</f>
        <v>0</v>
      </c>
      <c r="L342" s="150" t="s">
        <v>1039</v>
      </c>
      <c r="Z342" s="27">
        <f aca="true" t="shared" si="154" ref="Z342:Z375">IF(AQ342="5",BJ342,0)</f>
        <v>0</v>
      </c>
      <c r="AB342" s="27">
        <f aca="true" t="shared" si="155" ref="AB342:AB375">IF(AQ342="1",BH342,0)</f>
        <v>0</v>
      </c>
      <c r="AC342" s="27">
        <f aca="true" t="shared" si="156" ref="AC342:AC375">IF(AQ342="1",BI342,0)</f>
        <v>0</v>
      </c>
      <c r="AD342" s="27">
        <f aca="true" t="shared" si="157" ref="AD342:AD375">IF(AQ342="7",BH342,0)</f>
        <v>0</v>
      </c>
      <c r="AE342" s="27">
        <f aca="true" t="shared" si="158" ref="AE342:AE375">IF(AQ342="7",BI342,0)</f>
        <v>0</v>
      </c>
      <c r="AF342" s="27">
        <f aca="true" t="shared" si="159" ref="AF342:AF375">IF(AQ342="2",BH342,0)</f>
        <v>0</v>
      </c>
      <c r="AG342" s="27">
        <f aca="true" t="shared" si="160" ref="AG342:AG375">IF(AQ342="2",BI342,0)</f>
        <v>0</v>
      </c>
      <c r="AH342" s="27">
        <f aca="true" t="shared" si="161" ref="AH342:AH375">IF(AQ342="0",BJ342,0)</f>
        <v>0</v>
      </c>
      <c r="AI342" s="20"/>
      <c r="AJ342" s="13">
        <f aca="true" t="shared" si="162" ref="AJ342:AJ375">IF(AN342=0,I342,0)</f>
        <v>0</v>
      </c>
      <c r="AK342" s="13">
        <f aca="true" t="shared" si="163" ref="AK342:AK375">IF(AN342=15,I342,0)</f>
        <v>0</v>
      </c>
      <c r="AL342" s="13">
        <f aca="true" t="shared" si="164" ref="AL342:AL375">IF(AN342=21,I342,0)</f>
        <v>0</v>
      </c>
      <c r="AN342" s="27">
        <v>21</v>
      </c>
      <c r="AO342" s="27">
        <f>F342*0</f>
        <v>0</v>
      </c>
      <c r="AP342" s="27">
        <f>F342*(1-0)</f>
        <v>0</v>
      </c>
      <c r="AQ342" s="23" t="s">
        <v>7</v>
      </c>
      <c r="AV342" s="27">
        <f aca="true" t="shared" si="165" ref="AV342:AV375">AW342+AX342</f>
        <v>0</v>
      </c>
      <c r="AW342" s="27">
        <f aca="true" t="shared" si="166" ref="AW342:AW375">E342*AO342</f>
        <v>0</v>
      </c>
      <c r="AX342" s="27">
        <f aca="true" t="shared" si="167" ref="AX342:AX375">E342*AP342</f>
        <v>0</v>
      </c>
      <c r="AY342" s="28" t="s">
        <v>1081</v>
      </c>
      <c r="AZ342" s="28" t="s">
        <v>1103</v>
      </c>
      <c r="BA342" s="20" t="s">
        <v>1106</v>
      </c>
      <c r="BC342" s="27">
        <f aca="true" t="shared" si="168" ref="BC342:BC375">AW342+AX342</f>
        <v>0</v>
      </c>
      <c r="BD342" s="27">
        <f aca="true" t="shared" si="169" ref="BD342:BD375">F342/(100-BE342)*100</f>
        <v>0</v>
      </c>
      <c r="BE342" s="27">
        <v>0</v>
      </c>
      <c r="BF342" s="27">
        <f aca="true" t="shared" si="170" ref="BF342:BF375">K342</f>
        <v>0</v>
      </c>
      <c r="BH342" s="13">
        <f aca="true" t="shared" si="171" ref="BH342:BH375">E342*AO342</f>
        <v>0</v>
      </c>
      <c r="BI342" s="13">
        <f aca="true" t="shared" si="172" ref="BI342:BI375">E342*AP342</f>
        <v>0</v>
      </c>
      <c r="BJ342" s="13">
        <f aca="true" t="shared" si="173" ref="BJ342:BJ375">E342*F342</f>
        <v>0</v>
      </c>
    </row>
    <row r="343" spans="1:62" ht="12.75">
      <c r="A343" s="107" t="s">
        <v>161</v>
      </c>
      <c r="B343" s="108" t="s">
        <v>481</v>
      </c>
      <c r="C343" s="109" t="s">
        <v>832</v>
      </c>
      <c r="D343" s="205" t="s">
        <v>1006</v>
      </c>
      <c r="E343" s="110">
        <f>+E344</f>
        <v>5.0177499999999995</v>
      </c>
      <c r="F343" s="132">
        <v>0</v>
      </c>
      <c r="G343" s="139">
        <f t="shared" si="150"/>
        <v>0</v>
      </c>
      <c r="H343" s="110">
        <f t="shared" si="151"/>
        <v>0</v>
      </c>
      <c r="I343" s="140">
        <f t="shared" si="152"/>
        <v>0</v>
      </c>
      <c r="J343" s="213">
        <v>2.5511</v>
      </c>
      <c r="K343" s="214">
        <f t="shared" si="153"/>
        <v>12.800782024999998</v>
      </c>
      <c r="L343" s="150" t="s">
        <v>1039</v>
      </c>
      <c r="Z343" s="27">
        <f t="shared" si="154"/>
        <v>0</v>
      </c>
      <c r="AB343" s="27">
        <f t="shared" si="155"/>
        <v>0</v>
      </c>
      <c r="AC343" s="27">
        <f t="shared" si="156"/>
        <v>0</v>
      </c>
      <c r="AD343" s="27">
        <f t="shared" si="157"/>
        <v>0</v>
      </c>
      <c r="AE343" s="27">
        <f t="shared" si="158"/>
        <v>0</v>
      </c>
      <c r="AF343" s="27">
        <f t="shared" si="159"/>
        <v>0</v>
      </c>
      <c r="AG343" s="27">
        <f t="shared" si="160"/>
        <v>0</v>
      </c>
      <c r="AH343" s="27">
        <f t="shared" si="161"/>
        <v>0</v>
      </c>
      <c r="AI343" s="20"/>
      <c r="AJ343" s="13">
        <f t="shared" si="162"/>
        <v>0</v>
      </c>
      <c r="AK343" s="13">
        <f t="shared" si="163"/>
        <v>0</v>
      </c>
      <c r="AL343" s="13">
        <f t="shared" si="164"/>
        <v>0</v>
      </c>
      <c r="AN343" s="27">
        <v>21</v>
      </c>
      <c r="AO343" s="27">
        <f>F343*0.761439430254618</f>
        <v>0</v>
      </c>
      <c r="AP343" s="27">
        <f>F343*(1-0.761439430254618)</f>
        <v>0</v>
      </c>
      <c r="AQ343" s="23" t="s">
        <v>7</v>
      </c>
      <c r="AV343" s="27">
        <f t="shared" si="165"/>
        <v>0</v>
      </c>
      <c r="AW343" s="27">
        <f t="shared" si="166"/>
        <v>0</v>
      </c>
      <c r="AX343" s="27">
        <f t="shared" si="167"/>
        <v>0</v>
      </c>
      <c r="AY343" s="28" t="s">
        <v>1081</v>
      </c>
      <c r="AZ343" s="28" t="s">
        <v>1103</v>
      </c>
      <c r="BA343" s="20" t="s">
        <v>1106</v>
      </c>
      <c r="BC343" s="27">
        <f t="shared" si="168"/>
        <v>0</v>
      </c>
      <c r="BD343" s="27">
        <f t="shared" si="169"/>
        <v>0</v>
      </c>
      <c r="BE343" s="27">
        <v>0</v>
      </c>
      <c r="BF343" s="27">
        <f t="shared" si="170"/>
        <v>12.800782024999998</v>
      </c>
      <c r="BH343" s="13">
        <f t="shared" si="171"/>
        <v>0</v>
      </c>
      <c r="BI343" s="13">
        <f t="shared" si="172"/>
        <v>0</v>
      </c>
      <c r="BJ343" s="13">
        <f t="shared" si="173"/>
        <v>0</v>
      </c>
    </row>
    <row r="344" spans="1:62" ht="25.5">
      <c r="A344" s="107"/>
      <c r="B344" s="108"/>
      <c r="C344" s="99" t="s">
        <v>1763</v>
      </c>
      <c r="D344" s="100" t="s">
        <v>1006</v>
      </c>
      <c r="E344" s="101">
        <f>+(1.6*1.6*0.3+0.35*0.79*2+(0.35+1.24)/2*(2.9+1.75))</f>
        <v>5.0177499999999995</v>
      </c>
      <c r="F344" s="132"/>
      <c r="G344" s="139"/>
      <c r="H344" s="110"/>
      <c r="I344" s="140"/>
      <c r="J344" s="213"/>
      <c r="K344" s="214"/>
      <c r="L344" s="150"/>
      <c r="Z344" s="27"/>
      <c r="AB344" s="27"/>
      <c r="AC344" s="27"/>
      <c r="AD344" s="27"/>
      <c r="AE344" s="27"/>
      <c r="AF344" s="27"/>
      <c r="AG344" s="27"/>
      <c r="AH344" s="27"/>
      <c r="AI344" s="20"/>
      <c r="AJ344" s="13"/>
      <c r="AK344" s="13"/>
      <c r="AL344" s="13"/>
      <c r="AN344" s="27"/>
      <c r="AO344" s="27"/>
      <c r="AP344" s="27"/>
      <c r="AQ344" s="23"/>
      <c r="AV344" s="27"/>
      <c r="AW344" s="27"/>
      <c r="AX344" s="27"/>
      <c r="AY344" s="28"/>
      <c r="AZ344" s="28"/>
      <c r="BA344" s="20"/>
      <c r="BC344" s="27"/>
      <c r="BD344" s="27"/>
      <c r="BE344" s="27"/>
      <c r="BF344" s="27"/>
      <c r="BH344" s="13"/>
      <c r="BI344" s="13"/>
      <c r="BJ344" s="13"/>
    </row>
    <row r="345" spans="1:62" ht="12.75">
      <c r="A345" s="107" t="s">
        <v>162</v>
      </c>
      <c r="B345" s="108" t="s">
        <v>482</v>
      </c>
      <c r="C345" s="109" t="s">
        <v>833</v>
      </c>
      <c r="D345" s="205" t="s">
        <v>1006</v>
      </c>
      <c r="E345" s="110">
        <f>+E346</f>
        <v>6.906808</v>
      </c>
      <c r="F345" s="132">
        <v>0</v>
      </c>
      <c r="G345" s="139">
        <f t="shared" si="150"/>
        <v>0</v>
      </c>
      <c r="H345" s="110">
        <f t="shared" si="151"/>
        <v>0</v>
      </c>
      <c r="I345" s="140">
        <f t="shared" si="152"/>
        <v>0</v>
      </c>
      <c r="J345" s="213">
        <v>2.5511</v>
      </c>
      <c r="K345" s="214">
        <f t="shared" si="153"/>
        <v>17.6199578888</v>
      </c>
      <c r="L345" s="150" t="s">
        <v>1039</v>
      </c>
      <c r="Z345" s="27">
        <f t="shared" si="154"/>
        <v>0</v>
      </c>
      <c r="AB345" s="27">
        <f t="shared" si="155"/>
        <v>0</v>
      </c>
      <c r="AC345" s="27">
        <f t="shared" si="156"/>
        <v>0</v>
      </c>
      <c r="AD345" s="27">
        <f t="shared" si="157"/>
        <v>0</v>
      </c>
      <c r="AE345" s="27">
        <f t="shared" si="158"/>
        <v>0</v>
      </c>
      <c r="AF345" s="27">
        <f t="shared" si="159"/>
        <v>0</v>
      </c>
      <c r="AG345" s="27">
        <f t="shared" si="160"/>
        <v>0</v>
      </c>
      <c r="AH345" s="27">
        <f t="shared" si="161"/>
        <v>0</v>
      </c>
      <c r="AI345" s="20"/>
      <c r="AJ345" s="13">
        <f t="shared" si="162"/>
        <v>0</v>
      </c>
      <c r="AK345" s="13">
        <f t="shared" si="163"/>
        <v>0</v>
      </c>
      <c r="AL345" s="13">
        <f t="shared" si="164"/>
        <v>0</v>
      </c>
      <c r="AN345" s="27">
        <v>21</v>
      </c>
      <c r="AO345" s="27">
        <f>F345*0.816466217119169</f>
        <v>0</v>
      </c>
      <c r="AP345" s="27">
        <f>F345*(1-0.816466217119169)</f>
        <v>0</v>
      </c>
      <c r="AQ345" s="23" t="s">
        <v>7</v>
      </c>
      <c r="AV345" s="27">
        <f t="shared" si="165"/>
        <v>0</v>
      </c>
      <c r="AW345" s="27">
        <f t="shared" si="166"/>
        <v>0</v>
      </c>
      <c r="AX345" s="27">
        <f t="shared" si="167"/>
        <v>0</v>
      </c>
      <c r="AY345" s="28" t="s">
        <v>1081</v>
      </c>
      <c r="AZ345" s="28" t="s">
        <v>1103</v>
      </c>
      <c r="BA345" s="20" t="s">
        <v>1106</v>
      </c>
      <c r="BC345" s="27">
        <f t="shared" si="168"/>
        <v>0</v>
      </c>
      <c r="BD345" s="27">
        <f t="shared" si="169"/>
        <v>0</v>
      </c>
      <c r="BE345" s="27">
        <v>0</v>
      </c>
      <c r="BF345" s="27">
        <f t="shared" si="170"/>
        <v>17.6199578888</v>
      </c>
      <c r="BH345" s="13">
        <f t="shared" si="171"/>
        <v>0</v>
      </c>
      <c r="BI345" s="13">
        <f t="shared" si="172"/>
        <v>0</v>
      </c>
      <c r="BJ345" s="13">
        <f t="shared" si="173"/>
        <v>0</v>
      </c>
    </row>
    <row r="346" spans="1:62" ht="38.25">
      <c r="A346" s="107"/>
      <c r="B346" s="108"/>
      <c r="C346" s="99" t="s">
        <v>1764</v>
      </c>
      <c r="D346" s="100" t="s">
        <v>1006</v>
      </c>
      <c r="E346" s="101">
        <f>+(2.4+1.4)*2*3.18*0.25+2.4*1.9*0.25-(0.6*(0.35+0.3)+3.14*3.14*0.4/4)*0.2</f>
        <v>6.906808</v>
      </c>
      <c r="F346" s="132"/>
      <c r="G346" s="139"/>
      <c r="H346" s="110"/>
      <c r="I346" s="140"/>
      <c r="J346" s="213"/>
      <c r="K346" s="214"/>
      <c r="L346" s="150"/>
      <c r="Z346" s="27"/>
      <c r="AB346" s="27"/>
      <c r="AC346" s="27"/>
      <c r="AD346" s="27"/>
      <c r="AE346" s="27"/>
      <c r="AF346" s="27"/>
      <c r="AG346" s="27"/>
      <c r="AH346" s="27"/>
      <c r="AI346" s="20"/>
      <c r="AJ346" s="13"/>
      <c r="AK346" s="13"/>
      <c r="AL346" s="13"/>
      <c r="AN346" s="27"/>
      <c r="AO346" s="27"/>
      <c r="AP346" s="27"/>
      <c r="AQ346" s="23"/>
      <c r="AV346" s="27"/>
      <c r="AW346" s="27"/>
      <c r="AX346" s="27"/>
      <c r="AY346" s="28"/>
      <c r="AZ346" s="28"/>
      <c r="BA346" s="20"/>
      <c r="BC346" s="27"/>
      <c r="BD346" s="27"/>
      <c r="BE346" s="27"/>
      <c r="BF346" s="27"/>
      <c r="BH346" s="13"/>
      <c r="BI346" s="13"/>
      <c r="BJ346" s="13"/>
    </row>
    <row r="347" spans="1:62" ht="12.75">
      <c r="A347" s="107" t="s">
        <v>163</v>
      </c>
      <c r="B347" s="108" t="s">
        <v>483</v>
      </c>
      <c r="C347" s="109" t="s">
        <v>834</v>
      </c>
      <c r="D347" s="205" t="s">
        <v>1006</v>
      </c>
      <c r="E347" s="110">
        <v>6.907</v>
      </c>
      <c r="F347" s="132">
        <v>0</v>
      </c>
      <c r="G347" s="139">
        <f t="shared" si="150"/>
        <v>0</v>
      </c>
      <c r="H347" s="110">
        <f t="shared" si="151"/>
        <v>0</v>
      </c>
      <c r="I347" s="140">
        <f t="shared" si="152"/>
        <v>0</v>
      </c>
      <c r="J347" s="213">
        <v>0</v>
      </c>
      <c r="K347" s="214">
        <f t="shared" si="153"/>
        <v>0</v>
      </c>
      <c r="L347" s="150"/>
      <c r="Z347" s="27">
        <f t="shared" si="154"/>
        <v>0</v>
      </c>
      <c r="AB347" s="27">
        <f t="shared" si="155"/>
        <v>0</v>
      </c>
      <c r="AC347" s="27">
        <f t="shared" si="156"/>
        <v>0</v>
      </c>
      <c r="AD347" s="27">
        <f t="shared" si="157"/>
        <v>0</v>
      </c>
      <c r="AE347" s="27">
        <f t="shared" si="158"/>
        <v>0</v>
      </c>
      <c r="AF347" s="27">
        <f t="shared" si="159"/>
        <v>0</v>
      </c>
      <c r="AG347" s="27">
        <f t="shared" si="160"/>
        <v>0</v>
      </c>
      <c r="AH347" s="27">
        <f t="shared" si="161"/>
        <v>0</v>
      </c>
      <c r="AI347" s="20"/>
      <c r="AJ347" s="13">
        <f t="shared" si="162"/>
        <v>0</v>
      </c>
      <c r="AK347" s="13">
        <f t="shared" si="163"/>
        <v>0</v>
      </c>
      <c r="AL347" s="13">
        <f t="shared" si="164"/>
        <v>0</v>
      </c>
      <c r="AN347" s="27">
        <v>21</v>
      </c>
      <c r="AO347" s="27">
        <f>F347*1</f>
        <v>0</v>
      </c>
      <c r="AP347" s="27">
        <f>F347*(1-1)</f>
        <v>0</v>
      </c>
      <c r="AQ347" s="23" t="s">
        <v>7</v>
      </c>
      <c r="AV347" s="27">
        <f t="shared" si="165"/>
        <v>0</v>
      </c>
      <c r="AW347" s="27">
        <f t="shared" si="166"/>
        <v>0</v>
      </c>
      <c r="AX347" s="27">
        <f t="shared" si="167"/>
        <v>0</v>
      </c>
      <c r="AY347" s="28" t="s">
        <v>1081</v>
      </c>
      <c r="AZ347" s="28" t="s">
        <v>1103</v>
      </c>
      <c r="BA347" s="20" t="s">
        <v>1106</v>
      </c>
      <c r="BC347" s="27">
        <f t="shared" si="168"/>
        <v>0</v>
      </c>
      <c r="BD347" s="27">
        <f t="shared" si="169"/>
        <v>0</v>
      </c>
      <c r="BE347" s="27">
        <v>0</v>
      </c>
      <c r="BF347" s="27">
        <f t="shared" si="170"/>
        <v>0</v>
      </c>
      <c r="BH347" s="13">
        <f t="shared" si="171"/>
        <v>0</v>
      </c>
      <c r="BI347" s="13">
        <f t="shared" si="172"/>
        <v>0</v>
      </c>
      <c r="BJ347" s="13">
        <f t="shared" si="173"/>
        <v>0</v>
      </c>
    </row>
    <row r="348" spans="1:62" ht="12.75">
      <c r="A348" s="107" t="s">
        <v>164</v>
      </c>
      <c r="B348" s="108" t="s">
        <v>484</v>
      </c>
      <c r="C348" s="109" t="s">
        <v>835</v>
      </c>
      <c r="D348" s="205" t="s">
        <v>1007</v>
      </c>
      <c r="E348" s="110">
        <f>+E349</f>
        <v>34</v>
      </c>
      <c r="F348" s="132">
        <v>0</v>
      </c>
      <c r="G348" s="139">
        <f t="shared" si="150"/>
        <v>0</v>
      </c>
      <c r="H348" s="110">
        <f t="shared" si="151"/>
        <v>0</v>
      </c>
      <c r="I348" s="140">
        <f t="shared" si="152"/>
        <v>0</v>
      </c>
      <c r="J348" s="213">
        <v>0</v>
      </c>
      <c r="K348" s="214">
        <f t="shared" si="153"/>
        <v>0</v>
      </c>
      <c r="L348" s="150" t="s">
        <v>1039</v>
      </c>
      <c r="Z348" s="27">
        <f t="shared" si="154"/>
        <v>0</v>
      </c>
      <c r="AB348" s="27">
        <f t="shared" si="155"/>
        <v>0</v>
      </c>
      <c r="AC348" s="27">
        <f t="shared" si="156"/>
        <v>0</v>
      </c>
      <c r="AD348" s="27">
        <f t="shared" si="157"/>
        <v>0</v>
      </c>
      <c r="AE348" s="27">
        <f t="shared" si="158"/>
        <v>0</v>
      </c>
      <c r="AF348" s="27">
        <f t="shared" si="159"/>
        <v>0</v>
      </c>
      <c r="AG348" s="27">
        <f t="shared" si="160"/>
        <v>0</v>
      </c>
      <c r="AH348" s="27">
        <f t="shared" si="161"/>
        <v>0</v>
      </c>
      <c r="AI348" s="20"/>
      <c r="AJ348" s="13">
        <f t="shared" si="162"/>
        <v>0</v>
      </c>
      <c r="AK348" s="13">
        <f t="shared" si="163"/>
        <v>0</v>
      </c>
      <c r="AL348" s="13">
        <f t="shared" si="164"/>
        <v>0</v>
      </c>
      <c r="AN348" s="27">
        <v>21</v>
      </c>
      <c r="AO348" s="27">
        <f aca="true" t="shared" si="174" ref="AO348:AO360">F348*0</f>
        <v>0</v>
      </c>
      <c r="AP348" s="27">
        <f aca="true" t="shared" si="175" ref="AP348:AP360">F348*(1-0)</f>
        <v>0</v>
      </c>
      <c r="AQ348" s="23" t="s">
        <v>7</v>
      </c>
      <c r="AV348" s="27">
        <f t="shared" si="165"/>
        <v>0</v>
      </c>
      <c r="AW348" s="27">
        <f t="shared" si="166"/>
        <v>0</v>
      </c>
      <c r="AX348" s="27">
        <f t="shared" si="167"/>
        <v>0</v>
      </c>
      <c r="AY348" s="28" t="s">
        <v>1081</v>
      </c>
      <c r="AZ348" s="28" t="s">
        <v>1103</v>
      </c>
      <c r="BA348" s="20" t="s">
        <v>1106</v>
      </c>
      <c r="BC348" s="27">
        <f t="shared" si="168"/>
        <v>0</v>
      </c>
      <c r="BD348" s="27">
        <f t="shared" si="169"/>
        <v>0</v>
      </c>
      <c r="BE348" s="27">
        <v>0</v>
      </c>
      <c r="BF348" s="27">
        <f t="shared" si="170"/>
        <v>0</v>
      </c>
      <c r="BH348" s="13">
        <f t="shared" si="171"/>
        <v>0</v>
      </c>
      <c r="BI348" s="13">
        <f t="shared" si="172"/>
        <v>0</v>
      </c>
      <c r="BJ348" s="13">
        <f t="shared" si="173"/>
        <v>0</v>
      </c>
    </row>
    <row r="349" spans="1:62" ht="12.75">
      <c r="A349" s="107"/>
      <c r="B349" s="108"/>
      <c r="C349" s="99" t="s">
        <v>1765</v>
      </c>
      <c r="D349" s="100" t="s">
        <v>1007</v>
      </c>
      <c r="E349" s="101">
        <f>16+18</f>
        <v>34</v>
      </c>
      <c r="F349" s="132"/>
      <c r="G349" s="139"/>
      <c r="H349" s="110"/>
      <c r="I349" s="140"/>
      <c r="J349" s="213"/>
      <c r="K349" s="214"/>
      <c r="L349" s="150"/>
      <c r="Z349" s="27"/>
      <c r="AB349" s="27"/>
      <c r="AC349" s="27"/>
      <c r="AD349" s="27"/>
      <c r="AE349" s="27"/>
      <c r="AF349" s="27"/>
      <c r="AG349" s="27"/>
      <c r="AH349" s="27"/>
      <c r="AI349" s="20"/>
      <c r="AJ349" s="13"/>
      <c r="AK349" s="13"/>
      <c r="AL349" s="13"/>
      <c r="AN349" s="27"/>
      <c r="AO349" s="27"/>
      <c r="AP349" s="27"/>
      <c r="AQ349" s="23"/>
      <c r="AV349" s="27"/>
      <c r="AW349" s="27"/>
      <c r="AX349" s="27"/>
      <c r="AY349" s="28"/>
      <c r="AZ349" s="28"/>
      <c r="BA349" s="20"/>
      <c r="BC349" s="27"/>
      <c r="BD349" s="27"/>
      <c r="BE349" s="27"/>
      <c r="BF349" s="27"/>
      <c r="BH349" s="13"/>
      <c r="BI349" s="13"/>
      <c r="BJ349" s="13"/>
    </row>
    <row r="350" spans="1:62" ht="12.75">
      <c r="A350" s="107" t="s">
        <v>165</v>
      </c>
      <c r="B350" s="108" t="s">
        <v>485</v>
      </c>
      <c r="C350" s="109" t="s">
        <v>836</v>
      </c>
      <c r="D350" s="205" t="s">
        <v>1007</v>
      </c>
      <c r="E350" s="110">
        <f>+E351</f>
        <v>39</v>
      </c>
      <c r="F350" s="132">
        <v>0</v>
      </c>
      <c r="G350" s="139">
        <f t="shared" si="150"/>
        <v>0</v>
      </c>
      <c r="H350" s="110">
        <f t="shared" si="151"/>
        <v>0</v>
      </c>
      <c r="I350" s="140">
        <f t="shared" si="152"/>
        <v>0</v>
      </c>
      <c r="J350" s="213">
        <v>0</v>
      </c>
      <c r="K350" s="214">
        <f t="shared" si="153"/>
        <v>0</v>
      </c>
      <c r="L350" s="150" t="s">
        <v>1039</v>
      </c>
      <c r="Z350" s="27">
        <f t="shared" si="154"/>
        <v>0</v>
      </c>
      <c r="AB350" s="27">
        <f t="shared" si="155"/>
        <v>0</v>
      </c>
      <c r="AC350" s="27">
        <f t="shared" si="156"/>
        <v>0</v>
      </c>
      <c r="AD350" s="27">
        <f t="shared" si="157"/>
        <v>0</v>
      </c>
      <c r="AE350" s="27">
        <f t="shared" si="158"/>
        <v>0</v>
      </c>
      <c r="AF350" s="27">
        <f t="shared" si="159"/>
        <v>0</v>
      </c>
      <c r="AG350" s="27">
        <f t="shared" si="160"/>
        <v>0</v>
      </c>
      <c r="AH350" s="27">
        <f t="shared" si="161"/>
        <v>0</v>
      </c>
      <c r="AI350" s="20"/>
      <c r="AJ350" s="13">
        <f t="shared" si="162"/>
        <v>0</v>
      </c>
      <c r="AK350" s="13">
        <f t="shared" si="163"/>
        <v>0</v>
      </c>
      <c r="AL350" s="13">
        <f t="shared" si="164"/>
        <v>0</v>
      </c>
      <c r="AN350" s="27">
        <v>21</v>
      </c>
      <c r="AO350" s="27">
        <f t="shared" si="174"/>
        <v>0</v>
      </c>
      <c r="AP350" s="27">
        <f t="shared" si="175"/>
        <v>0</v>
      </c>
      <c r="AQ350" s="23" t="s">
        <v>7</v>
      </c>
      <c r="AV350" s="27">
        <f t="shared" si="165"/>
        <v>0</v>
      </c>
      <c r="AW350" s="27">
        <f t="shared" si="166"/>
        <v>0</v>
      </c>
      <c r="AX350" s="27">
        <f t="shared" si="167"/>
        <v>0</v>
      </c>
      <c r="AY350" s="28" t="s">
        <v>1081</v>
      </c>
      <c r="AZ350" s="28" t="s">
        <v>1103</v>
      </c>
      <c r="BA350" s="20" t="s">
        <v>1106</v>
      </c>
      <c r="BC350" s="27">
        <f t="shared" si="168"/>
        <v>0</v>
      </c>
      <c r="BD350" s="27">
        <f t="shared" si="169"/>
        <v>0</v>
      </c>
      <c r="BE350" s="27">
        <v>0</v>
      </c>
      <c r="BF350" s="27">
        <f t="shared" si="170"/>
        <v>0</v>
      </c>
      <c r="BH350" s="13">
        <f t="shared" si="171"/>
        <v>0</v>
      </c>
      <c r="BI350" s="13">
        <f t="shared" si="172"/>
        <v>0</v>
      </c>
      <c r="BJ350" s="13">
        <f t="shared" si="173"/>
        <v>0</v>
      </c>
    </row>
    <row r="351" spans="1:62" ht="12.75">
      <c r="A351" s="107"/>
      <c r="B351" s="108"/>
      <c r="C351" s="99" t="s">
        <v>1766</v>
      </c>
      <c r="D351" s="100" t="s">
        <v>1007</v>
      </c>
      <c r="E351" s="101">
        <f>37+1+1</f>
        <v>39</v>
      </c>
      <c r="F351" s="132"/>
      <c r="G351" s="139"/>
      <c r="H351" s="110"/>
      <c r="I351" s="140"/>
      <c r="J351" s="213"/>
      <c r="K351" s="214"/>
      <c r="L351" s="150"/>
      <c r="Z351" s="27"/>
      <c r="AB351" s="27"/>
      <c r="AC351" s="27"/>
      <c r="AD351" s="27"/>
      <c r="AE351" s="27"/>
      <c r="AF351" s="27"/>
      <c r="AG351" s="27"/>
      <c r="AH351" s="27"/>
      <c r="AI351" s="20"/>
      <c r="AJ351" s="13"/>
      <c r="AK351" s="13"/>
      <c r="AL351" s="13"/>
      <c r="AN351" s="27"/>
      <c r="AO351" s="27"/>
      <c r="AP351" s="27"/>
      <c r="AQ351" s="23"/>
      <c r="AV351" s="27"/>
      <c r="AW351" s="27"/>
      <c r="AX351" s="27"/>
      <c r="AY351" s="28"/>
      <c r="AZ351" s="28"/>
      <c r="BA351" s="20"/>
      <c r="BC351" s="27"/>
      <c r="BD351" s="27"/>
      <c r="BE351" s="27"/>
      <c r="BF351" s="27"/>
      <c r="BH351" s="13"/>
      <c r="BI351" s="13"/>
      <c r="BJ351" s="13"/>
    </row>
    <row r="352" spans="1:62" ht="12.75">
      <c r="A352" s="107" t="s">
        <v>166</v>
      </c>
      <c r="B352" s="108" t="s">
        <v>486</v>
      </c>
      <c r="C352" s="109" t="s">
        <v>837</v>
      </c>
      <c r="D352" s="205" t="s">
        <v>1007</v>
      </c>
      <c r="E352" s="110">
        <v>32</v>
      </c>
      <c r="F352" s="132">
        <v>0</v>
      </c>
      <c r="G352" s="139">
        <f t="shared" si="150"/>
        <v>0</v>
      </c>
      <c r="H352" s="110">
        <f t="shared" si="151"/>
        <v>0</v>
      </c>
      <c r="I352" s="140">
        <f t="shared" si="152"/>
        <v>0</v>
      </c>
      <c r="J352" s="213">
        <v>0</v>
      </c>
      <c r="K352" s="214">
        <f t="shared" si="153"/>
        <v>0</v>
      </c>
      <c r="L352" s="150" t="s">
        <v>1039</v>
      </c>
      <c r="Z352" s="27">
        <f t="shared" si="154"/>
        <v>0</v>
      </c>
      <c r="AB352" s="27">
        <f t="shared" si="155"/>
        <v>0</v>
      </c>
      <c r="AC352" s="27">
        <f t="shared" si="156"/>
        <v>0</v>
      </c>
      <c r="AD352" s="27">
        <f t="shared" si="157"/>
        <v>0</v>
      </c>
      <c r="AE352" s="27">
        <f t="shared" si="158"/>
        <v>0</v>
      </c>
      <c r="AF352" s="27">
        <f t="shared" si="159"/>
        <v>0</v>
      </c>
      <c r="AG352" s="27">
        <f t="shared" si="160"/>
        <v>0</v>
      </c>
      <c r="AH352" s="27">
        <f t="shared" si="161"/>
        <v>0</v>
      </c>
      <c r="AI352" s="20"/>
      <c r="AJ352" s="13">
        <f t="shared" si="162"/>
        <v>0</v>
      </c>
      <c r="AK352" s="13">
        <f t="shared" si="163"/>
        <v>0</v>
      </c>
      <c r="AL352" s="13">
        <f t="shared" si="164"/>
        <v>0</v>
      </c>
      <c r="AN352" s="27">
        <v>21</v>
      </c>
      <c r="AO352" s="27">
        <f t="shared" si="174"/>
        <v>0</v>
      </c>
      <c r="AP352" s="27">
        <f t="shared" si="175"/>
        <v>0</v>
      </c>
      <c r="AQ352" s="23" t="s">
        <v>7</v>
      </c>
      <c r="AV352" s="27">
        <f t="shared" si="165"/>
        <v>0</v>
      </c>
      <c r="AW352" s="27">
        <f t="shared" si="166"/>
        <v>0</v>
      </c>
      <c r="AX352" s="27">
        <f t="shared" si="167"/>
        <v>0</v>
      </c>
      <c r="AY352" s="28" t="s">
        <v>1081</v>
      </c>
      <c r="AZ352" s="28" t="s">
        <v>1103</v>
      </c>
      <c r="BA352" s="20" t="s">
        <v>1106</v>
      </c>
      <c r="BC352" s="27">
        <f t="shared" si="168"/>
        <v>0</v>
      </c>
      <c r="BD352" s="27">
        <f t="shared" si="169"/>
        <v>0</v>
      </c>
      <c r="BE352" s="27">
        <v>0</v>
      </c>
      <c r="BF352" s="27">
        <f t="shared" si="170"/>
        <v>0</v>
      </c>
      <c r="BH352" s="13">
        <f t="shared" si="171"/>
        <v>0</v>
      </c>
      <c r="BI352" s="13">
        <f t="shared" si="172"/>
        <v>0</v>
      </c>
      <c r="BJ352" s="13">
        <f t="shared" si="173"/>
        <v>0</v>
      </c>
    </row>
    <row r="353" spans="1:62" ht="12.75">
      <c r="A353" s="107"/>
      <c r="B353" s="108"/>
      <c r="C353" s="99" t="s">
        <v>969</v>
      </c>
      <c r="D353" s="205"/>
      <c r="E353" s="110"/>
      <c r="F353" s="132"/>
      <c r="G353" s="139"/>
      <c r="H353" s="110"/>
      <c r="I353" s="140"/>
      <c r="J353" s="213"/>
      <c r="K353" s="214"/>
      <c r="L353" s="150"/>
      <c r="Z353" s="27"/>
      <c r="AB353" s="27"/>
      <c r="AC353" s="27"/>
      <c r="AD353" s="27"/>
      <c r="AE353" s="27"/>
      <c r="AF353" s="27"/>
      <c r="AG353" s="27"/>
      <c r="AH353" s="27"/>
      <c r="AI353" s="20"/>
      <c r="AJ353" s="13"/>
      <c r="AK353" s="13"/>
      <c r="AL353" s="13"/>
      <c r="AN353" s="27"/>
      <c r="AO353" s="27"/>
      <c r="AP353" s="27"/>
      <c r="AQ353" s="23"/>
      <c r="AV353" s="27"/>
      <c r="AW353" s="27"/>
      <c r="AX353" s="27"/>
      <c r="AY353" s="28"/>
      <c r="AZ353" s="28"/>
      <c r="BA353" s="20"/>
      <c r="BC353" s="27"/>
      <c r="BD353" s="27"/>
      <c r="BE353" s="27"/>
      <c r="BF353" s="27"/>
      <c r="BH353" s="13"/>
      <c r="BI353" s="13"/>
      <c r="BJ353" s="13"/>
    </row>
    <row r="354" spans="1:62" ht="12.75">
      <c r="A354" s="107" t="s">
        <v>167</v>
      </c>
      <c r="B354" s="108" t="s">
        <v>487</v>
      </c>
      <c r="C354" s="109" t="s">
        <v>838</v>
      </c>
      <c r="D354" s="205" t="s">
        <v>1007</v>
      </c>
      <c r="E354" s="110">
        <f>+E355</f>
        <v>23</v>
      </c>
      <c r="F354" s="132">
        <v>0</v>
      </c>
      <c r="G354" s="139">
        <f t="shared" si="150"/>
        <v>0</v>
      </c>
      <c r="H354" s="110">
        <f t="shared" si="151"/>
        <v>0</v>
      </c>
      <c r="I354" s="140">
        <f t="shared" si="152"/>
        <v>0</v>
      </c>
      <c r="J354" s="213">
        <v>0</v>
      </c>
      <c r="K354" s="214">
        <f t="shared" si="153"/>
        <v>0</v>
      </c>
      <c r="L354" s="150" t="s">
        <v>1039</v>
      </c>
      <c r="Z354" s="27">
        <f t="shared" si="154"/>
        <v>0</v>
      </c>
      <c r="AB354" s="27">
        <f t="shared" si="155"/>
        <v>0</v>
      </c>
      <c r="AC354" s="27">
        <f t="shared" si="156"/>
        <v>0</v>
      </c>
      <c r="AD354" s="27">
        <f t="shared" si="157"/>
        <v>0</v>
      </c>
      <c r="AE354" s="27">
        <f t="shared" si="158"/>
        <v>0</v>
      </c>
      <c r="AF354" s="27">
        <f t="shared" si="159"/>
        <v>0</v>
      </c>
      <c r="AG354" s="27">
        <f t="shared" si="160"/>
        <v>0</v>
      </c>
      <c r="AH354" s="27">
        <f t="shared" si="161"/>
        <v>0</v>
      </c>
      <c r="AI354" s="20"/>
      <c r="AJ354" s="13">
        <f t="shared" si="162"/>
        <v>0</v>
      </c>
      <c r="AK354" s="13">
        <f t="shared" si="163"/>
        <v>0</v>
      </c>
      <c r="AL354" s="13">
        <f t="shared" si="164"/>
        <v>0</v>
      </c>
      <c r="AN354" s="27">
        <v>21</v>
      </c>
      <c r="AO354" s="27">
        <f t="shared" si="174"/>
        <v>0</v>
      </c>
      <c r="AP354" s="27">
        <f t="shared" si="175"/>
        <v>0</v>
      </c>
      <c r="AQ354" s="23" t="s">
        <v>7</v>
      </c>
      <c r="AV354" s="27">
        <f t="shared" si="165"/>
        <v>0</v>
      </c>
      <c r="AW354" s="27">
        <f t="shared" si="166"/>
        <v>0</v>
      </c>
      <c r="AX354" s="27">
        <f t="shared" si="167"/>
        <v>0</v>
      </c>
      <c r="AY354" s="28" t="s">
        <v>1081</v>
      </c>
      <c r="AZ354" s="28" t="s">
        <v>1103</v>
      </c>
      <c r="BA354" s="20" t="s">
        <v>1106</v>
      </c>
      <c r="BC354" s="27">
        <f t="shared" si="168"/>
        <v>0</v>
      </c>
      <c r="BD354" s="27">
        <f t="shared" si="169"/>
        <v>0</v>
      </c>
      <c r="BE354" s="27">
        <v>0</v>
      </c>
      <c r="BF354" s="27">
        <f t="shared" si="170"/>
        <v>0</v>
      </c>
      <c r="BH354" s="13">
        <f t="shared" si="171"/>
        <v>0</v>
      </c>
      <c r="BI354" s="13">
        <f t="shared" si="172"/>
        <v>0</v>
      </c>
      <c r="BJ354" s="13">
        <f t="shared" si="173"/>
        <v>0</v>
      </c>
    </row>
    <row r="355" spans="1:62" ht="12.75">
      <c r="A355" s="107"/>
      <c r="B355" s="108"/>
      <c r="C355" s="99" t="s">
        <v>1767</v>
      </c>
      <c r="D355" s="100" t="s">
        <v>1007</v>
      </c>
      <c r="E355" s="101">
        <f>1+4+1+3+3+1+7+2+1</f>
        <v>23</v>
      </c>
      <c r="F355" s="132"/>
      <c r="G355" s="139"/>
      <c r="H355" s="110"/>
      <c r="I355" s="140"/>
      <c r="J355" s="213"/>
      <c r="K355" s="214"/>
      <c r="L355" s="150"/>
      <c r="Z355" s="27"/>
      <c r="AB355" s="27"/>
      <c r="AC355" s="27"/>
      <c r="AD355" s="27"/>
      <c r="AE355" s="27"/>
      <c r="AF355" s="27"/>
      <c r="AG355" s="27"/>
      <c r="AH355" s="27"/>
      <c r="AI355" s="20"/>
      <c r="AJ355" s="13"/>
      <c r="AK355" s="13"/>
      <c r="AL355" s="13"/>
      <c r="AN355" s="27"/>
      <c r="AO355" s="27"/>
      <c r="AP355" s="27"/>
      <c r="AQ355" s="23"/>
      <c r="AV355" s="27"/>
      <c r="AW355" s="27"/>
      <c r="AX355" s="27"/>
      <c r="AY355" s="28"/>
      <c r="AZ355" s="28"/>
      <c r="BA355" s="20"/>
      <c r="BC355" s="27"/>
      <c r="BD355" s="27"/>
      <c r="BE355" s="27"/>
      <c r="BF355" s="27"/>
      <c r="BH355" s="13"/>
      <c r="BI355" s="13"/>
      <c r="BJ355" s="13"/>
    </row>
    <row r="356" spans="1:62" ht="12.75">
      <c r="A356" s="107" t="s">
        <v>168</v>
      </c>
      <c r="B356" s="108" t="s">
        <v>488</v>
      </c>
      <c r="C356" s="109" t="s">
        <v>839</v>
      </c>
      <c r="D356" s="205" t="s">
        <v>1007</v>
      </c>
      <c r="E356" s="110">
        <f>+E357</f>
        <v>7</v>
      </c>
      <c r="F356" s="132">
        <v>0</v>
      </c>
      <c r="G356" s="139">
        <f t="shared" si="150"/>
        <v>0</v>
      </c>
      <c r="H356" s="110">
        <f t="shared" si="151"/>
        <v>0</v>
      </c>
      <c r="I356" s="140">
        <f t="shared" si="152"/>
        <v>0</v>
      </c>
      <c r="J356" s="213">
        <v>0</v>
      </c>
      <c r="K356" s="214">
        <f t="shared" si="153"/>
        <v>0</v>
      </c>
      <c r="L356" s="150" t="s">
        <v>1039</v>
      </c>
      <c r="Z356" s="27">
        <f t="shared" si="154"/>
        <v>0</v>
      </c>
      <c r="AB356" s="27">
        <f t="shared" si="155"/>
        <v>0</v>
      </c>
      <c r="AC356" s="27">
        <f t="shared" si="156"/>
        <v>0</v>
      </c>
      <c r="AD356" s="27">
        <f t="shared" si="157"/>
        <v>0</v>
      </c>
      <c r="AE356" s="27">
        <f t="shared" si="158"/>
        <v>0</v>
      </c>
      <c r="AF356" s="27">
        <f t="shared" si="159"/>
        <v>0</v>
      </c>
      <c r="AG356" s="27">
        <f t="shared" si="160"/>
        <v>0</v>
      </c>
      <c r="AH356" s="27">
        <f t="shared" si="161"/>
        <v>0</v>
      </c>
      <c r="AI356" s="20"/>
      <c r="AJ356" s="13">
        <f t="shared" si="162"/>
        <v>0</v>
      </c>
      <c r="AK356" s="13">
        <f t="shared" si="163"/>
        <v>0</v>
      </c>
      <c r="AL356" s="13">
        <f t="shared" si="164"/>
        <v>0</v>
      </c>
      <c r="AN356" s="27">
        <v>21</v>
      </c>
      <c r="AO356" s="27">
        <f t="shared" si="174"/>
        <v>0</v>
      </c>
      <c r="AP356" s="27">
        <f t="shared" si="175"/>
        <v>0</v>
      </c>
      <c r="AQ356" s="23" t="s">
        <v>7</v>
      </c>
      <c r="AV356" s="27">
        <f t="shared" si="165"/>
        <v>0</v>
      </c>
      <c r="AW356" s="27">
        <f t="shared" si="166"/>
        <v>0</v>
      </c>
      <c r="AX356" s="27">
        <f t="shared" si="167"/>
        <v>0</v>
      </c>
      <c r="AY356" s="28" t="s">
        <v>1081</v>
      </c>
      <c r="AZ356" s="28" t="s">
        <v>1103</v>
      </c>
      <c r="BA356" s="20" t="s">
        <v>1106</v>
      </c>
      <c r="BC356" s="27">
        <f t="shared" si="168"/>
        <v>0</v>
      </c>
      <c r="BD356" s="27">
        <f t="shared" si="169"/>
        <v>0</v>
      </c>
      <c r="BE356" s="27">
        <v>0</v>
      </c>
      <c r="BF356" s="27">
        <f t="shared" si="170"/>
        <v>0</v>
      </c>
      <c r="BH356" s="13">
        <f t="shared" si="171"/>
        <v>0</v>
      </c>
      <c r="BI356" s="13">
        <f t="shared" si="172"/>
        <v>0</v>
      </c>
      <c r="BJ356" s="13">
        <f t="shared" si="173"/>
        <v>0</v>
      </c>
    </row>
    <row r="357" spans="1:62" ht="12.75">
      <c r="A357" s="107"/>
      <c r="B357" s="108"/>
      <c r="C357" s="99" t="s">
        <v>1768</v>
      </c>
      <c r="D357" s="100" t="s">
        <v>1007</v>
      </c>
      <c r="E357" s="101">
        <f>1+1+3+1+1</f>
        <v>7</v>
      </c>
      <c r="F357" s="132"/>
      <c r="G357" s="139"/>
      <c r="H357" s="110"/>
      <c r="I357" s="140"/>
      <c r="J357" s="213"/>
      <c r="K357" s="214"/>
      <c r="L357" s="150"/>
      <c r="Z357" s="27"/>
      <c r="AB357" s="27"/>
      <c r="AC357" s="27"/>
      <c r="AD357" s="27"/>
      <c r="AE357" s="27"/>
      <c r="AF357" s="27"/>
      <c r="AG357" s="27"/>
      <c r="AH357" s="27"/>
      <c r="AI357" s="20"/>
      <c r="AJ357" s="13"/>
      <c r="AK357" s="13"/>
      <c r="AL357" s="13"/>
      <c r="AN357" s="27"/>
      <c r="AO357" s="27"/>
      <c r="AP357" s="27"/>
      <c r="AQ357" s="23"/>
      <c r="AV357" s="27"/>
      <c r="AW357" s="27"/>
      <c r="AX357" s="27"/>
      <c r="AY357" s="28"/>
      <c r="AZ357" s="28"/>
      <c r="BA357" s="20"/>
      <c r="BC357" s="27"/>
      <c r="BD357" s="27"/>
      <c r="BE357" s="27"/>
      <c r="BF357" s="27"/>
      <c r="BH357" s="13"/>
      <c r="BI357" s="13"/>
      <c r="BJ357" s="13"/>
    </row>
    <row r="358" spans="1:62" ht="12.75">
      <c r="A358" s="107" t="s">
        <v>169</v>
      </c>
      <c r="B358" s="108" t="s">
        <v>489</v>
      </c>
      <c r="C358" s="109" t="s">
        <v>840</v>
      </c>
      <c r="D358" s="205" t="s">
        <v>1007</v>
      </c>
      <c r="E358" s="110">
        <f>+E359</f>
        <v>2</v>
      </c>
      <c r="F358" s="132">
        <v>0</v>
      </c>
      <c r="G358" s="139">
        <f t="shared" si="150"/>
        <v>0</v>
      </c>
      <c r="H358" s="110">
        <f t="shared" si="151"/>
        <v>0</v>
      </c>
      <c r="I358" s="140">
        <f t="shared" si="152"/>
        <v>0</v>
      </c>
      <c r="J358" s="213">
        <v>0</v>
      </c>
      <c r="K358" s="214">
        <f t="shared" si="153"/>
        <v>0</v>
      </c>
      <c r="L358" s="150" t="s">
        <v>1039</v>
      </c>
      <c r="Z358" s="27">
        <f t="shared" si="154"/>
        <v>0</v>
      </c>
      <c r="AB358" s="27">
        <f t="shared" si="155"/>
        <v>0</v>
      </c>
      <c r="AC358" s="27">
        <f t="shared" si="156"/>
        <v>0</v>
      </c>
      <c r="AD358" s="27">
        <f t="shared" si="157"/>
        <v>0</v>
      </c>
      <c r="AE358" s="27">
        <f t="shared" si="158"/>
        <v>0</v>
      </c>
      <c r="AF358" s="27">
        <f t="shared" si="159"/>
        <v>0</v>
      </c>
      <c r="AG358" s="27">
        <f t="shared" si="160"/>
        <v>0</v>
      </c>
      <c r="AH358" s="27">
        <f t="shared" si="161"/>
        <v>0</v>
      </c>
      <c r="AI358" s="20"/>
      <c r="AJ358" s="13">
        <f t="shared" si="162"/>
        <v>0</v>
      </c>
      <c r="AK358" s="13">
        <f t="shared" si="163"/>
        <v>0</v>
      </c>
      <c r="AL358" s="13">
        <f t="shared" si="164"/>
        <v>0</v>
      </c>
      <c r="AN358" s="27">
        <v>21</v>
      </c>
      <c r="AO358" s="27">
        <f t="shared" si="174"/>
        <v>0</v>
      </c>
      <c r="AP358" s="27">
        <f t="shared" si="175"/>
        <v>0</v>
      </c>
      <c r="AQ358" s="23" t="s">
        <v>7</v>
      </c>
      <c r="AV358" s="27">
        <f t="shared" si="165"/>
        <v>0</v>
      </c>
      <c r="AW358" s="27">
        <f t="shared" si="166"/>
        <v>0</v>
      </c>
      <c r="AX358" s="27">
        <f t="shared" si="167"/>
        <v>0</v>
      </c>
      <c r="AY358" s="28" t="s">
        <v>1081</v>
      </c>
      <c r="AZ358" s="28" t="s">
        <v>1103</v>
      </c>
      <c r="BA358" s="20" t="s">
        <v>1106</v>
      </c>
      <c r="BC358" s="27">
        <f t="shared" si="168"/>
        <v>0</v>
      </c>
      <c r="BD358" s="27">
        <f t="shared" si="169"/>
        <v>0</v>
      </c>
      <c r="BE358" s="27">
        <v>0</v>
      </c>
      <c r="BF358" s="27">
        <f t="shared" si="170"/>
        <v>0</v>
      </c>
      <c r="BH358" s="13">
        <f t="shared" si="171"/>
        <v>0</v>
      </c>
      <c r="BI358" s="13">
        <f t="shared" si="172"/>
        <v>0</v>
      </c>
      <c r="BJ358" s="13">
        <f t="shared" si="173"/>
        <v>0</v>
      </c>
    </row>
    <row r="359" spans="1:62" ht="12.75">
      <c r="A359" s="107"/>
      <c r="B359" s="108"/>
      <c r="C359" s="99" t="s">
        <v>1769</v>
      </c>
      <c r="D359" s="100" t="s">
        <v>1007</v>
      </c>
      <c r="E359" s="101">
        <f>1+1</f>
        <v>2</v>
      </c>
      <c r="F359" s="132"/>
      <c r="G359" s="139"/>
      <c r="H359" s="110"/>
      <c r="I359" s="140"/>
      <c r="J359" s="213"/>
      <c r="K359" s="214"/>
      <c r="L359" s="150"/>
      <c r="Z359" s="27"/>
      <c r="AB359" s="27"/>
      <c r="AC359" s="27"/>
      <c r="AD359" s="27"/>
      <c r="AE359" s="27"/>
      <c r="AF359" s="27"/>
      <c r="AG359" s="27"/>
      <c r="AH359" s="27"/>
      <c r="AI359" s="20"/>
      <c r="AJ359" s="13"/>
      <c r="AK359" s="13"/>
      <c r="AL359" s="13"/>
      <c r="AN359" s="27"/>
      <c r="AO359" s="27"/>
      <c r="AP359" s="27"/>
      <c r="AQ359" s="23"/>
      <c r="AV359" s="27"/>
      <c r="AW359" s="27"/>
      <c r="AX359" s="27"/>
      <c r="AY359" s="28"/>
      <c r="AZ359" s="28"/>
      <c r="BA359" s="20"/>
      <c r="BC359" s="27"/>
      <c r="BD359" s="27"/>
      <c r="BE359" s="27"/>
      <c r="BF359" s="27"/>
      <c r="BH359" s="13"/>
      <c r="BI359" s="13"/>
      <c r="BJ359" s="13"/>
    </row>
    <row r="360" spans="1:62" ht="12.75">
      <c r="A360" s="107" t="s">
        <v>170</v>
      </c>
      <c r="B360" s="108" t="s">
        <v>490</v>
      </c>
      <c r="C360" s="109" t="s">
        <v>841</v>
      </c>
      <c r="D360" s="205" t="s">
        <v>1007</v>
      </c>
      <c r="E360" s="110">
        <f>+E361</f>
        <v>3</v>
      </c>
      <c r="F360" s="132">
        <v>0</v>
      </c>
      <c r="G360" s="139">
        <f t="shared" si="150"/>
        <v>0</v>
      </c>
      <c r="H360" s="110">
        <f t="shared" si="151"/>
        <v>0</v>
      </c>
      <c r="I360" s="140">
        <f t="shared" si="152"/>
        <v>0</v>
      </c>
      <c r="J360" s="213">
        <v>0</v>
      </c>
      <c r="K360" s="214">
        <f t="shared" si="153"/>
        <v>0</v>
      </c>
      <c r="L360" s="150" t="s">
        <v>1039</v>
      </c>
      <c r="Z360" s="27">
        <f t="shared" si="154"/>
        <v>0</v>
      </c>
      <c r="AB360" s="27">
        <f t="shared" si="155"/>
        <v>0</v>
      </c>
      <c r="AC360" s="27">
        <f t="shared" si="156"/>
        <v>0</v>
      </c>
      <c r="AD360" s="27">
        <f t="shared" si="157"/>
        <v>0</v>
      </c>
      <c r="AE360" s="27">
        <f t="shared" si="158"/>
        <v>0</v>
      </c>
      <c r="AF360" s="27">
        <f t="shared" si="159"/>
        <v>0</v>
      </c>
      <c r="AG360" s="27">
        <f t="shared" si="160"/>
        <v>0</v>
      </c>
      <c r="AH360" s="27">
        <f t="shared" si="161"/>
        <v>0</v>
      </c>
      <c r="AI360" s="20"/>
      <c r="AJ360" s="13">
        <f t="shared" si="162"/>
        <v>0</v>
      </c>
      <c r="AK360" s="13">
        <f t="shared" si="163"/>
        <v>0</v>
      </c>
      <c r="AL360" s="13">
        <f t="shared" si="164"/>
        <v>0</v>
      </c>
      <c r="AN360" s="27">
        <v>21</v>
      </c>
      <c r="AO360" s="27">
        <f t="shared" si="174"/>
        <v>0</v>
      </c>
      <c r="AP360" s="27">
        <f t="shared" si="175"/>
        <v>0</v>
      </c>
      <c r="AQ360" s="23" t="s">
        <v>7</v>
      </c>
      <c r="AV360" s="27">
        <f t="shared" si="165"/>
        <v>0</v>
      </c>
      <c r="AW360" s="27">
        <f t="shared" si="166"/>
        <v>0</v>
      </c>
      <c r="AX360" s="27">
        <f t="shared" si="167"/>
        <v>0</v>
      </c>
      <c r="AY360" s="28" t="s">
        <v>1081</v>
      </c>
      <c r="AZ360" s="28" t="s">
        <v>1103</v>
      </c>
      <c r="BA360" s="20" t="s">
        <v>1106</v>
      </c>
      <c r="BC360" s="27">
        <f t="shared" si="168"/>
        <v>0</v>
      </c>
      <c r="BD360" s="27">
        <f t="shared" si="169"/>
        <v>0</v>
      </c>
      <c r="BE360" s="27">
        <v>0</v>
      </c>
      <c r="BF360" s="27">
        <f t="shared" si="170"/>
        <v>0</v>
      </c>
      <c r="BH360" s="13">
        <f t="shared" si="171"/>
        <v>0</v>
      </c>
      <c r="BI360" s="13">
        <f t="shared" si="172"/>
        <v>0</v>
      </c>
      <c r="BJ360" s="13">
        <f t="shared" si="173"/>
        <v>0</v>
      </c>
    </row>
    <row r="361" spans="1:62" ht="12.75">
      <c r="A361" s="107"/>
      <c r="B361" s="108"/>
      <c r="C361" s="99" t="s">
        <v>1770</v>
      </c>
      <c r="D361" s="100" t="s">
        <v>1007</v>
      </c>
      <c r="E361" s="101">
        <f>2+1</f>
        <v>3</v>
      </c>
      <c r="F361" s="132"/>
      <c r="G361" s="139"/>
      <c r="H361" s="110"/>
      <c r="I361" s="140"/>
      <c r="J361" s="213"/>
      <c r="K361" s="214"/>
      <c r="L361" s="150"/>
      <c r="Z361" s="27"/>
      <c r="AB361" s="27"/>
      <c r="AC361" s="27"/>
      <c r="AD361" s="27"/>
      <c r="AE361" s="27"/>
      <c r="AF361" s="27"/>
      <c r="AG361" s="27"/>
      <c r="AH361" s="27"/>
      <c r="AI361" s="20"/>
      <c r="AJ361" s="13"/>
      <c r="AK361" s="13"/>
      <c r="AL361" s="13"/>
      <c r="AN361" s="27"/>
      <c r="AO361" s="27"/>
      <c r="AP361" s="27"/>
      <c r="AQ361" s="23"/>
      <c r="AV361" s="27"/>
      <c r="AW361" s="27"/>
      <c r="AX361" s="27"/>
      <c r="AY361" s="28"/>
      <c r="AZ361" s="28"/>
      <c r="BA361" s="20"/>
      <c r="BC361" s="27"/>
      <c r="BD361" s="27"/>
      <c r="BE361" s="27"/>
      <c r="BF361" s="27"/>
      <c r="BH361" s="13"/>
      <c r="BI361" s="13"/>
      <c r="BJ361" s="13"/>
    </row>
    <row r="362" spans="1:62" ht="12.75">
      <c r="A362" s="107" t="s">
        <v>171</v>
      </c>
      <c r="B362" s="108" t="s">
        <v>491</v>
      </c>
      <c r="C362" s="109" t="s">
        <v>842</v>
      </c>
      <c r="D362" s="205" t="s">
        <v>1005</v>
      </c>
      <c r="E362" s="110">
        <f>+E363+E364</f>
        <v>66.61000000000001</v>
      </c>
      <c r="F362" s="132">
        <v>0</v>
      </c>
      <c r="G362" s="139">
        <f t="shared" si="150"/>
        <v>0</v>
      </c>
      <c r="H362" s="110">
        <f t="shared" si="151"/>
        <v>0</v>
      </c>
      <c r="I362" s="140">
        <f t="shared" si="152"/>
        <v>0</v>
      </c>
      <c r="J362" s="213">
        <v>0.01296</v>
      </c>
      <c r="K362" s="214">
        <f t="shared" si="153"/>
        <v>0.8632656000000001</v>
      </c>
      <c r="L362" s="150" t="s">
        <v>1039</v>
      </c>
      <c r="Z362" s="27">
        <f t="shared" si="154"/>
        <v>0</v>
      </c>
      <c r="AB362" s="27">
        <f t="shared" si="155"/>
        <v>0</v>
      </c>
      <c r="AC362" s="27">
        <f t="shared" si="156"/>
        <v>0</v>
      </c>
      <c r="AD362" s="27">
        <f t="shared" si="157"/>
        <v>0</v>
      </c>
      <c r="AE362" s="27">
        <f t="shared" si="158"/>
        <v>0</v>
      </c>
      <c r="AF362" s="27">
        <f t="shared" si="159"/>
        <v>0</v>
      </c>
      <c r="AG362" s="27">
        <f t="shared" si="160"/>
        <v>0</v>
      </c>
      <c r="AH362" s="27">
        <f t="shared" si="161"/>
        <v>0</v>
      </c>
      <c r="AI362" s="20"/>
      <c r="AJ362" s="13">
        <f t="shared" si="162"/>
        <v>0</v>
      </c>
      <c r="AK362" s="13">
        <f t="shared" si="163"/>
        <v>0</v>
      </c>
      <c r="AL362" s="13">
        <f t="shared" si="164"/>
        <v>0</v>
      </c>
      <c r="AN362" s="27">
        <v>21</v>
      </c>
      <c r="AO362" s="27">
        <f>F362*0.484871126322123</f>
        <v>0</v>
      </c>
      <c r="AP362" s="27">
        <f>F362*(1-0.484871126322123)</f>
        <v>0</v>
      </c>
      <c r="AQ362" s="23" t="s">
        <v>7</v>
      </c>
      <c r="AV362" s="27">
        <f t="shared" si="165"/>
        <v>0</v>
      </c>
      <c r="AW362" s="27">
        <f t="shared" si="166"/>
        <v>0</v>
      </c>
      <c r="AX362" s="27">
        <f t="shared" si="167"/>
        <v>0</v>
      </c>
      <c r="AY362" s="28" t="s">
        <v>1081</v>
      </c>
      <c r="AZ362" s="28" t="s">
        <v>1103</v>
      </c>
      <c r="BA362" s="20" t="s">
        <v>1106</v>
      </c>
      <c r="BC362" s="27">
        <f t="shared" si="168"/>
        <v>0</v>
      </c>
      <c r="BD362" s="27">
        <f t="shared" si="169"/>
        <v>0</v>
      </c>
      <c r="BE362" s="27">
        <v>0</v>
      </c>
      <c r="BF362" s="27">
        <f t="shared" si="170"/>
        <v>0.8632656000000001</v>
      </c>
      <c r="BH362" s="13">
        <f t="shared" si="171"/>
        <v>0</v>
      </c>
      <c r="BI362" s="13">
        <f t="shared" si="172"/>
        <v>0</v>
      </c>
      <c r="BJ362" s="13">
        <f t="shared" si="173"/>
        <v>0</v>
      </c>
    </row>
    <row r="363" spans="1:62" ht="25.5">
      <c r="A363" s="107"/>
      <c r="B363" s="108"/>
      <c r="C363" s="99" t="s">
        <v>1771</v>
      </c>
      <c r="D363" s="100" t="s">
        <v>1005</v>
      </c>
      <c r="E363" s="101">
        <f>+(1.6*1.6*2)+1.6*0.3*2+(1.24+0.38)/2*(3.8+3.5+2.7+2.4)</f>
        <v>16.124000000000002</v>
      </c>
      <c r="F363" s="132"/>
      <c r="G363" s="139"/>
      <c r="H363" s="110"/>
      <c r="I363" s="140"/>
      <c r="J363" s="213"/>
      <c r="K363" s="214"/>
      <c r="L363" s="150"/>
      <c r="Z363" s="27"/>
      <c r="AB363" s="27"/>
      <c r="AC363" s="27"/>
      <c r="AD363" s="27"/>
      <c r="AE363" s="27"/>
      <c r="AF363" s="27"/>
      <c r="AG363" s="27"/>
      <c r="AH363" s="27"/>
      <c r="AI363" s="20"/>
      <c r="AJ363" s="13"/>
      <c r="AK363" s="13"/>
      <c r="AL363" s="13"/>
      <c r="AN363" s="27"/>
      <c r="AO363" s="27"/>
      <c r="AP363" s="27"/>
      <c r="AQ363" s="23"/>
      <c r="AV363" s="27"/>
      <c r="AW363" s="27"/>
      <c r="AX363" s="27"/>
      <c r="AY363" s="28"/>
      <c r="AZ363" s="28"/>
      <c r="BA363" s="20"/>
      <c r="BC363" s="27"/>
      <c r="BD363" s="27"/>
      <c r="BE363" s="27"/>
      <c r="BF363" s="27"/>
      <c r="BH363" s="13"/>
      <c r="BI363" s="13"/>
      <c r="BJ363" s="13"/>
    </row>
    <row r="364" spans="1:62" ht="25.5">
      <c r="A364" s="107"/>
      <c r="B364" s="108"/>
      <c r="C364" s="99" t="s">
        <v>1772</v>
      </c>
      <c r="D364" s="100" t="s">
        <v>1005</v>
      </c>
      <c r="E364" s="101">
        <f>+(2.4*2+1.9*2)*3.43+(1.9*2+1.4*2)*3.18</f>
        <v>50.486000000000004</v>
      </c>
      <c r="F364" s="132"/>
      <c r="G364" s="139"/>
      <c r="H364" s="110"/>
      <c r="I364" s="140"/>
      <c r="J364" s="213"/>
      <c r="K364" s="214"/>
      <c r="L364" s="150"/>
      <c r="Z364" s="27"/>
      <c r="AB364" s="27"/>
      <c r="AC364" s="27"/>
      <c r="AD364" s="27"/>
      <c r="AE364" s="27"/>
      <c r="AF364" s="27"/>
      <c r="AG364" s="27"/>
      <c r="AH364" s="27"/>
      <c r="AI364" s="20"/>
      <c r="AJ364" s="13"/>
      <c r="AK364" s="13"/>
      <c r="AL364" s="13"/>
      <c r="AN364" s="27"/>
      <c r="AO364" s="27"/>
      <c r="AP364" s="27"/>
      <c r="AQ364" s="23"/>
      <c r="AV364" s="27"/>
      <c r="AW364" s="27"/>
      <c r="AX364" s="27"/>
      <c r="AY364" s="28"/>
      <c r="AZ364" s="28"/>
      <c r="BA364" s="20"/>
      <c r="BC364" s="27"/>
      <c r="BD364" s="27"/>
      <c r="BE364" s="27"/>
      <c r="BF364" s="27"/>
      <c r="BH364" s="13"/>
      <c r="BI364" s="13"/>
      <c r="BJ364" s="13"/>
    </row>
    <row r="365" spans="1:62" ht="12.75">
      <c r="A365" s="107" t="s">
        <v>172</v>
      </c>
      <c r="B365" s="108" t="s">
        <v>492</v>
      </c>
      <c r="C365" s="109" t="s">
        <v>843</v>
      </c>
      <c r="D365" s="205" t="s">
        <v>1011</v>
      </c>
      <c r="E365" s="110">
        <v>0.841</v>
      </c>
      <c r="F365" s="132">
        <v>0</v>
      </c>
      <c r="G365" s="139">
        <f t="shared" si="150"/>
        <v>0</v>
      </c>
      <c r="H365" s="110">
        <f t="shared" si="151"/>
        <v>0</v>
      </c>
      <c r="I365" s="140">
        <f t="shared" si="152"/>
        <v>0</v>
      </c>
      <c r="J365" s="213">
        <v>1.00594</v>
      </c>
      <c r="K365" s="214">
        <f t="shared" si="153"/>
        <v>0.84599554</v>
      </c>
      <c r="L365" s="150" t="s">
        <v>1039</v>
      </c>
      <c r="Z365" s="27">
        <f t="shared" si="154"/>
        <v>0</v>
      </c>
      <c r="AB365" s="27">
        <f t="shared" si="155"/>
        <v>0</v>
      </c>
      <c r="AC365" s="27">
        <f t="shared" si="156"/>
        <v>0</v>
      </c>
      <c r="AD365" s="27">
        <f t="shared" si="157"/>
        <v>0</v>
      </c>
      <c r="AE365" s="27">
        <f t="shared" si="158"/>
        <v>0</v>
      </c>
      <c r="AF365" s="27">
        <f t="shared" si="159"/>
        <v>0</v>
      </c>
      <c r="AG365" s="27">
        <f t="shared" si="160"/>
        <v>0</v>
      </c>
      <c r="AH365" s="27">
        <f t="shared" si="161"/>
        <v>0</v>
      </c>
      <c r="AI365" s="20"/>
      <c r="AJ365" s="13">
        <f t="shared" si="162"/>
        <v>0</v>
      </c>
      <c r="AK365" s="13">
        <f t="shared" si="163"/>
        <v>0</v>
      </c>
      <c r="AL365" s="13">
        <f t="shared" si="164"/>
        <v>0</v>
      </c>
      <c r="AN365" s="27">
        <v>21</v>
      </c>
      <c r="AO365" s="27">
        <f>F365*0.801294057025077</f>
        <v>0</v>
      </c>
      <c r="AP365" s="27">
        <f>F365*(1-0.801294057025077)</f>
        <v>0</v>
      </c>
      <c r="AQ365" s="23" t="s">
        <v>7</v>
      </c>
      <c r="AV365" s="27">
        <f t="shared" si="165"/>
        <v>0</v>
      </c>
      <c r="AW365" s="27">
        <f t="shared" si="166"/>
        <v>0</v>
      </c>
      <c r="AX365" s="27">
        <f t="shared" si="167"/>
        <v>0</v>
      </c>
      <c r="AY365" s="28" t="s">
        <v>1081</v>
      </c>
      <c r="AZ365" s="28" t="s">
        <v>1103</v>
      </c>
      <c r="BA365" s="20" t="s">
        <v>1106</v>
      </c>
      <c r="BC365" s="27">
        <f t="shared" si="168"/>
        <v>0</v>
      </c>
      <c r="BD365" s="27">
        <f t="shared" si="169"/>
        <v>0</v>
      </c>
      <c r="BE365" s="27">
        <v>0</v>
      </c>
      <c r="BF365" s="27">
        <f t="shared" si="170"/>
        <v>0.84599554</v>
      </c>
      <c r="BH365" s="13">
        <f t="shared" si="171"/>
        <v>0</v>
      </c>
      <c r="BI365" s="13">
        <f t="shared" si="172"/>
        <v>0</v>
      </c>
      <c r="BJ365" s="13">
        <f t="shared" si="173"/>
        <v>0</v>
      </c>
    </row>
    <row r="366" spans="1:62" ht="12.75">
      <c r="A366" s="107"/>
      <c r="B366" s="108"/>
      <c r="C366" s="99" t="s">
        <v>1773</v>
      </c>
      <c r="D366" s="205"/>
      <c r="E366" s="110"/>
      <c r="F366" s="132"/>
      <c r="G366" s="139"/>
      <c r="H366" s="110"/>
      <c r="I366" s="140"/>
      <c r="J366" s="213"/>
      <c r="K366" s="214"/>
      <c r="L366" s="150"/>
      <c r="Z366" s="27"/>
      <c r="AB366" s="27"/>
      <c r="AC366" s="27"/>
      <c r="AD366" s="27"/>
      <c r="AE366" s="27"/>
      <c r="AF366" s="27"/>
      <c r="AG366" s="27"/>
      <c r="AH366" s="27"/>
      <c r="AI366" s="20"/>
      <c r="AJ366" s="13"/>
      <c r="AK366" s="13"/>
      <c r="AL366" s="13"/>
      <c r="AN366" s="27"/>
      <c r="AO366" s="27"/>
      <c r="AP366" s="27"/>
      <c r="AQ366" s="23"/>
      <c r="AV366" s="27"/>
      <c r="AW366" s="27"/>
      <c r="AX366" s="27"/>
      <c r="AY366" s="28"/>
      <c r="AZ366" s="28"/>
      <c r="BA366" s="20"/>
      <c r="BC366" s="27"/>
      <c r="BD366" s="27"/>
      <c r="BE366" s="27"/>
      <c r="BF366" s="27"/>
      <c r="BH366" s="13"/>
      <c r="BI366" s="13"/>
      <c r="BJ366" s="13"/>
    </row>
    <row r="367" spans="1:62" ht="12.75">
      <c r="A367" s="107" t="s">
        <v>173</v>
      </c>
      <c r="B367" s="108" t="s">
        <v>493</v>
      </c>
      <c r="C367" s="109" t="s">
        <v>844</v>
      </c>
      <c r="D367" s="205" t="s">
        <v>1007</v>
      </c>
      <c r="E367" s="110">
        <f>+E368</f>
        <v>17</v>
      </c>
      <c r="F367" s="132">
        <v>0</v>
      </c>
      <c r="G367" s="139">
        <f t="shared" si="150"/>
        <v>0</v>
      </c>
      <c r="H367" s="110">
        <f t="shared" si="151"/>
        <v>0</v>
      </c>
      <c r="I367" s="140">
        <f t="shared" si="152"/>
        <v>0</v>
      </c>
      <c r="J367" s="213">
        <v>0.00702</v>
      </c>
      <c r="K367" s="214">
        <f t="shared" si="153"/>
        <v>0.11934</v>
      </c>
      <c r="L367" s="150" t="s">
        <v>1039</v>
      </c>
      <c r="Z367" s="27">
        <f t="shared" si="154"/>
        <v>0</v>
      </c>
      <c r="AB367" s="27">
        <f t="shared" si="155"/>
        <v>0</v>
      </c>
      <c r="AC367" s="27">
        <f t="shared" si="156"/>
        <v>0</v>
      </c>
      <c r="AD367" s="27">
        <f t="shared" si="157"/>
        <v>0</v>
      </c>
      <c r="AE367" s="27">
        <f t="shared" si="158"/>
        <v>0</v>
      </c>
      <c r="AF367" s="27">
        <f t="shared" si="159"/>
        <v>0</v>
      </c>
      <c r="AG367" s="27">
        <f t="shared" si="160"/>
        <v>0</v>
      </c>
      <c r="AH367" s="27">
        <f t="shared" si="161"/>
        <v>0</v>
      </c>
      <c r="AI367" s="20"/>
      <c r="AJ367" s="13">
        <f t="shared" si="162"/>
        <v>0</v>
      </c>
      <c r="AK367" s="13">
        <f t="shared" si="163"/>
        <v>0</v>
      </c>
      <c r="AL367" s="13">
        <f t="shared" si="164"/>
        <v>0</v>
      </c>
      <c r="AN367" s="27">
        <v>21</v>
      </c>
      <c r="AO367" s="27">
        <f>F367*0.0115458001977688</f>
        <v>0</v>
      </c>
      <c r="AP367" s="27">
        <f>F367*(1-0.0115458001977688)</f>
        <v>0</v>
      </c>
      <c r="AQ367" s="23" t="s">
        <v>7</v>
      </c>
      <c r="AV367" s="27">
        <f t="shared" si="165"/>
        <v>0</v>
      </c>
      <c r="AW367" s="27">
        <f t="shared" si="166"/>
        <v>0</v>
      </c>
      <c r="AX367" s="27">
        <f t="shared" si="167"/>
        <v>0</v>
      </c>
      <c r="AY367" s="28" t="s">
        <v>1081</v>
      </c>
      <c r="AZ367" s="28" t="s">
        <v>1103</v>
      </c>
      <c r="BA367" s="20" t="s">
        <v>1106</v>
      </c>
      <c r="BC367" s="27">
        <f t="shared" si="168"/>
        <v>0</v>
      </c>
      <c r="BD367" s="27">
        <f t="shared" si="169"/>
        <v>0</v>
      </c>
      <c r="BE367" s="27">
        <v>0</v>
      </c>
      <c r="BF367" s="27">
        <f t="shared" si="170"/>
        <v>0.11934</v>
      </c>
      <c r="BH367" s="13">
        <f t="shared" si="171"/>
        <v>0</v>
      </c>
      <c r="BI367" s="13">
        <f t="shared" si="172"/>
        <v>0</v>
      </c>
      <c r="BJ367" s="13">
        <f t="shared" si="173"/>
        <v>0</v>
      </c>
    </row>
    <row r="368" spans="1:62" ht="12.75">
      <c r="A368" s="107"/>
      <c r="B368" s="108"/>
      <c r="C368" s="99" t="s">
        <v>1774</v>
      </c>
      <c r="D368" s="100" t="s">
        <v>1007</v>
      </c>
      <c r="E368" s="101">
        <f>7+1+5+4</f>
        <v>17</v>
      </c>
      <c r="F368" s="132"/>
      <c r="G368" s="139"/>
      <c r="H368" s="110"/>
      <c r="I368" s="140"/>
      <c r="J368" s="213"/>
      <c r="K368" s="214"/>
      <c r="L368" s="150"/>
      <c r="Z368" s="27"/>
      <c r="AB368" s="27"/>
      <c r="AC368" s="27"/>
      <c r="AD368" s="27"/>
      <c r="AE368" s="27"/>
      <c r="AF368" s="27"/>
      <c r="AG368" s="27"/>
      <c r="AH368" s="27"/>
      <c r="AI368" s="20"/>
      <c r="AJ368" s="13"/>
      <c r="AK368" s="13"/>
      <c r="AL368" s="13"/>
      <c r="AN368" s="27"/>
      <c r="AO368" s="27"/>
      <c r="AP368" s="27"/>
      <c r="AQ368" s="23"/>
      <c r="AV368" s="27"/>
      <c r="AW368" s="27"/>
      <c r="AX368" s="27"/>
      <c r="AY368" s="28"/>
      <c r="AZ368" s="28"/>
      <c r="BA368" s="20"/>
      <c r="BC368" s="27"/>
      <c r="BD368" s="27"/>
      <c r="BE368" s="27"/>
      <c r="BF368" s="27"/>
      <c r="BH368" s="13"/>
      <c r="BI368" s="13"/>
      <c r="BJ368" s="13"/>
    </row>
    <row r="369" spans="1:62" ht="12.75">
      <c r="A369" s="107" t="s">
        <v>174</v>
      </c>
      <c r="B369" s="108" t="s">
        <v>494</v>
      </c>
      <c r="C369" s="109" t="s">
        <v>845</v>
      </c>
      <c r="D369" s="205" t="s">
        <v>1007</v>
      </c>
      <c r="E369" s="110">
        <f>+E370</f>
        <v>3</v>
      </c>
      <c r="F369" s="132">
        <v>0</v>
      </c>
      <c r="G369" s="139">
        <f t="shared" si="150"/>
        <v>0</v>
      </c>
      <c r="H369" s="110">
        <f t="shared" si="151"/>
        <v>0</v>
      </c>
      <c r="I369" s="140">
        <f t="shared" si="152"/>
        <v>0</v>
      </c>
      <c r="J369" s="213">
        <v>0.00702</v>
      </c>
      <c r="K369" s="214">
        <f t="shared" si="153"/>
        <v>0.021060000000000002</v>
      </c>
      <c r="L369" s="150" t="s">
        <v>1039</v>
      </c>
      <c r="Z369" s="27">
        <f t="shared" si="154"/>
        <v>0</v>
      </c>
      <c r="AB369" s="27">
        <f t="shared" si="155"/>
        <v>0</v>
      </c>
      <c r="AC369" s="27">
        <f t="shared" si="156"/>
        <v>0</v>
      </c>
      <c r="AD369" s="27">
        <f t="shared" si="157"/>
        <v>0</v>
      </c>
      <c r="AE369" s="27">
        <f t="shared" si="158"/>
        <v>0</v>
      </c>
      <c r="AF369" s="27">
        <f t="shared" si="159"/>
        <v>0</v>
      </c>
      <c r="AG369" s="27">
        <f t="shared" si="160"/>
        <v>0</v>
      </c>
      <c r="AH369" s="27">
        <f t="shared" si="161"/>
        <v>0</v>
      </c>
      <c r="AI369" s="20"/>
      <c r="AJ369" s="13">
        <f t="shared" si="162"/>
        <v>0</v>
      </c>
      <c r="AK369" s="13">
        <f t="shared" si="163"/>
        <v>0</v>
      </c>
      <c r="AL369" s="13">
        <f t="shared" si="164"/>
        <v>0</v>
      </c>
      <c r="AN369" s="27">
        <v>21</v>
      </c>
      <c r="AO369" s="27">
        <f>F369*0.0102472187886279</f>
        <v>0</v>
      </c>
      <c r="AP369" s="27">
        <f>F369*(1-0.0102472187886279)</f>
        <v>0</v>
      </c>
      <c r="AQ369" s="23" t="s">
        <v>7</v>
      </c>
      <c r="AV369" s="27">
        <f t="shared" si="165"/>
        <v>0</v>
      </c>
      <c r="AW369" s="27">
        <f t="shared" si="166"/>
        <v>0</v>
      </c>
      <c r="AX369" s="27">
        <f t="shared" si="167"/>
        <v>0</v>
      </c>
      <c r="AY369" s="28" t="s">
        <v>1081</v>
      </c>
      <c r="AZ369" s="28" t="s">
        <v>1103</v>
      </c>
      <c r="BA369" s="20" t="s">
        <v>1106</v>
      </c>
      <c r="BC369" s="27">
        <f t="shared" si="168"/>
        <v>0</v>
      </c>
      <c r="BD369" s="27">
        <f t="shared" si="169"/>
        <v>0</v>
      </c>
      <c r="BE369" s="27">
        <v>0</v>
      </c>
      <c r="BF369" s="27">
        <f t="shared" si="170"/>
        <v>0.021060000000000002</v>
      </c>
      <c r="BH369" s="13">
        <f t="shared" si="171"/>
        <v>0</v>
      </c>
      <c r="BI369" s="13">
        <f t="shared" si="172"/>
        <v>0</v>
      </c>
      <c r="BJ369" s="13">
        <f t="shared" si="173"/>
        <v>0</v>
      </c>
    </row>
    <row r="370" spans="1:62" ht="12.75">
      <c r="A370" s="107"/>
      <c r="B370" s="108"/>
      <c r="C370" s="99" t="s">
        <v>1775</v>
      </c>
      <c r="D370" s="100" t="s">
        <v>1007</v>
      </c>
      <c r="E370" s="101">
        <f>1+2</f>
        <v>3</v>
      </c>
      <c r="F370" s="132"/>
      <c r="G370" s="139"/>
      <c r="H370" s="110"/>
      <c r="I370" s="140"/>
      <c r="J370" s="213"/>
      <c r="K370" s="214"/>
      <c r="L370" s="150"/>
      <c r="Z370" s="27"/>
      <c r="AB370" s="27"/>
      <c r="AC370" s="27"/>
      <c r="AD370" s="27"/>
      <c r="AE370" s="27"/>
      <c r="AF370" s="27"/>
      <c r="AG370" s="27"/>
      <c r="AH370" s="27"/>
      <c r="AI370" s="20"/>
      <c r="AJ370" s="13"/>
      <c r="AK370" s="13"/>
      <c r="AL370" s="13"/>
      <c r="AN370" s="27"/>
      <c r="AO370" s="27"/>
      <c r="AP370" s="27"/>
      <c r="AQ370" s="23"/>
      <c r="AV370" s="27"/>
      <c r="AW370" s="27"/>
      <c r="AX370" s="27"/>
      <c r="AY370" s="28"/>
      <c r="AZ370" s="28"/>
      <c r="BA370" s="20"/>
      <c r="BC370" s="27"/>
      <c r="BD370" s="27"/>
      <c r="BE370" s="27"/>
      <c r="BF370" s="27"/>
      <c r="BH370" s="13"/>
      <c r="BI370" s="13"/>
      <c r="BJ370" s="13"/>
    </row>
    <row r="371" spans="1:62" ht="12.75">
      <c r="A371" s="107" t="s">
        <v>175</v>
      </c>
      <c r="B371" s="108" t="s">
        <v>495</v>
      </c>
      <c r="C371" s="109" t="s">
        <v>846</v>
      </c>
      <c r="D371" s="205" t="s">
        <v>1007</v>
      </c>
      <c r="E371" s="110">
        <f>+E372</f>
        <v>13</v>
      </c>
      <c r="F371" s="132">
        <v>0</v>
      </c>
      <c r="G371" s="139">
        <f t="shared" si="150"/>
        <v>0</v>
      </c>
      <c r="H371" s="110">
        <f t="shared" si="151"/>
        <v>0</v>
      </c>
      <c r="I371" s="140">
        <f t="shared" si="152"/>
        <v>0</v>
      </c>
      <c r="J371" s="213">
        <v>0.00702</v>
      </c>
      <c r="K371" s="214">
        <f t="shared" si="153"/>
        <v>0.09126000000000001</v>
      </c>
      <c r="L371" s="150" t="s">
        <v>1039</v>
      </c>
      <c r="Z371" s="27">
        <f t="shared" si="154"/>
        <v>0</v>
      </c>
      <c r="AB371" s="27">
        <f t="shared" si="155"/>
        <v>0</v>
      </c>
      <c r="AC371" s="27">
        <f t="shared" si="156"/>
        <v>0</v>
      </c>
      <c r="AD371" s="27">
        <f t="shared" si="157"/>
        <v>0</v>
      </c>
      <c r="AE371" s="27">
        <f t="shared" si="158"/>
        <v>0</v>
      </c>
      <c r="AF371" s="27">
        <f t="shared" si="159"/>
        <v>0</v>
      </c>
      <c r="AG371" s="27">
        <f t="shared" si="160"/>
        <v>0</v>
      </c>
      <c r="AH371" s="27">
        <f t="shared" si="161"/>
        <v>0</v>
      </c>
      <c r="AI371" s="20"/>
      <c r="AJ371" s="13">
        <f t="shared" si="162"/>
        <v>0</v>
      </c>
      <c r="AK371" s="13">
        <f t="shared" si="163"/>
        <v>0</v>
      </c>
      <c r="AL371" s="13">
        <f t="shared" si="164"/>
        <v>0</v>
      </c>
      <c r="AN371" s="27">
        <v>21</v>
      </c>
      <c r="AO371" s="27">
        <f>F371*0</f>
        <v>0</v>
      </c>
      <c r="AP371" s="27">
        <f>F371*(1-0)</f>
        <v>0</v>
      </c>
      <c r="AQ371" s="23" t="s">
        <v>7</v>
      </c>
      <c r="AV371" s="27">
        <f t="shared" si="165"/>
        <v>0</v>
      </c>
      <c r="AW371" s="27">
        <f t="shared" si="166"/>
        <v>0</v>
      </c>
      <c r="AX371" s="27">
        <f t="shared" si="167"/>
        <v>0</v>
      </c>
      <c r="AY371" s="28" t="s">
        <v>1081</v>
      </c>
      <c r="AZ371" s="28" t="s">
        <v>1103</v>
      </c>
      <c r="BA371" s="20" t="s">
        <v>1106</v>
      </c>
      <c r="BC371" s="27">
        <f t="shared" si="168"/>
        <v>0</v>
      </c>
      <c r="BD371" s="27">
        <f t="shared" si="169"/>
        <v>0</v>
      </c>
      <c r="BE371" s="27">
        <v>0</v>
      </c>
      <c r="BF371" s="27">
        <f t="shared" si="170"/>
        <v>0.09126000000000001</v>
      </c>
      <c r="BH371" s="13">
        <f t="shared" si="171"/>
        <v>0</v>
      </c>
      <c r="BI371" s="13">
        <f t="shared" si="172"/>
        <v>0</v>
      </c>
      <c r="BJ371" s="13">
        <f t="shared" si="173"/>
        <v>0</v>
      </c>
    </row>
    <row r="372" spans="1:62" ht="12.75">
      <c r="A372" s="107"/>
      <c r="B372" s="108"/>
      <c r="C372" s="99" t="s">
        <v>1776</v>
      </c>
      <c r="D372" s="100" t="s">
        <v>1007</v>
      </c>
      <c r="E372" s="101">
        <f>10+1+2</f>
        <v>13</v>
      </c>
      <c r="F372" s="132"/>
      <c r="G372" s="139"/>
      <c r="H372" s="110"/>
      <c r="I372" s="140"/>
      <c r="J372" s="213"/>
      <c r="K372" s="214"/>
      <c r="L372" s="150"/>
      <c r="Z372" s="27"/>
      <c r="AB372" s="27"/>
      <c r="AC372" s="27"/>
      <c r="AD372" s="27"/>
      <c r="AE372" s="27"/>
      <c r="AF372" s="27"/>
      <c r="AG372" s="27"/>
      <c r="AH372" s="27"/>
      <c r="AI372" s="20"/>
      <c r="AJ372" s="13"/>
      <c r="AK372" s="13"/>
      <c r="AL372" s="13"/>
      <c r="AN372" s="27"/>
      <c r="AO372" s="27"/>
      <c r="AP372" s="27"/>
      <c r="AQ372" s="23"/>
      <c r="AV372" s="27"/>
      <c r="AW372" s="27"/>
      <c r="AX372" s="27"/>
      <c r="AY372" s="28"/>
      <c r="AZ372" s="28"/>
      <c r="BA372" s="20"/>
      <c r="BC372" s="27"/>
      <c r="BD372" s="27"/>
      <c r="BE372" s="27"/>
      <c r="BF372" s="27"/>
      <c r="BH372" s="13"/>
      <c r="BI372" s="13"/>
      <c r="BJ372" s="13"/>
    </row>
    <row r="373" spans="1:62" ht="12.75">
      <c r="A373" s="107" t="s">
        <v>176</v>
      </c>
      <c r="B373" s="108" t="s">
        <v>496</v>
      </c>
      <c r="C373" s="109" t="s">
        <v>847</v>
      </c>
      <c r="D373" s="205" t="s">
        <v>1007</v>
      </c>
      <c r="E373" s="110">
        <f>+E374</f>
        <v>23</v>
      </c>
      <c r="F373" s="132">
        <v>0</v>
      </c>
      <c r="G373" s="139">
        <f t="shared" si="150"/>
        <v>0</v>
      </c>
      <c r="H373" s="110">
        <f t="shared" si="151"/>
        <v>0</v>
      </c>
      <c r="I373" s="140">
        <f t="shared" si="152"/>
        <v>0</v>
      </c>
      <c r="J373" s="213">
        <v>0.00337</v>
      </c>
      <c r="K373" s="214">
        <f t="shared" si="153"/>
        <v>0.07751000000000001</v>
      </c>
      <c r="L373" s="150" t="s">
        <v>1039</v>
      </c>
      <c r="Z373" s="27">
        <f t="shared" si="154"/>
        <v>0</v>
      </c>
      <c r="AB373" s="27">
        <f t="shared" si="155"/>
        <v>0</v>
      </c>
      <c r="AC373" s="27">
        <f t="shared" si="156"/>
        <v>0</v>
      </c>
      <c r="AD373" s="27">
        <f t="shared" si="157"/>
        <v>0</v>
      </c>
      <c r="AE373" s="27">
        <f t="shared" si="158"/>
        <v>0</v>
      </c>
      <c r="AF373" s="27">
        <f t="shared" si="159"/>
        <v>0</v>
      </c>
      <c r="AG373" s="27">
        <f t="shared" si="160"/>
        <v>0</v>
      </c>
      <c r="AH373" s="27">
        <f t="shared" si="161"/>
        <v>0</v>
      </c>
      <c r="AI373" s="20"/>
      <c r="AJ373" s="13">
        <f t="shared" si="162"/>
        <v>0</v>
      </c>
      <c r="AK373" s="13">
        <f t="shared" si="163"/>
        <v>0</v>
      </c>
      <c r="AL373" s="13">
        <f t="shared" si="164"/>
        <v>0</v>
      </c>
      <c r="AN373" s="27">
        <v>21</v>
      </c>
      <c r="AO373" s="27">
        <f>F373*0.449674185463659</f>
        <v>0</v>
      </c>
      <c r="AP373" s="27">
        <f>F373*(1-0.449674185463659)</f>
        <v>0</v>
      </c>
      <c r="AQ373" s="23" t="s">
        <v>7</v>
      </c>
      <c r="AV373" s="27">
        <f t="shared" si="165"/>
        <v>0</v>
      </c>
      <c r="AW373" s="27">
        <f t="shared" si="166"/>
        <v>0</v>
      </c>
      <c r="AX373" s="27">
        <f t="shared" si="167"/>
        <v>0</v>
      </c>
      <c r="AY373" s="28" t="s">
        <v>1081</v>
      </c>
      <c r="AZ373" s="28" t="s">
        <v>1103</v>
      </c>
      <c r="BA373" s="20" t="s">
        <v>1106</v>
      </c>
      <c r="BC373" s="27">
        <f t="shared" si="168"/>
        <v>0</v>
      </c>
      <c r="BD373" s="27">
        <f t="shared" si="169"/>
        <v>0</v>
      </c>
      <c r="BE373" s="27">
        <v>0</v>
      </c>
      <c r="BF373" s="27">
        <f t="shared" si="170"/>
        <v>0.07751000000000001</v>
      </c>
      <c r="BH373" s="13">
        <f t="shared" si="171"/>
        <v>0</v>
      </c>
      <c r="BI373" s="13">
        <f t="shared" si="172"/>
        <v>0</v>
      </c>
      <c r="BJ373" s="13">
        <f t="shared" si="173"/>
        <v>0</v>
      </c>
    </row>
    <row r="374" spans="1:62" ht="12.75">
      <c r="A374" s="107"/>
      <c r="B374" s="108"/>
      <c r="C374" s="99" t="s">
        <v>1777</v>
      </c>
      <c r="D374" s="100" t="s">
        <v>1007</v>
      </c>
      <c r="E374" s="101">
        <f>13+10</f>
        <v>23</v>
      </c>
      <c r="F374" s="132"/>
      <c r="G374" s="139"/>
      <c r="H374" s="110"/>
      <c r="I374" s="140"/>
      <c r="J374" s="213"/>
      <c r="K374" s="214"/>
      <c r="L374" s="150"/>
      <c r="Z374" s="27"/>
      <c r="AB374" s="27"/>
      <c r="AC374" s="27"/>
      <c r="AD374" s="27"/>
      <c r="AE374" s="27"/>
      <c r="AF374" s="27"/>
      <c r="AG374" s="27"/>
      <c r="AH374" s="27"/>
      <c r="AI374" s="20"/>
      <c r="AJ374" s="13"/>
      <c r="AK374" s="13"/>
      <c r="AL374" s="13"/>
      <c r="AN374" s="27"/>
      <c r="AO374" s="27"/>
      <c r="AP374" s="27"/>
      <c r="AQ374" s="23"/>
      <c r="AV374" s="27"/>
      <c r="AW374" s="27"/>
      <c r="AX374" s="27"/>
      <c r="AY374" s="28"/>
      <c r="AZ374" s="28"/>
      <c r="BA374" s="20"/>
      <c r="BC374" s="27"/>
      <c r="BD374" s="27"/>
      <c r="BE374" s="27"/>
      <c r="BF374" s="27"/>
      <c r="BH374" s="13"/>
      <c r="BI374" s="13"/>
      <c r="BJ374" s="13"/>
    </row>
    <row r="375" spans="1:62" ht="12.75">
      <c r="A375" s="107" t="s">
        <v>177</v>
      </c>
      <c r="B375" s="108" t="s">
        <v>497</v>
      </c>
      <c r="C375" s="109" t="s">
        <v>848</v>
      </c>
      <c r="D375" s="205" t="s">
        <v>1012</v>
      </c>
      <c r="E375" s="110">
        <v>99.88</v>
      </c>
      <c r="F375" s="132">
        <v>0</v>
      </c>
      <c r="G375" s="139">
        <f t="shared" si="150"/>
        <v>0</v>
      </c>
      <c r="H375" s="110">
        <f t="shared" si="151"/>
        <v>0</v>
      </c>
      <c r="I375" s="140">
        <f t="shared" si="152"/>
        <v>0</v>
      </c>
      <c r="J375" s="213">
        <v>0.00133</v>
      </c>
      <c r="K375" s="214">
        <f t="shared" si="153"/>
        <v>0.1328404</v>
      </c>
      <c r="L375" s="150" t="s">
        <v>1039</v>
      </c>
      <c r="Z375" s="27">
        <f t="shared" si="154"/>
        <v>0</v>
      </c>
      <c r="AB375" s="27">
        <f t="shared" si="155"/>
        <v>0</v>
      </c>
      <c r="AC375" s="27">
        <f t="shared" si="156"/>
        <v>0</v>
      </c>
      <c r="AD375" s="27">
        <f t="shared" si="157"/>
        <v>0</v>
      </c>
      <c r="AE375" s="27">
        <f t="shared" si="158"/>
        <v>0</v>
      </c>
      <c r="AF375" s="27">
        <f t="shared" si="159"/>
        <v>0</v>
      </c>
      <c r="AG375" s="27">
        <f t="shared" si="160"/>
        <v>0</v>
      </c>
      <c r="AH375" s="27">
        <f t="shared" si="161"/>
        <v>0</v>
      </c>
      <c r="AI375" s="20"/>
      <c r="AJ375" s="13">
        <f t="shared" si="162"/>
        <v>0</v>
      </c>
      <c r="AK375" s="13">
        <f t="shared" si="163"/>
        <v>0</v>
      </c>
      <c r="AL375" s="13">
        <f t="shared" si="164"/>
        <v>0</v>
      </c>
      <c r="AN375" s="27">
        <v>21</v>
      </c>
      <c r="AO375" s="27">
        <f>F375*0.0186460718914613</f>
        <v>0</v>
      </c>
      <c r="AP375" s="27">
        <f>F375*(1-0.0186460718914613)</f>
        <v>0</v>
      </c>
      <c r="AQ375" s="23" t="s">
        <v>7</v>
      </c>
      <c r="AV375" s="27">
        <f t="shared" si="165"/>
        <v>0</v>
      </c>
      <c r="AW375" s="27">
        <f t="shared" si="166"/>
        <v>0</v>
      </c>
      <c r="AX375" s="27">
        <f t="shared" si="167"/>
        <v>0</v>
      </c>
      <c r="AY375" s="28" t="s">
        <v>1081</v>
      </c>
      <c r="AZ375" s="28" t="s">
        <v>1103</v>
      </c>
      <c r="BA375" s="20" t="s">
        <v>1106</v>
      </c>
      <c r="BC375" s="27">
        <f t="shared" si="168"/>
        <v>0</v>
      </c>
      <c r="BD375" s="27">
        <f t="shared" si="169"/>
        <v>0</v>
      </c>
      <c r="BE375" s="27">
        <v>0</v>
      </c>
      <c r="BF375" s="27">
        <f t="shared" si="170"/>
        <v>0.1328404</v>
      </c>
      <c r="BH375" s="13">
        <f t="shared" si="171"/>
        <v>0</v>
      </c>
      <c r="BI375" s="13">
        <f t="shared" si="172"/>
        <v>0</v>
      </c>
      <c r="BJ375" s="13">
        <f t="shared" si="173"/>
        <v>0</v>
      </c>
    </row>
    <row r="376" spans="1:62" ht="12.75">
      <c r="A376" s="107"/>
      <c r="B376" s="108"/>
      <c r="C376" s="99" t="s">
        <v>1778</v>
      </c>
      <c r="D376" s="205"/>
      <c r="E376" s="110"/>
      <c r="F376" s="132"/>
      <c r="G376" s="139"/>
      <c r="H376" s="110"/>
      <c r="I376" s="140"/>
      <c r="J376" s="213"/>
      <c r="K376" s="214"/>
      <c r="L376" s="150"/>
      <c r="Z376" s="27"/>
      <c r="AB376" s="27"/>
      <c r="AC376" s="27"/>
      <c r="AD376" s="27"/>
      <c r="AE376" s="27"/>
      <c r="AF376" s="27"/>
      <c r="AG376" s="27"/>
      <c r="AH376" s="27"/>
      <c r="AI376" s="20"/>
      <c r="AJ376" s="13"/>
      <c r="AK376" s="13"/>
      <c r="AL376" s="13"/>
      <c r="AN376" s="27"/>
      <c r="AO376" s="27"/>
      <c r="AP376" s="27"/>
      <c r="AQ376" s="23"/>
      <c r="AV376" s="27"/>
      <c r="AW376" s="27"/>
      <c r="AX376" s="27"/>
      <c r="AY376" s="28"/>
      <c r="AZ376" s="28"/>
      <c r="BA376" s="20"/>
      <c r="BC376" s="27"/>
      <c r="BD376" s="27"/>
      <c r="BE376" s="27"/>
      <c r="BF376" s="27"/>
      <c r="BH376" s="13"/>
      <c r="BI376" s="13"/>
      <c r="BJ376" s="13"/>
    </row>
    <row r="377" spans="1:47" ht="12.75">
      <c r="A377" s="111"/>
      <c r="B377" s="112" t="s">
        <v>498</v>
      </c>
      <c r="C377" s="113" t="s">
        <v>830</v>
      </c>
      <c r="D377" s="206" t="s">
        <v>6</v>
      </c>
      <c r="E377" s="114" t="s">
        <v>6</v>
      </c>
      <c r="F377" s="133" t="s">
        <v>6</v>
      </c>
      <c r="G377" s="141">
        <f>SUM(G378:G395)</f>
        <v>0</v>
      </c>
      <c r="H377" s="115">
        <f>SUM(H378:H395)</f>
        <v>0</v>
      </c>
      <c r="I377" s="142">
        <f>SUM(I378:I395)</f>
        <v>0</v>
      </c>
      <c r="J377" s="215"/>
      <c r="K377" s="216">
        <f>SUM(K378:K395)</f>
        <v>446.7938210999999</v>
      </c>
      <c r="L377" s="151"/>
      <c r="AI377" s="20"/>
      <c r="AS377" s="29">
        <f>SUM(AJ378:AJ395)</f>
        <v>0</v>
      </c>
      <c r="AT377" s="29">
        <f>SUM(AK378:AK395)</f>
        <v>0</v>
      </c>
      <c r="AU377" s="29">
        <f>SUM(AL378:AL395)</f>
        <v>0</v>
      </c>
    </row>
    <row r="378" spans="1:62" ht="25.5">
      <c r="A378" s="107" t="s">
        <v>178</v>
      </c>
      <c r="B378" s="108" t="s">
        <v>499</v>
      </c>
      <c r="C378" s="109" t="s">
        <v>849</v>
      </c>
      <c r="D378" s="205" t="s">
        <v>1016</v>
      </c>
      <c r="E378" s="110">
        <v>1</v>
      </c>
      <c r="F378" s="132">
        <v>0</v>
      </c>
      <c r="G378" s="139">
        <f aca="true" t="shared" si="176" ref="G378:G395">E378*AO378</f>
        <v>0</v>
      </c>
      <c r="H378" s="110">
        <f aca="true" t="shared" si="177" ref="H378:H395">E378*AP378</f>
        <v>0</v>
      </c>
      <c r="I378" s="140">
        <f aca="true" t="shared" si="178" ref="I378:I395">E378*F378</f>
        <v>0</v>
      </c>
      <c r="J378" s="213">
        <v>0</v>
      </c>
      <c r="K378" s="214">
        <f aca="true" t="shared" si="179" ref="K378:K395">E378*J378</f>
        <v>0</v>
      </c>
      <c r="L378" s="150"/>
      <c r="Z378" s="27">
        <f aca="true" t="shared" si="180" ref="Z378:Z395">IF(AQ378="5",BJ378,0)</f>
        <v>0</v>
      </c>
      <c r="AB378" s="27">
        <f aca="true" t="shared" si="181" ref="AB378:AB395">IF(AQ378="1",BH378,0)</f>
        <v>0</v>
      </c>
      <c r="AC378" s="27">
        <f aca="true" t="shared" si="182" ref="AC378:AC395">IF(AQ378="1",BI378,0)</f>
        <v>0</v>
      </c>
      <c r="AD378" s="27">
        <f aca="true" t="shared" si="183" ref="AD378:AD395">IF(AQ378="7",BH378,0)</f>
        <v>0</v>
      </c>
      <c r="AE378" s="27">
        <f aca="true" t="shared" si="184" ref="AE378:AE395">IF(AQ378="7",BI378,0)</f>
        <v>0</v>
      </c>
      <c r="AF378" s="27">
        <f aca="true" t="shared" si="185" ref="AF378:AF395">IF(AQ378="2",BH378,0)</f>
        <v>0</v>
      </c>
      <c r="AG378" s="27">
        <f aca="true" t="shared" si="186" ref="AG378:AG395">IF(AQ378="2",BI378,0)</f>
        <v>0</v>
      </c>
      <c r="AH378" s="27">
        <f aca="true" t="shared" si="187" ref="AH378:AH395">IF(AQ378="0",BJ378,0)</f>
        <v>0</v>
      </c>
      <c r="AI378" s="20"/>
      <c r="AJ378" s="13">
        <f aca="true" t="shared" si="188" ref="AJ378:AJ395">IF(AN378=0,I378,0)</f>
        <v>0</v>
      </c>
      <c r="AK378" s="13">
        <f aca="true" t="shared" si="189" ref="AK378:AK395">IF(AN378=15,I378,0)</f>
        <v>0</v>
      </c>
      <c r="AL378" s="13">
        <f aca="true" t="shared" si="190" ref="AL378:AL395">IF(AN378=21,I378,0)</f>
        <v>0</v>
      </c>
      <c r="AN378" s="27">
        <v>21</v>
      </c>
      <c r="AO378" s="27">
        <f>F378*0.166666666666667</f>
        <v>0</v>
      </c>
      <c r="AP378" s="27">
        <f>F378*(1-0.166666666666667)</f>
        <v>0</v>
      </c>
      <c r="AQ378" s="23" t="s">
        <v>7</v>
      </c>
      <c r="AV378" s="27">
        <f aca="true" t="shared" si="191" ref="AV378:AV395">AW378+AX378</f>
        <v>0</v>
      </c>
      <c r="AW378" s="27">
        <f aca="true" t="shared" si="192" ref="AW378:AW395">E378*AO378</f>
        <v>0</v>
      </c>
      <c r="AX378" s="27">
        <f aca="true" t="shared" si="193" ref="AX378:AX395">E378*AP378</f>
        <v>0</v>
      </c>
      <c r="AY378" s="28" t="s">
        <v>1082</v>
      </c>
      <c r="AZ378" s="28" t="s">
        <v>1103</v>
      </c>
      <c r="BA378" s="20" t="s">
        <v>1106</v>
      </c>
      <c r="BC378" s="27">
        <f aca="true" t="shared" si="194" ref="BC378:BC395">AW378+AX378</f>
        <v>0</v>
      </c>
      <c r="BD378" s="27">
        <f aca="true" t="shared" si="195" ref="BD378:BD395">F378/(100-BE378)*100</f>
        <v>0</v>
      </c>
      <c r="BE378" s="27">
        <v>0</v>
      </c>
      <c r="BF378" s="27">
        <f aca="true" t="shared" si="196" ref="BF378:BF395">K378</f>
        <v>0</v>
      </c>
      <c r="BH378" s="13">
        <f aca="true" t="shared" si="197" ref="BH378:BH395">E378*AO378</f>
        <v>0</v>
      </c>
      <c r="BI378" s="13">
        <f aca="true" t="shared" si="198" ref="BI378:BI395">E378*AP378</f>
        <v>0</v>
      </c>
      <c r="BJ378" s="13">
        <f aca="true" t="shared" si="199" ref="BJ378:BJ395">E378*F378</f>
        <v>0</v>
      </c>
    </row>
    <row r="379" spans="1:62" ht="12.75">
      <c r="A379" s="107"/>
      <c r="B379" s="108"/>
      <c r="C379" s="99" t="s">
        <v>1779</v>
      </c>
      <c r="D379" s="205"/>
      <c r="E379" s="110"/>
      <c r="F379" s="132"/>
      <c r="G379" s="139"/>
      <c r="H379" s="110"/>
      <c r="I379" s="140"/>
      <c r="J379" s="213"/>
      <c r="K379" s="214"/>
      <c r="L379" s="150"/>
      <c r="Z379" s="27"/>
      <c r="AB379" s="27"/>
      <c r="AC379" s="27"/>
      <c r="AD379" s="27"/>
      <c r="AE379" s="27"/>
      <c r="AF379" s="27"/>
      <c r="AG379" s="27"/>
      <c r="AH379" s="27"/>
      <c r="AI379" s="20"/>
      <c r="AJ379" s="13"/>
      <c r="AK379" s="13"/>
      <c r="AL379" s="13"/>
      <c r="AN379" s="27"/>
      <c r="AO379" s="27"/>
      <c r="AP379" s="27"/>
      <c r="AQ379" s="23"/>
      <c r="AV379" s="27"/>
      <c r="AW379" s="27"/>
      <c r="AX379" s="27"/>
      <c r="AY379" s="28"/>
      <c r="AZ379" s="28"/>
      <c r="BA379" s="20"/>
      <c r="BC379" s="27"/>
      <c r="BD379" s="27"/>
      <c r="BE379" s="27"/>
      <c r="BF379" s="27"/>
      <c r="BH379" s="13"/>
      <c r="BI379" s="13"/>
      <c r="BJ379" s="13"/>
    </row>
    <row r="380" spans="1:62" ht="25.5">
      <c r="A380" s="107" t="s">
        <v>179</v>
      </c>
      <c r="B380" s="108" t="s">
        <v>500</v>
      </c>
      <c r="C380" s="109" t="s">
        <v>850</v>
      </c>
      <c r="D380" s="205" t="s">
        <v>1016</v>
      </c>
      <c r="E380" s="110">
        <v>1</v>
      </c>
      <c r="F380" s="132">
        <v>0</v>
      </c>
      <c r="G380" s="139">
        <f t="shared" si="176"/>
        <v>0</v>
      </c>
      <c r="H380" s="110">
        <f t="shared" si="177"/>
        <v>0</v>
      </c>
      <c r="I380" s="140">
        <f t="shared" si="178"/>
        <v>0</v>
      </c>
      <c r="J380" s="213">
        <v>0</v>
      </c>
      <c r="K380" s="214">
        <f t="shared" si="179"/>
        <v>0</v>
      </c>
      <c r="L380" s="150"/>
      <c r="Z380" s="27">
        <f t="shared" si="180"/>
        <v>0</v>
      </c>
      <c r="AB380" s="27">
        <f t="shared" si="181"/>
        <v>0</v>
      </c>
      <c r="AC380" s="27">
        <f t="shared" si="182"/>
        <v>0</v>
      </c>
      <c r="AD380" s="27">
        <f t="shared" si="183"/>
        <v>0</v>
      </c>
      <c r="AE380" s="27">
        <f t="shared" si="184"/>
        <v>0</v>
      </c>
      <c r="AF380" s="27">
        <f t="shared" si="185"/>
        <v>0</v>
      </c>
      <c r="AG380" s="27">
        <f t="shared" si="186"/>
        <v>0</v>
      </c>
      <c r="AH380" s="27">
        <f t="shared" si="187"/>
        <v>0</v>
      </c>
      <c r="AI380" s="20"/>
      <c r="AJ380" s="13">
        <f t="shared" si="188"/>
        <v>0</v>
      </c>
      <c r="AK380" s="13">
        <f t="shared" si="189"/>
        <v>0</v>
      </c>
      <c r="AL380" s="13">
        <f t="shared" si="190"/>
        <v>0</v>
      </c>
      <c r="AN380" s="27">
        <v>21</v>
      </c>
      <c r="AO380" s="27">
        <f>F380*0</f>
        <v>0</v>
      </c>
      <c r="AP380" s="27">
        <f>F380*(1-0)</f>
        <v>0</v>
      </c>
      <c r="AQ380" s="23" t="s">
        <v>7</v>
      </c>
      <c r="AV380" s="27">
        <f t="shared" si="191"/>
        <v>0</v>
      </c>
      <c r="AW380" s="27">
        <f t="shared" si="192"/>
        <v>0</v>
      </c>
      <c r="AX380" s="27">
        <f t="shared" si="193"/>
        <v>0</v>
      </c>
      <c r="AY380" s="28" t="s">
        <v>1082</v>
      </c>
      <c r="AZ380" s="28" t="s">
        <v>1103</v>
      </c>
      <c r="BA380" s="20" t="s">
        <v>1106</v>
      </c>
      <c r="BC380" s="27">
        <f t="shared" si="194"/>
        <v>0</v>
      </c>
      <c r="BD380" s="27">
        <f t="shared" si="195"/>
        <v>0</v>
      </c>
      <c r="BE380" s="27">
        <v>0</v>
      </c>
      <c r="BF380" s="27">
        <f t="shared" si="196"/>
        <v>0</v>
      </c>
      <c r="BH380" s="13">
        <f t="shared" si="197"/>
        <v>0</v>
      </c>
      <c r="BI380" s="13">
        <f t="shared" si="198"/>
        <v>0</v>
      </c>
      <c r="BJ380" s="13">
        <f t="shared" si="199"/>
        <v>0</v>
      </c>
    </row>
    <row r="381" spans="1:62" ht="12.75">
      <c r="A381" s="107" t="s">
        <v>180</v>
      </c>
      <c r="B381" s="108" t="s">
        <v>501</v>
      </c>
      <c r="C381" s="109" t="s">
        <v>851</v>
      </c>
      <c r="D381" s="205" t="s">
        <v>1005</v>
      </c>
      <c r="E381" s="110">
        <f>+E382</f>
        <v>46.800000000000004</v>
      </c>
      <c r="F381" s="132">
        <v>0</v>
      </c>
      <c r="G381" s="139">
        <f t="shared" si="176"/>
        <v>0</v>
      </c>
      <c r="H381" s="110">
        <f t="shared" si="177"/>
        <v>0</v>
      </c>
      <c r="I381" s="140">
        <f t="shared" si="178"/>
        <v>0</v>
      </c>
      <c r="J381" s="213">
        <v>0</v>
      </c>
      <c r="K381" s="214">
        <f t="shared" si="179"/>
        <v>0</v>
      </c>
      <c r="L381" s="150"/>
      <c r="Z381" s="27">
        <f t="shared" si="180"/>
        <v>0</v>
      </c>
      <c r="AB381" s="27">
        <f t="shared" si="181"/>
        <v>0</v>
      </c>
      <c r="AC381" s="27">
        <f t="shared" si="182"/>
        <v>0</v>
      </c>
      <c r="AD381" s="27">
        <f t="shared" si="183"/>
        <v>0</v>
      </c>
      <c r="AE381" s="27">
        <f t="shared" si="184"/>
        <v>0</v>
      </c>
      <c r="AF381" s="27">
        <f t="shared" si="185"/>
        <v>0</v>
      </c>
      <c r="AG381" s="27">
        <f t="shared" si="186"/>
        <v>0</v>
      </c>
      <c r="AH381" s="27">
        <f t="shared" si="187"/>
        <v>0</v>
      </c>
      <c r="AI381" s="20"/>
      <c r="AJ381" s="13">
        <f t="shared" si="188"/>
        <v>0</v>
      </c>
      <c r="AK381" s="13">
        <f t="shared" si="189"/>
        <v>0</v>
      </c>
      <c r="AL381" s="13">
        <f t="shared" si="190"/>
        <v>0</v>
      </c>
      <c r="AN381" s="27">
        <v>21</v>
      </c>
      <c r="AO381" s="27">
        <f>F381*0</f>
        <v>0</v>
      </c>
      <c r="AP381" s="27">
        <f>F381*(1-0)</f>
        <v>0</v>
      </c>
      <c r="AQ381" s="23" t="s">
        <v>7</v>
      </c>
      <c r="AV381" s="27">
        <f t="shared" si="191"/>
        <v>0</v>
      </c>
      <c r="AW381" s="27">
        <f t="shared" si="192"/>
        <v>0</v>
      </c>
      <c r="AX381" s="27">
        <f t="shared" si="193"/>
        <v>0</v>
      </c>
      <c r="AY381" s="28" t="s">
        <v>1082</v>
      </c>
      <c r="AZ381" s="28" t="s">
        <v>1103</v>
      </c>
      <c r="BA381" s="20" t="s">
        <v>1106</v>
      </c>
      <c r="BC381" s="27">
        <f t="shared" si="194"/>
        <v>0</v>
      </c>
      <c r="BD381" s="27">
        <f t="shared" si="195"/>
        <v>0</v>
      </c>
      <c r="BE381" s="27">
        <v>0</v>
      </c>
      <c r="BF381" s="27">
        <f t="shared" si="196"/>
        <v>0</v>
      </c>
      <c r="BH381" s="13">
        <f t="shared" si="197"/>
        <v>0</v>
      </c>
      <c r="BI381" s="13">
        <f t="shared" si="198"/>
        <v>0</v>
      </c>
      <c r="BJ381" s="13">
        <f t="shared" si="199"/>
        <v>0</v>
      </c>
    </row>
    <row r="382" spans="1:62" ht="12.75">
      <c r="A382" s="107"/>
      <c r="B382" s="108"/>
      <c r="C382" s="99" t="s">
        <v>1780</v>
      </c>
      <c r="D382" s="100" t="s">
        <v>1005</v>
      </c>
      <c r="E382" s="101">
        <f>+(2+2+3.2)*6.5</f>
        <v>46.800000000000004</v>
      </c>
      <c r="F382" s="132"/>
      <c r="G382" s="139"/>
      <c r="H382" s="110"/>
      <c r="I382" s="140"/>
      <c r="J382" s="213"/>
      <c r="K382" s="214"/>
      <c r="L382" s="150"/>
      <c r="Z382" s="27"/>
      <c r="AB382" s="27"/>
      <c r="AC382" s="27"/>
      <c r="AD382" s="27"/>
      <c r="AE382" s="27"/>
      <c r="AF382" s="27"/>
      <c r="AG382" s="27"/>
      <c r="AH382" s="27"/>
      <c r="AI382" s="20"/>
      <c r="AJ382" s="13"/>
      <c r="AK382" s="13"/>
      <c r="AL382" s="13"/>
      <c r="AN382" s="27"/>
      <c r="AO382" s="27"/>
      <c r="AP382" s="27"/>
      <c r="AQ382" s="23"/>
      <c r="AV382" s="27"/>
      <c r="AW382" s="27"/>
      <c r="AX382" s="27"/>
      <c r="AY382" s="28"/>
      <c r="AZ382" s="28"/>
      <c r="BA382" s="20"/>
      <c r="BC382" s="27"/>
      <c r="BD382" s="27"/>
      <c r="BE382" s="27"/>
      <c r="BF382" s="27"/>
      <c r="BH382" s="13"/>
      <c r="BI382" s="13"/>
      <c r="BJ382" s="13"/>
    </row>
    <row r="383" spans="1:62" ht="25.5">
      <c r="A383" s="107" t="s">
        <v>181</v>
      </c>
      <c r="B383" s="108" t="s">
        <v>502</v>
      </c>
      <c r="C383" s="109" t="s">
        <v>852</v>
      </c>
      <c r="D383" s="205" t="s">
        <v>1016</v>
      </c>
      <c r="E383" s="110">
        <v>1</v>
      </c>
      <c r="F383" s="132">
        <v>0</v>
      </c>
      <c r="G383" s="139">
        <f t="shared" si="176"/>
        <v>0</v>
      </c>
      <c r="H383" s="110">
        <f t="shared" si="177"/>
        <v>0</v>
      </c>
      <c r="I383" s="140">
        <f t="shared" si="178"/>
        <v>0</v>
      </c>
      <c r="J383" s="213">
        <v>0</v>
      </c>
      <c r="K383" s="214">
        <f t="shared" si="179"/>
        <v>0</v>
      </c>
      <c r="L383" s="150"/>
      <c r="Z383" s="27">
        <f t="shared" si="180"/>
        <v>0</v>
      </c>
      <c r="AB383" s="27">
        <f t="shared" si="181"/>
        <v>0</v>
      </c>
      <c r="AC383" s="27">
        <f t="shared" si="182"/>
        <v>0</v>
      </c>
      <c r="AD383" s="27">
        <f t="shared" si="183"/>
        <v>0</v>
      </c>
      <c r="AE383" s="27">
        <f t="shared" si="184"/>
        <v>0</v>
      </c>
      <c r="AF383" s="27">
        <f t="shared" si="185"/>
        <v>0</v>
      </c>
      <c r="AG383" s="27">
        <f t="shared" si="186"/>
        <v>0</v>
      </c>
      <c r="AH383" s="27">
        <f t="shared" si="187"/>
        <v>0</v>
      </c>
      <c r="AI383" s="20"/>
      <c r="AJ383" s="13">
        <f t="shared" si="188"/>
        <v>0</v>
      </c>
      <c r="AK383" s="13">
        <f t="shared" si="189"/>
        <v>0</v>
      </c>
      <c r="AL383" s="13">
        <f t="shared" si="190"/>
        <v>0</v>
      </c>
      <c r="AN383" s="27">
        <v>21</v>
      </c>
      <c r="AO383" s="27">
        <f>F383*0.869565217391304</f>
        <v>0</v>
      </c>
      <c r="AP383" s="27">
        <f>F383*(1-0.869565217391304)</f>
        <v>0</v>
      </c>
      <c r="AQ383" s="23" t="s">
        <v>7</v>
      </c>
      <c r="AV383" s="27">
        <f t="shared" si="191"/>
        <v>0</v>
      </c>
      <c r="AW383" s="27">
        <f t="shared" si="192"/>
        <v>0</v>
      </c>
      <c r="AX383" s="27">
        <f t="shared" si="193"/>
        <v>0</v>
      </c>
      <c r="AY383" s="28" t="s">
        <v>1082</v>
      </c>
      <c r="AZ383" s="28" t="s">
        <v>1103</v>
      </c>
      <c r="BA383" s="20" t="s">
        <v>1106</v>
      </c>
      <c r="BC383" s="27">
        <f t="shared" si="194"/>
        <v>0</v>
      </c>
      <c r="BD383" s="27">
        <f t="shared" si="195"/>
        <v>0</v>
      </c>
      <c r="BE383" s="27">
        <v>0</v>
      </c>
      <c r="BF383" s="27">
        <f t="shared" si="196"/>
        <v>0</v>
      </c>
      <c r="BH383" s="13">
        <f t="shared" si="197"/>
        <v>0</v>
      </c>
      <c r="BI383" s="13">
        <f t="shared" si="198"/>
        <v>0</v>
      </c>
      <c r="BJ383" s="13">
        <f t="shared" si="199"/>
        <v>0</v>
      </c>
    </row>
    <row r="384" spans="1:62" ht="12.75">
      <c r="A384" s="107"/>
      <c r="B384" s="108"/>
      <c r="C384" s="122" t="s">
        <v>1781</v>
      </c>
      <c r="D384" s="205"/>
      <c r="E384" s="110"/>
      <c r="F384" s="132"/>
      <c r="G384" s="139"/>
      <c r="H384" s="110"/>
      <c r="I384" s="140"/>
      <c r="J384" s="213"/>
      <c r="K384" s="214"/>
      <c r="L384" s="150"/>
      <c r="Z384" s="27"/>
      <c r="AB384" s="27"/>
      <c r="AC384" s="27"/>
      <c r="AD384" s="27"/>
      <c r="AE384" s="27"/>
      <c r="AF384" s="27"/>
      <c r="AG384" s="27"/>
      <c r="AH384" s="27"/>
      <c r="AI384" s="20"/>
      <c r="AJ384" s="13"/>
      <c r="AK384" s="13"/>
      <c r="AL384" s="13"/>
      <c r="AN384" s="27"/>
      <c r="AO384" s="27"/>
      <c r="AP384" s="27"/>
      <c r="AQ384" s="23"/>
      <c r="AV384" s="27"/>
      <c r="AW384" s="27"/>
      <c r="AX384" s="27"/>
      <c r="AY384" s="28"/>
      <c r="AZ384" s="28"/>
      <c r="BA384" s="20"/>
      <c r="BC384" s="27"/>
      <c r="BD384" s="27"/>
      <c r="BE384" s="27"/>
      <c r="BF384" s="27"/>
      <c r="BH384" s="13"/>
      <c r="BI384" s="13"/>
      <c r="BJ384" s="13"/>
    </row>
    <row r="385" spans="1:62" ht="25.5">
      <c r="A385" s="107" t="s">
        <v>182</v>
      </c>
      <c r="B385" s="108" t="s">
        <v>503</v>
      </c>
      <c r="C385" s="109" t="s">
        <v>853</v>
      </c>
      <c r="D385" s="205" t="s">
        <v>1016</v>
      </c>
      <c r="E385" s="110">
        <v>1</v>
      </c>
      <c r="F385" s="132">
        <v>0</v>
      </c>
      <c r="G385" s="139">
        <f t="shared" si="176"/>
        <v>0</v>
      </c>
      <c r="H385" s="110">
        <f t="shared" si="177"/>
        <v>0</v>
      </c>
      <c r="I385" s="140">
        <f t="shared" si="178"/>
        <v>0</v>
      </c>
      <c r="J385" s="213">
        <v>0</v>
      </c>
      <c r="K385" s="214">
        <f t="shared" si="179"/>
        <v>0</v>
      </c>
      <c r="L385" s="150"/>
      <c r="Z385" s="27">
        <f t="shared" si="180"/>
        <v>0</v>
      </c>
      <c r="AB385" s="27">
        <f t="shared" si="181"/>
        <v>0</v>
      </c>
      <c r="AC385" s="27">
        <f t="shared" si="182"/>
        <v>0</v>
      </c>
      <c r="AD385" s="27">
        <f t="shared" si="183"/>
        <v>0</v>
      </c>
      <c r="AE385" s="27">
        <f t="shared" si="184"/>
        <v>0</v>
      </c>
      <c r="AF385" s="27">
        <f t="shared" si="185"/>
        <v>0</v>
      </c>
      <c r="AG385" s="27">
        <f t="shared" si="186"/>
        <v>0</v>
      </c>
      <c r="AH385" s="27">
        <f t="shared" si="187"/>
        <v>0</v>
      </c>
      <c r="AI385" s="20"/>
      <c r="AJ385" s="13">
        <f t="shared" si="188"/>
        <v>0</v>
      </c>
      <c r="AK385" s="13">
        <f t="shared" si="189"/>
        <v>0</v>
      </c>
      <c r="AL385" s="13">
        <f t="shared" si="190"/>
        <v>0</v>
      </c>
      <c r="AN385" s="27">
        <v>21</v>
      </c>
      <c r="AO385" s="27">
        <f>F385*0</f>
        <v>0</v>
      </c>
      <c r="AP385" s="27">
        <f>F385*(1-0)</f>
        <v>0</v>
      </c>
      <c r="AQ385" s="23" t="s">
        <v>7</v>
      </c>
      <c r="AV385" s="27">
        <f t="shared" si="191"/>
        <v>0</v>
      </c>
      <c r="AW385" s="27">
        <f t="shared" si="192"/>
        <v>0</v>
      </c>
      <c r="AX385" s="27">
        <f t="shared" si="193"/>
        <v>0</v>
      </c>
      <c r="AY385" s="28" t="s">
        <v>1082</v>
      </c>
      <c r="AZ385" s="28" t="s">
        <v>1103</v>
      </c>
      <c r="BA385" s="20" t="s">
        <v>1106</v>
      </c>
      <c r="BC385" s="27">
        <f t="shared" si="194"/>
        <v>0</v>
      </c>
      <c r="BD385" s="27">
        <f t="shared" si="195"/>
        <v>0</v>
      </c>
      <c r="BE385" s="27">
        <v>0</v>
      </c>
      <c r="BF385" s="27">
        <f t="shared" si="196"/>
        <v>0</v>
      </c>
      <c r="BH385" s="13">
        <f t="shared" si="197"/>
        <v>0</v>
      </c>
      <c r="BI385" s="13">
        <f t="shared" si="198"/>
        <v>0</v>
      </c>
      <c r="BJ385" s="13">
        <f t="shared" si="199"/>
        <v>0</v>
      </c>
    </row>
    <row r="386" spans="1:62" ht="12.75">
      <c r="A386" s="107"/>
      <c r="B386" s="108"/>
      <c r="C386" s="99" t="s">
        <v>1781</v>
      </c>
      <c r="D386" s="205"/>
      <c r="E386" s="110"/>
      <c r="F386" s="132"/>
      <c r="G386" s="139"/>
      <c r="H386" s="110"/>
      <c r="I386" s="140"/>
      <c r="J386" s="213"/>
      <c r="K386" s="214"/>
      <c r="L386" s="150"/>
      <c r="Z386" s="27"/>
      <c r="AB386" s="27"/>
      <c r="AC386" s="27"/>
      <c r="AD386" s="27"/>
      <c r="AE386" s="27"/>
      <c r="AF386" s="27"/>
      <c r="AG386" s="27"/>
      <c r="AH386" s="27"/>
      <c r="AI386" s="20"/>
      <c r="AJ386" s="13"/>
      <c r="AK386" s="13"/>
      <c r="AL386" s="13"/>
      <c r="AN386" s="27"/>
      <c r="AO386" s="27"/>
      <c r="AP386" s="27"/>
      <c r="AQ386" s="23"/>
      <c r="AV386" s="27"/>
      <c r="AW386" s="27"/>
      <c r="AX386" s="27"/>
      <c r="AY386" s="28"/>
      <c r="AZ386" s="28"/>
      <c r="BA386" s="20"/>
      <c r="BC386" s="27"/>
      <c r="BD386" s="27"/>
      <c r="BE386" s="27"/>
      <c r="BF386" s="27"/>
      <c r="BH386" s="13"/>
      <c r="BI386" s="13"/>
      <c r="BJ386" s="13"/>
    </row>
    <row r="387" spans="1:62" ht="25.5">
      <c r="A387" s="107" t="s">
        <v>183</v>
      </c>
      <c r="B387" s="108" t="s">
        <v>504</v>
      </c>
      <c r="C387" s="109" t="s">
        <v>854</v>
      </c>
      <c r="D387" s="205" t="s">
        <v>1016</v>
      </c>
      <c r="E387" s="110">
        <v>1</v>
      </c>
      <c r="F387" s="132">
        <v>0</v>
      </c>
      <c r="G387" s="139">
        <f t="shared" si="176"/>
        <v>0</v>
      </c>
      <c r="H387" s="110">
        <f t="shared" si="177"/>
        <v>0</v>
      </c>
      <c r="I387" s="140">
        <f t="shared" si="178"/>
        <v>0</v>
      </c>
      <c r="J387" s="213">
        <v>0</v>
      </c>
      <c r="K387" s="214">
        <f t="shared" si="179"/>
        <v>0</v>
      </c>
      <c r="L387" s="150"/>
      <c r="Z387" s="27">
        <f t="shared" si="180"/>
        <v>0</v>
      </c>
      <c r="AB387" s="27">
        <f t="shared" si="181"/>
        <v>0</v>
      </c>
      <c r="AC387" s="27">
        <f t="shared" si="182"/>
        <v>0</v>
      </c>
      <c r="AD387" s="27">
        <f t="shared" si="183"/>
        <v>0</v>
      </c>
      <c r="AE387" s="27">
        <f t="shared" si="184"/>
        <v>0</v>
      </c>
      <c r="AF387" s="27">
        <f t="shared" si="185"/>
        <v>0</v>
      </c>
      <c r="AG387" s="27">
        <f t="shared" si="186"/>
        <v>0</v>
      </c>
      <c r="AH387" s="27">
        <f t="shared" si="187"/>
        <v>0</v>
      </c>
      <c r="AI387" s="20"/>
      <c r="AJ387" s="13">
        <f t="shared" si="188"/>
        <v>0</v>
      </c>
      <c r="AK387" s="13">
        <f t="shared" si="189"/>
        <v>0</v>
      </c>
      <c r="AL387" s="13">
        <f t="shared" si="190"/>
        <v>0</v>
      </c>
      <c r="AN387" s="27">
        <v>21</v>
      </c>
      <c r="AO387" s="27">
        <f>F387*0</f>
        <v>0</v>
      </c>
      <c r="AP387" s="27">
        <f>F387*(1-0)</f>
        <v>0</v>
      </c>
      <c r="AQ387" s="23" t="s">
        <v>7</v>
      </c>
      <c r="AV387" s="27">
        <f t="shared" si="191"/>
        <v>0</v>
      </c>
      <c r="AW387" s="27">
        <f t="shared" si="192"/>
        <v>0</v>
      </c>
      <c r="AX387" s="27">
        <f t="shared" si="193"/>
        <v>0</v>
      </c>
      <c r="AY387" s="28" t="s">
        <v>1082</v>
      </c>
      <c r="AZ387" s="28" t="s">
        <v>1103</v>
      </c>
      <c r="BA387" s="20" t="s">
        <v>1106</v>
      </c>
      <c r="BC387" s="27">
        <f t="shared" si="194"/>
        <v>0</v>
      </c>
      <c r="BD387" s="27">
        <f t="shared" si="195"/>
        <v>0</v>
      </c>
      <c r="BE387" s="27">
        <v>0</v>
      </c>
      <c r="BF387" s="27">
        <f t="shared" si="196"/>
        <v>0</v>
      </c>
      <c r="BH387" s="13">
        <f t="shared" si="197"/>
        <v>0</v>
      </c>
      <c r="BI387" s="13">
        <f t="shared" si="198"/>
        <v>0</v>
      </c>
      <c r="BJ387" s="13">
        <f t="shared" si="199"/>
        <v>0</v>
      </c>
    </row>
    <row r="388" spans="1:62" ht="12.75">
      <c r="A388" s="107"/>
      <c r="B388" s="108"/>
      <c r="C388" s="99" t="s">
        <v>1781</v>
      </c>
      <c r="D388" s="205"/>
      <c r="E388" s="110"/>
      <c r="F388" s="132"/>
      <c r="G388" s="139"/>
      <c r="H388" s="110"/>
      <c r="I388" s="140"/>
      <c r="J388" s="213"/>
      <c r="K388" s="214"/>
      <c r="L388" s="150"/>
      <c r="Z388" s="27"/>
      <c r="AB388" s="27"/>
      <c r="AC388" s="27"/>
      <c r="AD388" s="27"/>
      <c r="AE388" s="27"/>
      <c r="AF388" s="27"/>
      <c r="AG388" s="27"/>
      <c r="AH388" s="27"/>
      <c r="AI388" s="20"/>
      <c r="AJ388" s="13"/>
      <c r="AK388" s="13"/>
      <c r="AL388" s="13"/>
      <c r="AN388" s="27"/>
      <c r="AO388" s="27"/>
      <c r="AP388" s="27"/>
      <c r="AQ388" s="23"/>
      <c r="AV388" s="27"/>
      <c r="AW388" s="27"/>
      <c r="AX388" s="27"/>
      <c r="AY388" s="28"/>
      <c r="AZ388" s="28"/>
      <c r="BA388" s="20"/>
      <c r="BC388" s="27"/>
      <c r="BD388" s="27"/>
      <c r="BE388" s="27"/>
      <c r="BF388" s="27"/>
      <c r="BH388" s="13"/>
      <c r="BI388" s="13"/>
      <c r="BJ388" s="13"/>
    </row>
    <row r="389" spans="1:62" ht="25.5">
      <c r="A389" s="107" t="s">
        <v>184</v>
      </c>
      <c r="B389" s="108" t="s">
        <v>505</v>
      </c>
      <c r="C389" s="109" t="s">
        <v>855</v>
      </c>
      <c r="D389" s="205" t="s">
        <v>1016</v>
      </c>
      <c r="E389" s="110">
        <v>1</v>
      </c>
      <c r="F389" s="132">
        <v>0</v>
      </c>
      <c r="G389" s="139">
        <f t="shared" si="176"/>
        <v>0</v>
      </c>
      <c r="H389" s="110">
        <f t="shared" si="177"/>
        <v>0</v>
      </c>
      <c r="I389" s="140">
        <f t="shared" si="178"/>
        <v>0</v>
      </c>
      <c r="J389" s="213">
        <v>0</v>
      </c>
      <c r="K389" s="214">
        <f t="shared" si="179"/>
        <v>0</v>
      </c>
      <c r="L389" s="150"/>
      <c r="Z389" s="27">
        <f t="shared" si="180"/>
        <v>0</v>
      </c>
      <c r="AB389" s="27">
        <f t="shared" si="181"/>
        <v>0</v>
      </c>
      <c r="AC389" s="27">
        <f t="shared" si="182"/>
        <v>0</v>
      </c>
      <c r="AD389" s="27">
        <f t="shared" si="183"/>
        <v>0</v>
      </c>
      <c r="AE389" s="27">
        <f t="shared" si="184"/>
        <v>0</v>
      </c>
      <c r="AF389" s="27">
        <f t="shared" si="185"/>
        <v>0</v>
      </c>
      <c r="AG389" s="27">
        <f t="shared" si="186"/>
        <v>0</v>
      </c>
      <c r="AH389" s="27">
        <f t="shared" si="187"/>
        <v>0</v>
      </c>
      <c r="AI389" s="20"/>
      <c r="AJ389" s="13">
        <f t="shared" si="188"/>
        <v>0</v>
      </c>
      <c r="AK389" s="13">
        <f t="shared" si="189"/>
        <v>0</v>
      </c>
      <c r="AL389" s="13">
        <f t="shared" si="190"/>
        <v>0</v>
      </c>
      <c r="AN389" s="27">
        <v>21</v>
      </c>
      <c r="AO389" s="27">
        <f>F389*0</f>
        <v>0</v>
      </c>
      <c r="AP389" s="27">
        <f>F389*(1-0)</f>
        <v>0</v>
      </c>
      <c r="AQ389" s="23" t="s">
        <v>7</v>
      </c>
      <c r="AV389" s="27">
        <f t="shared" si="191"/>
        <v>0</v>
      </c>
      <c r="AW389" s="27">
        <f t="shared" si="192"/>
        <v>0</v>
      </c>
      <c r="AX389" s="27">
        <f t="shared" si="193"/>
        <v>0</v>
      </c>
      <c r="AY389" s="28" t="s">
        <v>1082</v>
      </c>
      <c r="AZ389" s="28" t="s">
        <v>1103</v>
      </c>
      <c r="BA389" s="20" t="s">
        <v>1106</v>
      </c>
      <c r="BC389" s="27">
        <f t="shared" si="194"/>
        <v>0</v>
      </c>
      <c r="BD389" s="27">
        <f t="shared" si="195"/>
        <v>0</v>
      </c>
      <c r="BE389" s="27">
        <v>0</v>
      </c>
      <c r="BF389" s="27">
        <f t="shared" si="196"/>
        <v>0</v>
      </c>
      <c r="BH389" s="13">
        <f t="shared" si="197"/>
        <v>0</v>
      </c>
      <c r="BI389" s="13">
        <f t="shared" si="198"/>
        <v>0</v>
      </c>
      <c r="BJ389" s="13">
        <f t="shared" si="199"/>
        <v>0</v>
      </c>
    </row>
    <row r="390" spans="1:62" ht="12.75">
      <c r="A390" s="107"/>
      <c r="B390" s="108"/>
      <c r="C390" s="99" t="s">
        <v>1781</v>
      </c>
      <c r="D390" s="205"/>
      <c r="E390" s="110"/>
      <c r="F390" s="132"/>
      <c r="G390" s="139"/>
      <c r="H390" s="110"/>
      <c r="I390" s="140"/>
      <c r="J390" s="213"/>
      <c r="K390" s="214"/>
      <c r="L390" s="150"/>
      <c r="Z390" s="27"/>
      <c r="AB390" s="27"/>
      <c r="AC390" s="27"/>
      <c r="AD390" s="27"/>
      <c r="AE390" s="27"/>
      <c r="AF390" s="27"/>
      <c r="AG390" s="27"/>
      <c r="AH390" s="27"/>
      <c r="AI390" s="20"/>
      <c r="AJ390" s="13"/>
      <c r="AK390" s="13"/>
      <c r="AL390" s="13"/>
      <c r="AN390" s="27"/>
      <c r="AO390" s="27"/>
      <c r="AP390" s="27"/>
      <c r="AQ390" s="23"/>
      <c r="AV390" s="27"/>
      <c r="AW390" s="27"/>
      <c r="AX390" s="27"/>
      <c r="AY390" s="28"/>
      <c r="AZ390" s="28"/>
      <c r="BA390" s="20"/>
      <c r="BC390" s="27"/>
      <c r="BD390" s="27"/>
      <c r="BE390" s="27"/>
      <c r="BF390" s="27"/>
      <c r="BH390" s="13"/>
      <c r="BI390" s="13"/>
      <c r="BJ390" s="13"/>
    </row>
    <row r="391" spans="1:62" ht="12.75">
      <c r="A391" s="107" t="s">
        <v>185</v>
      </c>
      <c r="B391" s="108" t="s">
        <v>506</v>
      </c>
      <c r="C391" s="109" t="s">
        <v>856</v>
      </c>
      <c r="D391" s="205" t="s">
        <v>1016</v>
      </c>
      <c r="E391" s="110">
        <v>1</v>
      </c>
      <c r="F391" s="132">
        <v>0</v>
      </c>
      <c r="G391" s="139">
        <f t="shared" si="176"/>
        <v>0</v>
      </c>
      <c r="H391" s="110">
        <f t="shared" si="177"/>
        <v>0</v>
      </c>
      <c r="I391" s="140">
        <f t="shared" si="178"/>
        <v>0</v>
      </c>
      <c r="J391" s="213">
        <v>0</v>
      </c>
      <c r="K391" s="214">
        <f t="shared" si="179"/>
        <v>0</v>
      </c>
      <c r="L391" s="150"/>
      <c r="Z391" s="27">
        <f t="shared" si="180"/>
        <v>0</v>
      </c>
      <c r="AB391" s="27">
        <f t="shared" si="181"/>
        <v>0</v>
      </c>
      <c r="AC391" s="27">
        <f t="shared" si="182"/>
        <v>0</v>
      </c>
      <c r="AD391" s="27">
        <f t="shared" si="183"/>
        <v>0</v>
      </c>
      <c r="AE391" s="27">
        <f t="shared" si="184"/>
        <v>0</v>
      </c>
      <c r="AF391" s="27">
        <f t="shared" si="185"/>
        <v>0</v>
      </c>
      <c r="AG391" s="27">
        <f t="shared" si="186"/>
        <v>0</v>
      </c>
      <c r="AH391" s="27">
        <f t="shared" si="187"/>
        <v>0</v>
      </c>
      <c r="AI391" s="20"/>
      <c r="AJ391" s="13">
        <f t="shared" si="188"/>
        <v>0</v>
      </c>
      <c r="AK391" s="13">
        <f t="shared" si="189"/>
        <v>0</v>
      </c>
      <c r="AL391" s="13">
        <f t="shared" si="190"/>
        <v>0</v>
      </c>
      <c r="AN391" s="27">
        <v>21</v>
      </c>
      <c r="AO391" s="27">
        <f>F391*0</f>
        <v>0</v>
      </c>
      <c r="AP391" s="27">
        <f>F391*(1-0)</f>
        <v>0</v>
      </c>
      <c r="AQ391" s="23" t="s">
        <v>7</v>
      </c>
      <c r="AV391" s="27">
        <f t="shared" si="191"/>
        <v>0</v>
      </c>
      <c r="AW391" s="27">
        <f t="shared" si="192"/>
        <v>0</v>
      </c>
      <c r="AX391" s="27">
        <f t="shared" si="193"/>
        <v>0</v>
      </c>
      <c r="AY391" s="28" t="s">
        <v>1082</v>
      </c>
      <c r="AZ391" s="28" t="s">
        <v>1103</v>
      </c>
      <c r="BA391" s="20" t="s">
        <v>1106</v>
      </c>
      <c r="BC391" s="27">
        <f t="shared" si="194"/>
        <v>0</v>
      </c>
      <c r="BD391" s="27">
        <f t="shared" si="195"/>
        <v>0</v>
      </c>
      <c r="BE391" s="27">
        <v>0</v>
      </c>
      <c r="BF391" s="27">
        <f t="shared" si="196"/>
        <v>0</v>
      </c>
      <c r="BH391" s="13">
        <f t="shared" si="197"/>
        <v>0</v>
      </c>
      <c r="BI391" s="13">
        <f t="shared" si="198"/>
        <v>0</v>
      </c>
      <c r="BJ391" s="13">
        <f t="shared" si="199"/>
        <v>0</v>
      </c>
    </row>
    <row r="392" spans="1:62" ht="12.75">
      <c r="A392" s="107"/>
      <c r="B392" s="108"/>
      <c r="C392" s="99" t="s">
        <v>1781</v>
      </c>
      <c r="D392" s="205"/>
      <c r="E392" s="110"/>
      <c r="F392" s="132"/>
      <c r="G392" s="139"/>
      <c r="H392" s="110"/>
      <c r="I392" s="140"/>
      <c r="J392" s="213"/>
      <c r="K392" s="214"/>
      <c r="L392" s="150"/>
      <c r="Z392" s="27"/>
      <c r="AB392" s="27"/>
      <c r="AC392" s="27"/>
      <c r="AD392" s="27"/>
      <c r="AE392" s="27"/>
      <c r="AF392" s="27"/>
      <c r="AG392" s="27"/>
      <c r="AH392" s="27"/>
      <c r="AI392" s="20"/>
      <c r="AJ392" s="13"/>
      <c r="AK392" s="13"/>
      <c r="AL392" s="13"/>
      <c r="AN392" s="27"/>
      <c r="AO392" s="27"/>
      <c r="AP392" s="27"/>
      <c r="AQ392" s="23"/>
      <c r="AV392" s="27"/>
      <c r="AW392" s="27"/>
      <c r="AX392" s="27"/>
      <c r="AY392" s="28"/>
      <c r="AZ392" s="28"/>
      <c r="BA392" s="20"/>
      <c r="BC392" s="27"/>
      <c r="BD392" s="27"/>
      <c r="BE392" s="27"/>
      <c r="BF392" s="27"/>
      <c r="BH392" s="13"/>
      <c r="BI392" s="13"/>
      <c r="BJ392" s="13"/>
    </row>
    <row r="393" spans="1:62" ht="25.5">
      <c r="A393" s="107" t="s">
        <v>186</v>
      </c>
      <c r="B393" s="108" t="s">
        <v>498</v>
      </c>
      <c r="C393" s="109" t="s">
        <v>857</v>
      </c>
      <c r="D393" s="205" t="s">
        <v>1007</v>
      </c>
      <c r="E393" s="110">
        <v>1</v>
      </c>
      <c r="F393" s="132">
        <v>0</v>
      </c>
      <c r="G393" s="139">
        <f t="shared" si="176"/>
        <v>0</v>
      </c>
      <c r="H393" s="110">
        <f t="shared" si="177"/>
        <v>0</v>
      </c>
      <c r="I393" s="140">
        <f t="shared" si="178"/>
        <v>0</v>
      </c>
      <c r="J393" s="213">
        <v>0.15</v>
      </c>
      <c r="K393" s="214">
        <f t="shared" si="179"/>
        <v>0.15</v>
      </c>
      <c r="L393" s="150"/>
      <c r="Z393" s="27">
        <f t="shared" si="180"/>
        <v>0</v>
      </c>
      <c r="AB393" s="27">
        <f t="shared" si="181"/>
        <v>0</v>
      </c>
      <c r="AC393" s="27">
        <f t="shared" si="182"/>
        <v>0</v>
      </c>
      <c r="AD393" s="27">
        <f t="shared" si="183"/>
        <v>0</v>
      </c>
      <c r="AE393" s="27">
        <f t="shared" si="184"/>
        <v>0</v>
      </c>
      <c r="AF393" s="27">
        <f t="shared" si="185"/>
        <v>0</v>
      </c>
      <c r="AG393" s="27">
        <f t="shared" si="186"/>
        <v>0</v>
      </c>
      <c r="AH393" s="27">
        <f t="shared" si="187"/>
        <v>0</v>
      </c>
      <c r="AI393" s="20"/>
      <c r="AJ393" s="13">
        <f t="shared" si="188"/>
        <v>0</v>
      </c>
      <c r="AK393" s="13">
        <f t="shared" si="189"/>
        <v>0</v>
      </c>
      <c r="AL393" s="13">
        <f t="shared" si="190"/>
        <v>0</v>
      </c>
      <c r="AN393" s="27">
        <v>21</v>
      </c>
      <c r="AO393" s="27">
        <f>F393*0</f>
        <v>0</v>
      </c>
      <c r="AP393" s="27">
        <f>F393*(1-0)</f>
        <v>0</v>
      </c>
      <c r="AQ393" s="23" t="s">
        <v>7</v>
      </c>
      <c r="AV393" s="27">
        <f t="shared" si="191"/>
        <v>0</v>
      </c>
      <c r="AW393" s="27">
        <f t="shared" si="192"/>
        <v>0</v>
      </c>
      <c r="AX393" s="27">
        <f t="shared" si="193"/>
        <v>0</v>
      </c>
      <c r="AY393" s="28" t="s">
        <v>1082</v>
      </c>
      <c r="AZ393" s="28" t="s">
        <v>1103</v>
      </c>
      <c r="BA393" s="20" t="s">
        <v>1106</v>
      </c>
      <c r="BC393" s="27">
        <f t="shared" si="194"/>
        <v>0</v>
      </c>
      <c r="BD393" s="27">
        <f t="shared" si="195"/>
        <v>0</v>
      </c>
      <c r="BE393" s="27">
        <v>0</v>
      </c>
      <c r="BF393" s="27">
        <f t="shared" si="196"/>
        <v>0.15</v>
      </c>
      <c r="BH393" s="13">
        <f t="shared" si="197"/>
        <v>0</v>
      </c>
      <c r="BI393" s="13">
        <f t="shared" si="198"/>
        <v>0</v>
      </c>
      <c r="BJ393" s="13">
        <f t="shared" si="199"/>
        <v>0</v>
      </c>
    </row>
    <row r="394" spans="1:62" ht="12.75">
      <c r="A394" s="107"/>
      <c r="B394" s="108"/>
      <c r="C394" s="99" t="s">
        <v>1782</v>
      </c>
      <c r="D394" s="205"/>
      <c r="E394" s="110"/>
      <c r="F394" s="132"/>
      <c r="G394" s="139"/>
      <c r="H394" s="110"/>
      <c r="I394" s="140"/>
      <c r="J394" s="213"/>
      <c r="K394" s="214"/>
      <c r="L394" s="150"/>
      <c r="Z394" s="27"/>
      <c r="AB394" s="27"/>
      <c r="AC394" s="27"/>
      <c r="AD394" s="27"/>
      <c r="AE394" s="27"/>
      <c r="AF394" s="27"/>
      <c r="AG394" s="27"/>
      <c r="AH394" s="27"/>
      <c r="AI394" s="20"/>
      <c r="AJ394" s="13"/>
      <c r="AK394" s="13"/>
      <c r="AL394" s="13"/>
      <c r="AN394" s="27"/>
      <c r="AO394" s="27"/>
      <c r="AP394" s="27"/>
      <c r="AQ394" s="23"/>
      <c r="AV394" s="27"/>
      <c r="AW394" s="27"/>
      <c r="AX394" s="27"/>
      <c r="AY394" s="28"/>
      <c r="AZ394" s="28"/>
      <c r="BA394" s="20"/>
      <c r="BC394" s="27"/>
      <c r="BD394" s="27"/>
      <c r="BE394" s="27"/>
      <c r="BF394" s="27"/>
      <c r="BH394" s="13"/>
      <c r="BI394" s="13"/>
      <c r="BJ394" s="13"/>
    </row>
    <row r="395" spans="1:62" ht="25.5">
      <c r="A395" s="107" t="s">
        <v>187</v>
      </c>
      <c r="B395" s="108" t="s">
        <v>507</v>
      </c>
      <c r="C395" s="109" t="s">
        <v>858</v>
      </c>
      <c r="D395" s="205" t="s">
        <v>1006</v>
      </c>
      <c r="E395" s="110">
        <f>+E396</f>
        <v>223.32191054999996</v>
      </c>
      <c r="F395" s="132">
        <v>0</v>
      </c>
      <c r="G395" s="139">
        <f t="shared" si="176"/>
        <v>0</v>
      </c>
      <c r="H395" s="110">
        <f t="shared" si="177"/>
        <v>0</v>
      </c>
      <c r="I395" s="140">
        <f t="shared" si="178"/>
        <v>0</v>
      </c>
      <c r="J395" s="213">
        <v>2</v>
      </c>
      <c r="K395" s="214">
        <f t="shared" si="179"/>
        <v>446.6438210999999</v>
      </c>
      <c r="L395" s="150"/>
      <c r="Z395" s="27">
        <f t="shared" si="180"/>
        <v>0</v>
      </c>
      <c r="AB395" s="27">
        <f t="shared" si="181"/>
        <v>0</v>
      </c>
      <c r="AC395" s="27">
        <f t="shared" si="182"/>
        <v>0</v>
      </c>
      <c r="AD395" s="27">
        <f t="shared" si="183"/>
        <v>0</v>
      </c>
      <c r="AE395" s="27">
        <f t="shared" si="184"/>
        <v>0</v>
      </c>
      <c r="AF395" s="27">
        <f t="shared" si="185"/>
        <v>0</v>
      </c>
      <c r="AG395" s="27">
        <f t="shared" si="186"/>
        <v>0</v>
      </c>
      <c r="AH395" s="27">
        <f t="shared" si="187"/>
        <v>0</v>
      </c>
      <c r="AI395" s="20"/>
      <c r="AJ395" s="13">
        <f t="shared" si="188"/>
        <v>0</v>
      </c>
      <c r="AK395" s="13">
        <f t="shared" si="189"/>
        <v>0</v>
      </c>
      <c r="AL395" s="13">
        <f t="shared" si="190"/>
        <v>0</v>
      </c>
      <c r="AN395" s="27">
        <v>21</v>
      </c>
      <c r="AO395" s="27">
        <f>F395*0.75</f>
        <v>0</v>
      </c>
      <c r="AP395" s="27">
        <f>F395*(1-0.75)</f>
        <v>0</v>
      </c>
      <c r="AQ395" s="23" t="s">
        <v>7</v>
      </c>
      <c r="AV395" s="27">
        <f t="shared" si="191"/>
        <v>0</v>
      </c>
      <c r="AW395" s="27">
        <f t="shared" si="192"/>
        <v>0</v>
      </c>
      <c r="AX395" s="27">
        <f t="shared" si="193"/>
        <v>0</v>
      </c>
      <c r="AY395" s="28" t="s">
        <v>1082</v>
      </c>
      <c r="AZ395" s="28" t="s">
        <v>1103</v>
      </c>
      <c r="BA395" s="20" t="s">
        <v>1106</v>
      </c>
      <c r="BC395" s="27">
        <f t="shared" si="194"/>
        <v>0</v>
      </c>
      <c r="BD395" s="27">
        <f t="shared" si="195"/>
        <v>0</v>
      </c>
      <c r="BE395" s="27">
        <v>0</v>
      </c>
      <c r="BF395" s="27">
        <f t="shared" si="196"/>
        <v>446.6438210999999</v>
      </c>
      <c r="BH395" s="13">
        <f t="shared" si="197"/>
        <v>0</v>
      </c>
      <c r="BI395" s="13">
        <f t="shared" si="198"/>
        <v>0</v>
      </c>
      <c r="BJ395" s="13">
        <f t="shared" si="199"/>
        <v>0</v>
      </c>
    </row>
    <row r="396" spans="1:62" ht="12.75">
      <c r="A396" s="107"/>
      <c r="B396" s="108"/>
      <c r="C396" s="99" t="s">
        <v>1783</v>
      </c>
      <c r="D396" s="100" t="s">
        <v>1006</v>
      </c>
      <c r="E396" s="101">
        <f>+Výměry!E298</f>
        <v>223.32191054999996</v>
      </c>
      <c r="F396" s="132"/>
      <c r="G396" s="139"/>
      <c r="H396" s="110"/>
      <c r="I396" s="140"/>
      <c r="J396" s="213"/>
      <c r="K396" s="214"/>
      <c r="L396" s="150"/>
      <c r="Z396" s="27"/>
      <c r="AB396" s="27"/>
      <c r="AC396" s="27"/>
      <c r="AD396" s="27"/>
      <c r="AE396" s="27"/>
      <c r="AF396" s="27"/>
      <c r="AG396" s="27"/>
      <c r="AH396" s="27"/>
      <c r="AI396" s="20"/>
      <c r="AJ396" s="13"/>
      <c r="AK396" s="13"/>
      <c r="AL396" s="13"/>
      <c r="AN396" s="27"/>
      <c r="AO396" s="27"/>
      <c r="AP396" s="27"/>
      <c r="AQ396" s="23"/>
      <c r="AV396" s="27"/>
      <c r="AW396" s="27"/>
      <c r="AX396" s="27"/>
      <c r="AY396" s="28"/>
      <c r="AZ396" s="28"/>
      <c r="BA396" s="20"/>
      <c r="BC396" s="27"/>
      <c r="BD396" s="27"/>
      <c r="BE396" s="27"/>
      <c r="BF396" s="27"/>
      <c r="BH396" s="13"/>
      <c r="BI396" s="13"/>
      <c r="BJ396" s="13"/>
    </row>
    <row r="397" spans="1:47" ht="25.5">
      <c r="A397" s="111"/>
      <c r="B397" s="112" t="s">
        <v>97</v>
      </c>
      <c r="C397" s="113" t="s">
        <v>859</v>
      </c>
      <c r="D397" s="206" t="s">
        <v>6</v>
      </c>
      <c r="E397" s="114" t="s">
        <v>6</v>
      </c>
      <c r="F397" s="133" t="s">
        <v>6</v>
      </c>
      <c r="G397" s="141">
        <f>SUM(G398:G408)</f>
        <v>0</v>
      </c>
      <c r="H397" s="115">
        <f>SUM(H398:H408)</f>
        <v>0</v>
      </c>
      <c r="I397" s="142">
        <f>SUM(I398:I408)</f>
        <v>0</v>
      </c>
      <c r="J397" s="215"/>
      <c r="K397" s="216">
        <f>SUM(K398:K408)</f>
        <v>25.6469838</v>
      </c>
      <c r="L397" s="151"/>
      <c r="AI397" s="20"/>
      <c r="AS397" s="29">
        <f>SUM(AJ398:AJ408)</f>
        <v>0</v>
      </c>
      <c r="AT397" s="29">
        <f>SUM(AK398:AK408)</f>
        <v>0</v>
      </c>
      <c r="AU397" s="29">
        <f>SUM(AL398:AL408)</f>
        <v>0</v>
      </c>
    </row>
    <row r="398" spans="1:62" ht="12.75">
      <c r="A398" s="107" t="s">
        <v>188</v>
      </c>
      <c r="B398" s="108" t="s">
        <v>508</v>
      </c>
      <c r="C398" s="109" t="s">
        <v>860</v>
      </c>
      <c r="D398" s="205" t="s">
        <v>1008</v>
      </c>
      <c r="E398" s="110">
        <f>+E399</f>
        <v>59.34599999999999</v>
      </c>
      <c r="F398" s="132">
        <v>0</v>
      </c>
      <c r="G398" s="139">
        <f>E398*AO398</f>
        <v>0</v>
      </c>
      <c r="H398" s="110">
        <f>E398*AP398</f>
        <v>0</v>
      </c>
      <c r="I398" s="140">
        <f>E398*F398</f>
        <v>0</v>
      </c>
      <c r="J398" s="213">
        <v>0.07971</v>
      </c>
      <c r="K398" s="214">
        <f>E398*J398</f>
        <v>4.730469659999999</v>
      </c>
      <c r="L398" s="150" t="s">
        <v>1039</v>
      </c>
      <c r="Z398" s="27">
        <f>IF(AQ398="5",BJ398,0)</f>
        <v>0</v>
      </c>
      <c r="AB398" s="27">
        <f>IF(AQ398="1",BH398,0)</f>
        <v>0</v>
      </c>
      <c r="AC398" s="27">
        <f>IF(AQ398="1",BI398,0)</f>
        <v>0</v>
      </c>
      <c r="AD398" s="27">
        <f>IF(AQ398="7",BH398,0)</f>
        <v>0</v>
      </c>
      <c r="AE398" s="27">
        <f>IF(AQ398="7",BI398,0)</f>
        <v>0</v>
      </c>
      <c r="AF398" s="27">
        <f>IF(AQ398="2",BH398,0)</f>
        <v>0</v>
      </c>
      <c r="AG398" s="27">
        <f>IF(AQ398="2",BI398,0)</f>
        <v>0</v>
      </c>
      <c r="AH398" s="27">
        <f>IF(AQ398="0",BJ398,0)</f>
        <v>0</v>
      </c>
      <c r="AI398" s="20"/>
      <c r="AJ398" s="13">
        <f>IF(AN398=0,I398,0)</f>
        <v>0</v>
      </c>
      <c r="AK398" s="13">
        <f>IF(AN398=15,I398,0)</f>
        <v>0</v>
      </c>
      <c r="AL398" s="13">
        <f>IF(AN398=21,I398,0)</f>
        <v>0</v>
      </c>
      <c r="AN398" s="27">
        <v>21</v>
      </c>
      <c r="AO398" s="27">
        <f>F398*0.641454545454545</f>
        <v>0</v>
      </c>
      <c r="AP398" s="27">
        <f>F398*(1-0.641454545454545)</f>
        <v>0</v>
      </c>
      <c r="AQ398" s="23" t="s">
        <v>7</v>
      </c>
      <c r="AV398" s="27">
        <f>AW398+AX398</f>
        <v>0</v>
      </c>
      <c r="AW398" s="27">
        <f>E398*AO398</f>
        <v>0</v>
      </c>
      <c r="AX398" s="27">
        <f>E398*AP398</f>
        <v>0</v>
      </c>
      <c r="AY398" s="28" t="s">
        <v>1083</v>
      </c>
      <c r="AZ398" s="28" t="s">
        <v>1104</v>
      </c>
      <c r="BA398" s="20" t="s">
        <v>1106</v>
      </c>
      <c r="BC398" s="27">
        <f>AW398+AX398</f>
        <v>0</v>
      </c>
      <c r="BD398" s="27">
        <f>F398/(100-BE398)*100</f>
        <v>0</v>
      </c>
      <c r="BE398" s="27">
        <v>0</v>
      </c>
      <c r="BF398" s="27">
        <f>K398</f>
        <v>4.730469659999999</v>
      </c>
      <c r="BH398" s="13">
        <f>E398*AO398</f>
        <v>0</v>
      </c>
      <c r="BI398" s="13">
        <f>E398*AP398</f>
        <v>0</v>
      </c>
      <c r="BJ398" s="13">
        <f>E398*F398</f>
        <v>0</v>
      </c>
    </row>
    <row r="399" spans="1:62" ht="25.5">
      <c r="A399" s="107"/>
      <c r="B399" s="108"/>
      <c r="C399" s="99" t="s">
        <v>1784</v>
      </c>
      <c r="D399" s="100" t="s">
        <v>1008</v>
      </c>
      <c r="E399" s="101">
        <f>+(3.14*(0.7+2*0.1)*(8+8+5))</f>
        <v>59.34599999999999</v>
      </c>
      <c r="F399" s="132"/>
      <c r="G399" s="139"/>
      <c r="H399" s="110"/>
      <c r="I399" s="140"/>
      <c r="J399" s="213"/>
      <c r="K399" s="214"/>
      <c r="L399" s="150"/>
      <c r="Z399" s="27"/>
      <c r="AB399" s="27"/>
      <c r="AC399" s="27"/>
      <c r="AD399" s="27"/>
      <c r="AE399" s="27"/>
      <c r="AF399" s="27"/>
      <c r="AG399" s="27"/>
      <c r="AH399" s="27"/>
      <c r="AI399" s="20"/>
      <c r="AJ399" s="13"/>
      <c r="AK399" s="13"/>
      <c r="AL399" s="13"/>
      <c r="AN399" s="27"/>
      <c r="AO399" s="27"/>
      <c r="AP399" s="27"/>
      <c r="AQ399" s="23"/>
      <c r="AV399" s="27"/>
      <c r="AW399" s="27"/>
      <c r="AX399" s="27"/>
      <c r="AY399" s="28"/>
      <c r="AZ399" s="28"/>
      <c r="BA399" s="20"/>
      <c r="BC399" s="27"/>
      <c r="BD399" s="27"/>
      <c r="BE399" s="27"/>
      <c r="BF399" s="27"/>
      <c r="BH399" s="13"/>
      <c r="BI399" s="13"/>
      <c r="BJ399" s="13"/>
    </row>
    <row r="400" spans="1:62" ht="12.75">
      <c r="A400" s="107" t="s">
        <v>189</v>
      </c>
      <c r="B400" s="108" t="s">
        <v>509</v>
      </c>
      <c r="C400" s="109" t="s">
        <v>861</v>
      </c>
      <c r="D400" s="205" t="s">
        <v>1008</v>
      </c>
      <c r="E400" s="110">
        <f>+E401+E402+E403</f>
        <v>94.43400000000003</v>
      </c>
      <c r="F400" s="132">
        <v>0</v>
      </c>
      <c r="G400" s="139">
        <f>E400*AO400</f>
        <v>0</v>
      </c>
      <c r="H400" s="110">
        <f>E400*AP400</f>
        <v>0</v>
      </c>
      <c r="I400" s="140">
        <f>E400*F400</f>
        <v>0</v>
      </c>
      <c r="J400" s="213">
        <v>0.09971</v>
      </c>
      <c r="K400" s="214">
        <f>E400*J400</f>
        <v>9.416014140000001</v>
      </c>
      <c r="L400" s="150" t="s">
        <v>1039</v>
      </c>
      <c r="Z400" s="27">
        <f>IF(AQ400="5",BJ400,0)</f>
        <v>0</v>
      </c>
      <c r="AB400" s="27">
        <f>IF(AQ400="1",BH400,0)</f>
        <v>0</v>
      </c>
      <c r="AC400" s="27">
        <f>IF(AQ400="1",BI400,0)</f>
        <v>0</v>
      </c>
      <c r="AD400" s="27">
        <f>IF(AQ400="7",BH400,0)</f>
        <v>0</v>
      </c>
      <c r="AE400" s="27">
        <f>IF(AQ400="7",BI400,0)</f>
        <v>0</v>
      </c>
      <c r="AF400" s="27">
        <f>IF(AQ400="2",BH400,0)</f>
        <v>0</v>
      </c>
      <c r="AG400" s="27">
        <f>IF(AQ400="2",BI400,0)</f>
        <v>0</v>
      </c>
      <c r="AH400" s="27">
        <f>IF(AQ400="0",BJ400,0)</f>
        <v>0</v>
      </c>
      <c r="AI400" s="20"/>
      <c r="AJ400" s="13">
        <f>IF(AN400=0,I400,0)</f>
        <v>0</v>
      </c>
      <c r="AK400" s="13">
        <f>IF(AN400=15,I400,0)</f>
        <v>0</v>
      </c>
      <c r="AL400" s="13">
        <f>IF(AN400=21,I400,0)</f>
        <v>0</v>
      </c>
      <c r="AN400" s="27">
        <v>21</v>
      </c>
      <c r="AO400" s="27">
        <f>F400*0.613637957151177</f>
        <v>0</v>
      </c>
      <c r="AP400" s="27">
        <f>F400*(1-0.613637957151177)</f>
        <v>0</v>
      </c>
      <c r="AQ400" s="23" t="s">
        <v>7</v>
      </c>
      <c r="AV400" s="27">
        <f>AW400+AX400</f>
        <v>0</v>
      </c>
      <c r="AW400" s="27">
        <f>E400*AO400</f>
        <v>0</v>
      </c>
      <c r="AX400" s="27">
        <f>E400*AP400</f>
        <v>0</v>
      </c>
      <c r="AY400" s="28" t="s">
        <v>1083</v>
      </c>
      <c r="AZ400" s="28" t="s">
        <v>1104</v>
      </c>
      <c r="BA400" s="20" t="s">
        <v>1106</v>
      </c>
      <c r="BC400" s="27">
        <f>AW400+AX400</f>
        <v>0</v>
      </c>
      <c r="BD400" s="27">
        <f>F400/(100-BE400)*100</f>
        <v>0</v>
      </c>
      <c r="BE400" s="27">
        <v>0</v>
      </c>
      <c r="BF400" s="27">
        <f>K400</f>
        <v>9.416014140000001</v>
      </c>
      <c r="BH400" s="13">
        <f>E400*AO400</f>
        <v>0</v>
      </c>
      <c r="BI400" s="13">
        <f>E400*AP400</f>
        <v>0</v>
      </c>
      <c r="BJ400" s="13">
        <f>E400*F400</f>
        <v>0</v>
      </c>
    </row>
    <row r="401" spans="1:62" ht="25.5">
      <c r="A401" s="107"/>
      <c r="B401" s="108"/>
      <c r="C401" s="99" t="s">
        <v>1785</v>
      </c>
      <c r="D401" s="100" t="s">
        <v>1008</v>
      </c>
      <c r="E401" s="101">
        <f>3.14*(0.9+2*0.1)*(8+8+5)</f>
        <v>72.53400000000002</v>
      </c>
      <c r="F401" s="132"/>
      <c r="G401" s="139"/>
      <c r="H401" s="110"/>
      <c r="I401" s="140"/>
      <c r="J401" s="213"/>
      <c r="K401" s="214"/>
      <c r="L401" s="150"/>
      <c r="Z401" s="27"/>
      <c r="AB401" s="27"/>
      <c r="AC401" s="27"/>
      <c r="AD401" s="27"/>
      <c r="AE401" s="27"/>
      <c r="AF401" s="27"/>
      <c r="AG401" s="27"/>
      <c r="AH401" s="27"/>
      <c r="AI401" s="20"/>
      <c r="AJ401" s="13"/>
      <c r="AK401" s="13"/>
      <c r="AL401" s="13"/>
      <c r="AN401" s="27"/>
      <c r="AO401" s="27"/>
      <c r="AP401" s="27"/>
      <c r="AQ401" s="23"/>
      <c r="AV401" s="27"/>
      <c r="AW401" s="27"/>
      <c r="AX401" s="27"/>
      <c r="AY401" s="28"/>
      <c r="AZ401" s="28"/>
      <c r="BA401" s="20"/>
      <c r="BC401" s="27"/>
      <c r="BD401" s="27"/>
      <c r="BE401" s="27"/>
      <c r="BF401" s="27"/>
      <c r="BH401" s="13"/>
      <c r="BI401" s="13"/>
      <c r="BJ401" s="13"/>
    </row>
    <row r="402" spans="1:62" ht="12.75">
      <c r="A402" s="107"/>
      <c r="B402" s="108"/>
      <c r="C402" s="99" t="s">
        <v>1786</v>
      </c>
      <c r="D402" s="100" t="s">
        <v>1008</v>
      </c>
      <c r="E402" s="101">
        <f>2*2.05+(3-0.1*2)</f>
        <v>6.8999999999999995</v>
      </c>
      <c r="F402" s="132"/>
      <c r="G402" s="139"/>
      <c r="H402" s="110"/>
      <c r="I402" s="140"/>
      <c r="J402" s="213"/>
      <c r="K402" s="214"/>
      <c r="L402" s="150"/>
      <c r="Z402" s="27"/>
      <c r="AB402" s="27"/>
      <c r="AC402" s="27"/>
      <c r="AD402" s="27"/>
      <c r="AE402" s="27"/>
      <c r="AF402" s="27"/>
      <c r="AG402" s="27"/>
      <c r="AH402" s="27"/>
      <c r="AI402" s="20"/>
      <c r="AJ402" s="13"/>
      <c r="AK402" s="13"/>
      <c r="AL402" s="13"/>
      <c r="AN402" s="27"/>
      <c r="AO402" s="27"/>
      <c r="AP402" s="27"/>
      <c r="AQ402" s="23"/>
      <c r="AV402" s="27"/>
      <c r="AW402" s="27"/>
      <c r="AX402" s="27"/>
      <c r="AY402" s="28"/>
      <c r="AZ402" s="28"/>
      <c r="BA402" s="20"/>
      <c r="BC402" s="27"/>
      <c r="BD402" s="27"/>
      <c r="BE402" s="27"/>
      <c r="BF402" s="27"/>
      <c r="BH402" s="13"/>
      <c r="BI402" s="13"/>
      <c r="BJ402" s="13"/>
    </row>
    <row r="403" spans="1:62" ht="12.75">
      <c r="A403" s="107"/>
      <c r="B403" s="108"/>
      <c r="C403" s="99" t="s">
        <v>1787</v>
      </c>
      <c r="D403" s="100" t="s">
        <v>1008</v>
      </c>
      <c r="E403" s="101">
        <f>+(1.5*2*2+1.5*2+1.5*2*2)</f>
        <v>15</v>
      </c>
      <c r="F403" s="132"/>
      <c r="G403" s="139"/>
      <c r="H403" s="110"/>
      <c r="I403" s="140"/>
      <c r="J403" s="213"/>
      <c r="K403" s="214"/>
      <c r="L403" s="150"/>
      <c r="Z403" s="27"/>
      <c r="AB403" s="27"/>
      <c r="AC403" s="27"/>
      <c r="AD403" s="27"/>
      <c r="AE403" s="27"/>
      <c r="AF403" s="27"/>
      <c r="AG403" s="27"/>
      <c r="AH403" s="27"/>
      <c r="AI403" s="20"/>
      <c r="AJ403" s="13"/>
      <c r="AK403" s="13"/>
      <c r="AL403" s="13"/>
      <c r="AN403" s="27"/>
      <c r="AO403" s="27"/>
      <c r="AP403" s="27"/>
      <c r="AQ403" s="23"/>
      <c r="AV403" s="27"/>
      <c r="AW403" s="27"/>
      <c r="AX403" s="27"/>
      <c r="AY403" s="28"/>
      <c r="AZ403" s="28"/>
      <c r="BA403" s="20"/>
      <c r="BC403" s="27"/>
      <c r="BD403" s="27"/>
      <c r="BE403" s="27"/>
      <c r="BF403" s="27"/>
      <c r="BH403" s="13"/>
      <c r="BI403" s="13"/>
      <c r="BJ403" s="13"/>
    </row>
    <row r="404" spans="1:62" ht="12.75">
      <c r="A404" s="107" t="s">
        <v>190</v>
      </c>
      <c r="B404" s="108" t="s">
        <v>510</v>
      </c>
      <c r="C404" s="109" t="s">
        <v>862</v>
      </c>
      <c r="D404" s="205" t="s">
        <v>1008</v>
      </c>
      <c r="E404" s="110">
        <f>+E51</f>
        <v>37</v>
      </c>
      <c r="F404" s="132">
        <v>0</v>
      </c>
      <c r="G404" s="139">
        <f>E404*AO404</f>
        <v>0</v>
      </c>
      <c r="H404" s="110">
        <f>E404*AP404</f>
        <v>0</v>
      </c>
      <c r="I404" s="140">
        <f>E404*F404</f>
        <v>0</v>
      </c>
      <c r="J404" s="213">
        <v>0.1025</v>
      </c>
      <c r="K404" s="214">
        <f>E404*J404</f>
        <v>3.7925</v>
      </c>
      <c r="L404" s="150" t="s">
        <v>1039</v>
      </c>
      <c r="Z404" s="27">
        <f>IF(AQ404="5",BJ404,0)</f>
        <v>0</v>
      </c>
      <c r="AB404" s="27">
        <f>IF(AQ404="1",BH404,0)</f>
        <v>0</v>
      </c>
      <c r="AC404" s="27">
        <f>IF(AQ404="1",BI404,0)</f>
        <v>0</v>
      </c>
      <c r="AD404" s="27">
        <f>IF(AQ404="7",BH404,0)</f>
        <v>0</v>
      </c>
      <c r="AE404" s="27">
        <f>IF(AQ404="7",BI404,0)</f>
        <v>0</v>
      </c>
      <c r="AF404" s="27">
        <f>IF(AQ404="2",BH404,0)</f>
        <v>0</v>
      </c>
      <c r="AG404" s="27">
        <f>IF(AQ404="2",BI404,0)</f>
        <v>0</v>
      </c>
      <c r="AH404" s="27">
        <f>IF(AQ404="0",BJ404,0)</f>
        <v>0</v>
      </c>
      <c r="AI404" s="20"/>
      <c r="AJ404" s="13">
        <f>IF(AN404=0,I404,0)</f>
        <v>0</v>
      </c>
      <c r="AK404" s="13">
        <f>IF(AN404=15,I404,0)</f>
        <v>0</v>
      </c>
      <c r="AL404" s="13">
        <f>IF(AN404=21,I404,0)</f>
        <v>0</v>
      </c>
      <c r="AN404" s="27">
        <v>21</v>
      </c>
      <c r="AO404" s="27">
        <f>F404*0.575948553054662</f>
        <v>0</v>
      </c>
      <c r="AP404" s="27">
        <f>F404*(1-0.575948553054662)</f>
        <v>0</v>
      </c>
      <c r="AQ404" s="23" t="s">
        <v>7</v>
      </c>
      <c r="AV404" s="27">
        <f>AW404+AX404</f>
        <v>0</v>
      </c>
      <c r="AW404" s="27">
        <f>E404*AO404</f>
        <v>0</v>
      </c>
      <c r="AX404" s="27">
        <f>E404*AP404</f>
        <v>0</v>
      </c>
      <c r="AY404" s="28" t="s">
        <v>1083</v>
      </c>
      <c r="AZ404" s="28" t="s">
        <v>1104</v>
      </c>
      <c r="BA404" s="20" t="s">
        <v>1106</v>
      </c>
      <c r="BC404" s="27">
        <f>AW404+AX404</f>
        <v>0</v>
      </c>
      <c r="BD404" s="27">
        <f>F404/(100-BE404)*100</f>
        <v>0</v>
      </c>
      <c r="BE404" s="27">
        <v>0</v>
      </c>
      <c r="BF404" s="27">
        <f>K404</f>
        <v>3.7925</v>
      </c>
      <c r="BH404" s="13">
        <f>E404*AO404</f>
        <v>0</v>
      </c>
      <c r="BI404" s="13">
        <f>E404*AP404</f>
        <v>0</v>
      </c>
      <c r="BJ404" s="13">
        <f>E404*F404</f>
        <v>0</v>
      </c>
    </row>
    <row r="405" spans="1:62" ht="12.75">
      <c r="A405" s="107"/>
      <c r="B405" s="108"/>
      <c r="C405" s="99" t="s">
        <v>1790</v>
      </c>
      <c r="D405" s="205"/>
      <c r="E405" s="110"/>
      <c r="F405" s="132"/>
      <c r="G405" s="139"/>
      <c r="H405" s="110"/>
      <c r="I405" s="140"/>
      <c r="J405" s="213"/>
      <c r="K405" s="214"/>
      <c r="L405" s="150"/>
      <c r="Z405" s="27"/>
      <c r="AB405" s="27"/>
      <c r="AC405" s="27"/>
      <c r="AD405" s="27"/>
      <c r="AE405" s="27"/>
      <c r="AF405" s="27"/>
      <c r="AG405" s="27"/>
      <c r="AH405" s="27"/>
      <c r="AI405" s="20"/>
      <c r="AJ405" s="13"/>
      <c r="AK405" s="13"/>
      <c r="AL405" s="13"/>
      <c r="AN405" s="27"/>
      <c r="AO405" s="27"/>
      <c r="AP405" s="27"/>
      <c r="AQ405" s="23"/>
      <c r="AV405" s="27"/>
      <c r="AW405" s="27"/>
      <c r="AX405" s="27"/>
      <c r="AY405" s="28"/>
      <c r="AZ405" s="28"/>
      <c r="BA405" s="20"/>
      <c r="BC405" s="27"/>
      <c r="BD405" s="27"/>
      <c r="BE405" s="27"/>
      <c r="BF405" s="27"/>
      <c r="BH405" s="13"/>
      <c r="BI405" s="13"/>
      <c r="BJ405" s="13"/>
    </row>
    <row r="406" spans="1:62" ht="12.75">
      <c r="A406" s="107" t="s">
        <v>191</v>
      </c>
      <c r="B406" s="108" t="s">
        <v>511</v>
      </c>
      <c r="C406" s="109" t="s">
        <v>863</v>
      </c>
      <c r="D406" s="205" t="s">
        <v>1008</v>
      </c>
      <c r="E406" s="110">
        <f>+E407</f>
        <v>41</v>
      </c>
      <c r="F406" s="132">
        <v>0</v>
      </c>
      <c r="G406" s="139">
        <f>E406*AO406</f>
        <v>0</v>
      </c>
      <c r="H406" s="110">
        <f>E406*AP406</f>
        <v>0</v>
      </c>
      <c r="I406" s="140">
        <f>E406*F406</f>
        <v>0</v>
      </c>
      <c r="J406" s="213">
        <v>0.188</v>
      </c>
      <c r="K406" s="214">
        <f>E406*J406</f>
        <v>7.708</v>
      </c>
      <c r="L406" s="150" t="s">
        <v>1039</v>
      </c>
      <c r="Z406" s="27">
        <f>IF(AQ406="5",BJ406,0)</f>
        <v>0</v>
      </c>
      <c r="AB406" s="27">
        <f>IF(AQ406="1",BH406,0)</f>
        <v>0</v>
      </c>
      <c r="AC406" s="27">
        <f>IF(AQ406="1",BI406,0)</f>
        <v>0</v>
      </c>
      <c r="AD406" s="27">
        <f>IF(AQ406="7",BH406,0)</f>
        <v>0</v>
      </c>
      <c r="AE406" s="27">
        <f>IF(AQ406="7",BI406,0)</f>
        <v>0</v>
      </c>
      <c r="AF406" s="27">
        <f>IF(AQ406="2",BH406,0)</f>
        <v>0</v>
      </c>
      <c r="AG406" s="27">
        <f>IF(AQ406="2",BI406,0)</f>
        <v>0</v>
      </c>
      <c r="AH406" s="27">
        <f>IF(AQ406="0",BJ406,0)</f>
        <v>0</v>
      </c>
      <c r="AI406" s="20"/>
      <c r="AJ406" s="13">
        <f>IF(AN406=0,I406,0)</f>
        <v>0</v>
      </c>
      <c r="AK406" s="13">
        <f>IF(AN406=15,I406,0)</f>
        <v>0</v>
      </c>
      <c r="AL406" s="13">
        <f>IF(AN406=21,I406,0)</f>
        <v>0</v>
      </c>
      <c r="AN406" s="27">
        <v>21</v>
      </c>
      <c r="AO406" s="27">
        <f>F406*0.561811965811966</f>
        <v>0</v>
      </c>
      <c r="AP406" s="27">
        <f>F406*(1-0.561811965811966)</f>
        <v>0</v>
      </c>
      <c r="AQ406" s="23" t="s">
        <v>7</v>
      </c>
      <c r="AV406" s="27">
        <f>AW406+AX406</f>
        <v>0</v>
      </c>
      <c r="AW406" s="27">
        <f>E406*AO406</f>
        <v>0</v>
      </c>
      <c r="AX406" s="27">
        <f>E406*AP406</f>
        <v>0</v>
      </c>
      <c r="AY406" s="28" t="s">
        <v>1083</v>
      </c>
      <c r="AZ406" s="28" t="s">
        <v>1104</v>
      </c>
      <c r="BA406" s="20" t="s">
        <v>1106</v>
      </c>
      <c r="BC406" s="27">
        <f>AW406+AX406</f>
        <v>0</v>
      </c>
      <c r="BD406" s="27">
        <f>F406/(100-BE406)*100</f>
        <v>0</v>
      </c>
      <c r="BE406" s="27">
        <v>0</v>
      </c>
      <c r="BF406" s="27">
        <f>K406</f>
        <v>7.708</v>
      </c>
      <c r="BH406" s="13">
        <f>E406*AO406</f>
        <v>0</v>
      </c>
      <c r="BI406" s="13">
        <f>E406*AP406</f>
        <v>0</v>
      </c>
      <c r="BJ406" s="13">
        <f>E406*F406</f>
        <v>0</v>
      </c>
    </row>
    <row r="407" spans="1:62" ht="12.75">
      <c r="A407" s="107"/>
      <c r="B407" s="108"/>
      <c r="C407" s="99" t="s">
        <v>1791</v>
      </c>
      <c r="D407" s="100" t="s">
        <v>1008</v>
      </c>
      <c r="E407" s="101">
        <f>+E46</f>
        <v>41</v>
      </c>
      <c r="F407" s="132"/>
      <c r="G407" s="139"/>
      <c r="H407" s="110"/>
      <c r="I407" s="140"/>
      <c r="J407" s="213"/>
      <c r="K407" s="214"/>
      <c r="L407" s="150"/>
      <c r="Z407" s="27"/>
      <c r="AB407" s="27"/>
      <c r="AC407" s="27"/>
      <c r="AD407" s="27"/>
      <c r="AE407" s="27"/>
      <c r="AF407" s="27"/>
      <c r="AG407" s="27"/>
      <c r="AH407" s="27"/>
      <c r="AI407" s="20"/>
      <c r="AJ407" s="13"/>
      <c r="AK407" s="13"/>
      <c r="AL407" s="13"/>
      <c r="AN407" s="27"/>
      <c r="AO407" s="27"/>
      <c r="AP407" s="27"/>
      <c r="AQ407" s="23"/>
      <c r="AV407" s="27"/>
      <c r="AW407" s="27"/>
      <c r="AX407" s="27"/>
      <c r="AY407" s="28"/>
      <c r="AZ407" s="28"/>
      <c r="BA407" s="20"/>
      <c r="BC407" s="27"/>
      <c r="BD407" s="27"/>
      <c r="BE407" s="27"/>
      <c r="BF407" s="27"/>
      <c r="BH407" s="13"/>
      <c r="BI407" s="13"/>
      <c r="BJ407" s="13"/>
    </row>
    <row r="408" spans="1:62" ht="12.75">
      <c r="A408" s="107" t="s">
        <v>192</v>
      </c>
      <c r="B408" s="108" t="s">
        <v>512</v>
      </c>
      <c r="C408" s="109" t="s">
        <v>864</v>
      </c>
      <c r="D408" s="205" t="s">
        <v>1008</v>
      </c>
      <c r="E408" s="110">
        <v>973.98</v>
      </c>
      <c r="F408" s="132">
        <v>0</v>
      </c>
      <c r="G408" s="139">
        <f>E408*AO408</f>
        <v>0</v>
      </c>
      <c r="H408" s="110">
        <f>E408*AP408</f>
        <v>0</v>
      </c>
      <c r="I408" s="140">
        <f>E408*F408</f>
        <v>0</v>
      </c>
      <c r="J408" s="213">
        <v>0</v>
      </c>
      <c r="K408" s="214">
        <f>E408*J408</f>
        <v>0</v>
      </c>
      <c r="L408" s="150" t="s">
        <v>1039</v>
      </c>
      <c r="Z408" s="27">
        <f>IF(AQ408="5",BJ408,0)</f>
        <v>0</v>
      </c>
      <c r="AB408" s="27">
        <f>IF(AQ408="1",BH408,0)</f>
        <v>0</v>
      </c>
      <c r="AC408" s="27">
        <f>IF(AQ408="1",BI408,0)</f>
        <v>0</v>
      </c>
      <c r="AD408" s="27">
        <f>IF(AQ408="7",BH408,0)</f>
        <v>0</v>
      </c>
      <c r="AE408" s="27">
        <f>IF(AQ408="7",BI408,0)</f>
        <v>0</v>
      </c>
      <c r="AF408" s="27">
        <f>IF(AQ408="2",BH408,0)</f>
        <v>0</v>
      </c>
      <c r="AG408" s="27">
        <f>IF(AQ408="2",BI408,0)</f>
        <v>0</v>
      </c>
      <c r="AH408" s="27">
        <f>IF(AQ408="0",BJ408,0)</f>
        <v>0</v>
      </c>
      <c r="AI408" s="20"/>
      <c r="AJ408" s="13">
        <f>IF(AN408=0,I408,0)</f>
        <v>0</v>
      </c>
      <c r="AK408" s="13">
        <f>IF(AN408=15,I408,0)</f>
        <v>0</v>
      </c>
      <c r="AL408" s="13">
        <f>IF(AN408=21,I408,0)</f>
        <v>0</v>
      </c>
      <c r="AN408" s="27">
        <v>21</v>
      </c>
      <c r="AO408" s="27">
        <f>F408*0.506386899263875</f>
        <v>0</v>
      </c>
      <c r="AP408" s="27">
        <f>F408*(1-0.506386899263875)</f>
        <v>0</v>
      </c>
      <c r="AQ408" s="23" t="s">
        <v>7</v>
      </c>
      <c r="AV408" s="27">
        <f>AW408+AX408</f>
        <v>0</v>
      </c>
      <c r="AW408" s="27">
        <f>E408*AO408</f>
        <v>0</v>
      </c>
      <c r="AX408" s="27">
        <f>E408*AP408</f>
        <v>0</v>
      </c>
      <c r="AY408" s="28" t="s">
        <v>1083</v>
      </c>
      <c r="AZ408" s="28" t="s">
        <v>1104</v>
      </c>
      <c r="BA408" s="20" t="s">
        <v>1106</v>
      </c>
      <c r="BC408" s="27">
        <f>AW408+AX408</f>
        <v>0</v>
      </c>
      <c r="BD408" s="27">
        <f>F408/(100-BE408)*100</f>
        <v>0</v>
      </c>
      <c r="BE408" s="27">
        <v>0</v>
      </c>
      <c r="BF408" s="27">
        <f>K408</f>
        <v>0</v>
      </c>
      <c r="BH408" s="13">
        <f>E408*AO408</f>
        <v>0</v>
      </c>
      <c r="BI408" s="13">
        <f>E408*AP408</f>
        <v>0</v>
      </c>
      <c r="BJ408" s="13">
        <f>E408*F408</f>
        <v>0</v>
      </c>
    </row>
    <row r="409" spans="1:62" ht="12.75">
      <c r="A409" s="107"/>
      <c r="B409" s="108"/>
      <c r="C409" s="99" t="s">
        <v>1792</v>
      </c>
      <c r="D409" s="205"/>
      <c r="E409" s="110"/>
      <c r="F409" s="132"/>
      <c r="G409" s="139"/>
      <c r="H409" s="110"/>
      <c r="I409" s="140"/>
      <c r="J409" s="213"/>
      <c r="K409" s="214"/>
      <c r="L409" s="150"/>
      <c r="Z409" s="27"/>
      <c r="AB409" s="27"/>
      <c r="AC409" s="27"/>
      <c r="AD409" s="27"/>
      <c r="AE409" s="27"/>
      <c r="AF409" s="27"/>
      <c r="AG409" s="27"/>
      <c r="AH409" s="27"/>
      <c r="AI409" s="20"/>
      <c r="AJ409" s="13"/>
      <c r="AK409" s="13"/>
      <c r="AL409" s="13"/>
      <c r="AN409" s="27"/>
      <c r="AO409" s="27"/>
      <c r="AP409" s="27"/>
      <c r="AQ409" s="23"/>
      <c r="AV409" s="27"/>
      <c r="AW409" s="27"/>
      <c r="AX409" s="27"/>
      <c r="AY409" s="28"/>
      <c r="AZ409" s="28"/>
      <c r="BA409" s="20"/>
      <c r="BC409" s="27"/>
      <c r="BD409" s="27"/>
      <c r="BE409" s="27"/>
      <c r="BF409" s="27"/>
      <c r="BH409" s="13"/>
      <c r="BI409" s="13"/>
      <c r="BJ409" s="13"/>
    </row>
    <row r="410" spans="1:47" ht="25.5">
      <c r="A410" s="111"/>
      <c r="B410" s="112" t="s">
        <v>99</v>
      </c>
      <c r="C410" s="113" t="s">
        <v>865</v>
      </c>
      <c r="D410" s="206" t="s">
        <v>6</v>
      </c>
      <c r="E410" s="114" t="s">
        <v>6</v>
      </c>
      <c r="F410" s="133" t="s">
        <v>6</v>
      </c>
      <c r="G410" s="141">
        <f>SUM(G411:G411)</f>
        <v>0</v>
      </c>
      <c r="H410" s="115">
        <f>SUM(H411:H411)</f>
        <v>0</v>
      </c>
      <c r="I410" s="142">
        <f>SUM(I411:I411)</f>
        <v>0</v>
      </c>
      <c r="J410" s="215"/>
      <c r="K410" s="216">
        <f>SUM(K411:K411)</f>
        <v>0</v>
      </c>
      <c r="L410" s="151"/>
      <c r="AI410" s="20"/>
      <c r="AS410" s="29">
        <f>SUM(AJ411:AJ411)</f>
        <v>0</v>
      </c>
      <c r="AT410" s="29">
        <f>SUM(AK411:AK411)</f>
        <v>0</v>
      </c>
      <c r="AU410" s="29">
        <f>SUM(AL411:AL411)</f>
        <v>0</v>
      </c>
    </row>
    <row r="411" spans="1:62" ht="12.75">
      <c r="A411" s="107" t="s">
        <v>193</v>
      </c>
      <c r="B411" s="108" t="s">
        <v>513</v>
      </c>
      <c r="C411" s="109" t="s">
        <v>866</v>
      </c>
      <c r="D411" s="205" t="s">
        <v>1005</v>
      </c>
      <c r="E411" s="110">
        <v>5100</v>
      </c>
      <c r="F411" s="132">
        <v>0</v>
      </c>
      <c r="G411" s="139">
        <f>E411*AO411</f>
        <v>0</v>
      </c>
      <c r="H411" s="110">
        <f>E411*AP411</f>
        <v>0</v>
      </c>
      <c r="I411" s="140">
        <f>E411*F411</f>
        <v>0</v>
      </c>
      <c r="J411" s="213">
        <v>0</v>
      </c>
      <c r="K411" s="214">
        <f>E411*J411</f>
        <v>0</v>
      </c>
      <c r="L411" s="150" t="s">
        <v>1039</v>
      </c>
      <c r="Z411" s="27">
        <f>IF(AQ411="5",BJ411,0)</f>
        <v>0</v>
      </c>
      <c r="AB411" s="27">
        <f>IF(AQ411="1",BH411,0)</f>
        <v>0</v>
      </c>
      <c r="AC411" s="27">
        <f>IF(AQ411="1",BI411,0)</f>
        <v>0</v>
      </c>
      <c r="AD411" s="27">
        <f>IF(AQ411="7",BH411,0)</f>
        <v>0</v>
      </c>
      <c r="AE411" s="27">
        <f>IF(AQ411="7",BI411,0)</f>
        <v>0</v>
      </c>
      <c r="AF411" s="27">
        <f>IF(AQ411="2",BH411,0)</f>
        <v>0</v>
      </c>
      <c r="AG411" s="27">
        <f>IF(AQ411="2",BI411,0)</f>
        <v>0</v>
      </c>
      <c r="AH411" s="27">
        <f>IF(AQ411="0",BJ411,0)</f>
        <v>0</v>
      </c>
      <c r="AI411" s="20"/>
      <c r="AJ411" s="13">
        <f>IF(AN411=0,I411,0)</f>
        <v>0</v>
      </c>
      <c r="AK411" s="13">
        <f>IF(AN411=15,I411,0)</f>
        <v>0</v>
      </c>
      <c r="AL411" s="13">
        <f>IF(AN411=21,I411,0)</f>
        <v>0</v>
      </c>
      <c r="AN411" s="27">
        <v>21</v>
      </c>
      <c r="AO411" s="27">
        <f>F411*0</f>
        <v>0</v>
      </c>
      <c r="AP411" s="27">
        <f>F411*(1-0)</f>
        <v>0</v>
      </c>
      <c r="AQ411" s="23" t="s">
        <v>7</v>
      </c>
      <c r="AV411" s="27">
        <f>AW411+AX411</f>
        <v>0</v>
      </c>
      <c r="AW411" s="27">
        <f>E411*AO411</f>
        <v>0</v>
      </c>
      <c r="AX411" s="27">
        <f>E411*AP411</f>
        <v>0</v>
      </c>
      <c r="AY411" s="28" t="s">
        <v>1084</v>
      </c>
      <c r="AZ411" s="28" t="s">
        <v>1104</v>
      </c>
      <c r="BA411" s="20" t="s">
        <v>1106</v>
      </c>
      <c r="BC411" s="27">
        <f>AW411+AX411</f>
        <v>0</v>
      </c>
      <c r="BD411" s="27">
        <f>F411/(100-BE411)*100</f>
        <v>0</v>
      </c>
      <c r="BE411" s="27">
        <v>0</v>
      </c>
      <c r="BF411" s="27">
        <f>K411</f>
        <v>0</v>
      </c>
      <c r="BH411" s="13">
        <f>E411*AO411</f>
        <v>0</v>
      </c>
      <c r="BI411" s="13">
        <f>E411*AP411</f>
        <v>0</v>
      </c>
      <c r="BJ411" s="13">
        <f>E411*F411</f>
        <v>0</v>
      </c>
    </row>
    <row r="412" spans="1:62" ht="12.75">
      <c r="A412" s="107"/>
      <c r="B412" s="108"/>
      <c r="C412" s="99" t="s">
        <v>1792</v>
      </c>
      <c r="D412" s="205"/>
      <c r="E412" s="110"/>
      <c r="F412" s="132"/>
      <c r="G412" s="139"/>
      <c r="H412" s="110"/>
      <c r="I412" s="140"/>
      <c r="J412" s="213"/>
      <c r="K412" s="214"/>
      <c r="L412" s="150"/>
      <c r="Z412" s="27"/>
      <c r="AB412" s="27"/>
      <c r="AC412" s="27"/>
      <c r="AD412" s="27"/>
      <c r="AE412" s="27"/>
      <c r="AF412" s="27"/>
      <c r="AG412" s="27"/>
      <c r="AH412" s="27"/>
      <c r="AI412" s="20"/>
      <c r="AJ412" s="13"/>
      <c r="AK412" s="13"/>
      <c r="AL412" s="13"/>
      <c r="AN412" s="27"/>
      <c r="AO412" s="27"/>
      <c r="AP412" s="27"/>
      <c r="AQ412" s="23"/>
      <c r="AV412" s="27"/>
      <c r="AW412" s="27"/>
      <c r="AX412" s="27"/>
      <c r="AY412" s="28"/>
      <c r="AZ412" s="28"/>
      <c r="BA412" s="20"/>
      <c r="BC412" s="27"/>
      <c r="BD412" s="27"/>
      <c r="BE412" s="27"/>
      <c r="BF412" s="27"/>
      <c r="BH412" s="13"/>
      <c r="BI412" s="13"/>
      <c r="BJ412" s="13"/>
    </row>
    <row r="413" spans="1:47" ht="12.75">
      <c r="A413" s="111"/>
      <c r="B413" s="112" t="s">
        <v>514</v>
      </c>
      <c r="C413" s="113" t="s">
        <v>867</v>
      </c>
      <c r="D413" s="206" t="s">
        <v>6</v>
      </c>
      <c r="E413" s="114" t="s">
        <v>6</v>
      </c>
      <c r="F413" s="133" t="s">
        <v>6</v>
      </c>
      <c r="G413" s="141">
        <f>SUM(G414:G414)</f>
        <v>0</v>
      </c>
      <c r="H413" s="115">
        <f>SUM(H414:H414)</f>
        <v>0</v>
      </c>
      <c r="I413" s="142">
        <f>SUM(I414:I414)</f>
        <v>0</v>
      </c>
      <c r="J413" s="215"/>
      <c r="K413" s="216">
        <f>SUM(K414:K414)</f>
        <v>0</v>
      </c>
      <c r="L413" s="151"/>
      <c r="AI413" s="20"/>
      <c r="AS413" s="29">
        <f>SUM(AJ414:AJ414)</f>
        <v>0</v>
      </c>
      <c r="AT413" s="29">
        <f>SUM(AK414:AK414)</f>
        <v>0</v>
      </c>
      <c r="AU413" s="29">
        <f>SUM(AL414:AL414)</f>
        <v>0</v>
      </c>
    </row>
    <row r="414" spans="1:62" ht="25.5">
      <c r="A414" s="107" t="s">
        <v>194</v>
      </c>
      <c r="B414" s="108" t="s">
        <v>515</v>
      </c>
      <c r="C414" s="109" t="s">
        <v>868</v>
      </c>
      <c r="D414" s="205" t="s">
        <v>1017</v>
      </c>
      <c r="E414" s="110">
        <v>2</v>
      </c>
      <c r="F414" s="132">
        <v>0</v>
      </c>
      <c r="G414" s="139">
        <f>E414*AO414</f>
        <v>0</v>
      </c>
      <c r="H414" s="110">
        <f>E414*AP414</f>
        <v>0</v>
      </c>
      <c r="I414" s="140">
        <f>E414*F414</f>
        <v>0</v>
      </c>
      <c r="J414" s="213">
        <v>0</v>
      </c>
      <c r="K414" s="214">
        <f>E414*J414</f>
        <v>0</v>
      </c>
      <c r="L414" s="150"/>
      <c r="Z414" s="27">
        <f>IF(AQ414="5",BJ414,0)</f>
        <v>0</v>
      </c>
      <c r="AB414" s="27">
        <f>IF(AQ414="1",BH414,0)</f>
        <v>0</v>
      </c>
      <c r="AC414" s="27">
        <f>IF(AQ414="1",BI414,0)</f>
        <v>0</v>
      </c>
      <c r="AD414" s="27">
        <f>IF(AQ414="7",BH414,0)</f>
        <v>0</v>
      </c>
      <c r="AE414" s="27">
        <f>IF(AQ414="7",BI414,0)</f>
        <v>0</v>
      </c>
      <c r="AF414" s="27">
        <f>IF(AQ414="2",BH414,0)</f>
        <v>0</v>
      </c>
      <c r="AG414" s="27">
        <f>IF(AQ414="2",BI414,0)</f>
        <v>0</v>
      </c>
      <c r="AH414" s="27">
        <f>IF(AQ414="0",BJ414,0)</f>
        <v>0</v>
      </c>
      <c r="AI414" s="20"/>
      <c r="AJ414" s="13">
        <f>IF(AN414=0,I414,0)</f>
        <v>0</v>
      </c>
      <c r="AK414" s="13">
        <f>IF(AN414=15,I414,0)</f>
        <v>0</v>
      </c>
      <c r="AL414" s="13">
        <f>IF(AN414=21,I414,0)</f>
        <v>0</v>
      </c>
      <c r="AN414" s="27">
        <v>21</v>
      </c>
      <c r="AO414" s="27">
        <f>F414*0</f>
        <v>0</v>
      </c>
      <c r="AP414" s="27">
        <f>F414*(1-0)</f>
        <v>0</v>
      </c>
      <c r="AQ414" s="23" t="s">
        <v>7</v>
      </c>
      <c r="AV414" s="27">
        <f>AW414+AX414</f>
        <v>0</v>
      </c>
      <c r="AW414" s="27">
        <f>E414*AO414</f>
        <v>0</v>
      </c>
      <c r="AX414" s="27">
        <f>E414*AP414</f>
        <v>0</v>
      </c>
      <c r="AY414" s="28" t="s">
        <v>1085</v>
      </c>
      <c r="AZ414" s="28" t="s">
        <v>1104</v>
      </c>
      <c r="BA414" s="20" t="s">
        <v>1106</v>
      </c>
      <c r="BC414" s="27">
        <f>AW414+AX414</f>
        <v>0</v>
      </c>
      <c r="BD414" s="27">
        <f>F414/(100-BE414)*100</f>
        <v>0</v>
      </c>
      <c r="BE414" s="27">
        <v>0</v>
      </c>
      <c r="BF414" s="27">
        <f>K414</f>
        <v>0</v>
      </c>
      <c r="BH414" s="13">
        <f>E414*AO414</f>
        <v>0</v>
      </c>
      <c r="BI414" s="13">
        <f>E414*AP414</f>
        <v>0</v>
      </c>
      <c r="BJ414" s="13">
        <f>E414*F414</f>
        <v>0</v>
      </c>
    </row>
    <row r="415" spans="1:62" ht="12.75">
      <c r="A415" s="107"/>
      <c r="B415" s="108"/>
      <c r="C415" s="99" t="s">
        <v>1793</v>
      </c>
      <c r="D415" s="205"/>
      <c r="E415" s="110"/>
      <c r="F415" s="132"/>
      <c r="G415" s="139"/>
      <c r="H415" s="110"/>
      <c r="I415" s="140"/>
      <c r="J415" s="213"/>
      <c r="K415" s="214"/>
      <c r="L415" s="150"/>
      <c r="Z415" s="27"/>
      <c r="AB415" s="27"/>
      <c r="AC415" s="27"/>
      <c r="AD415" s="27"/>
      <c r="AE415" s="27"/>
      <c r="AF415" s="27"/>
      <c r="AG415" s="27"/>
      <c r="AH415" s="27"/>
      <c r="AI415" s="20"/>
      <c r="AJ415" s="13"/>
      <c r="AK415" s="13"/>
      <c r="AL415" s="13"/>
      <c r="AN415" s="27"/>
      <c r="AO415" s="27"/>
      <c r="AP415" s="27"/>
      <c r="AQ415" s="23"/>
      <c r="AV415" s="27"/>
      <c r="AW415" s="27"/>
      <c r="AX415" s="27"/>
      <c r="AY415" s="28"/>
      <c r="AZ415" s="28"/>
      <c r="BA415" s="20"/>
      <c r="BC415" s="27"/>
      <c r="BD415" s="27"/>
      <c r="BE415" s="27"/>
      <c r="BF415" s="27"/>
      <c r="BH415" s="13"/>
      <c r="BI415" s="13"/>
      <c r="BJ415" s="13"/>
    </row>
    <row r="416" spans="1:47" ht="25.5">
      <c r="A416" s="111"/>
      <c r="B416" s="112" t="s">
        <v>101</v>
      </c>
      <c r="C416" s="113" t="s">
        <v>869</v>
      </c>
      <c r="D416" s="206" t="s">
        <v>6</v>
      </c>
      <c r="E416" s="114" t="s">
        <v>6</v>
      </c>
      <c r="F416" s="133" t="s">
        <v>6</v>
      </c>
      <c r="G416" s="141">
        <f>SUM(G417:G421)</f>
        <v>0</v>
      </c>
      <c r="H416" s="115">
        <f>SUM(H417:H421)</f>
        <v>0</v>
      </c>
      <c r="I416" s="142">
        <f>SUM(I417:I421)</f>
        <v>0</v>
      </c>
      <c r="J416" s="215"/>
      <c r="K416" s="216">
        <f>SUM(K417:K421)</f>
        <v>0.00954</v>
      </c>
      <c r="L416" s="151"/>
      <c r="AI416" s="20"/>
      <c r="AS416" s="29">
        <f>SUM(AJ417:AJ421)</f>
        <v>0</v>
      </c>
      <c r="AT416" s="29">
        <f>SUM(AK417:AK421)</f>
        <v>0</v>
      </c>
      <c r="AU416" s="29">
        <f>SUM(AL417:AL421)</f>
        <v>0</v>
      </c>
    </row>
    <row r="417" spans="1:62" ht="12.75">
      <c r="A417" s="107" t="s">
        <v>195</v>
      </c>
      <c r="B417" s="108" t="s">
        <v>516</v>
      </c>
      <c r="C417" s="109" t="s">
        <v>870</v>
      </c>
      <c r="D417" s="205" t="s">
        <v>1007</v>
      </c>
      <c r="E417" s="110">
        <v>2</v>
      </c>
      <c r="F417" s="132">
        <v>0</v>
      </c>
      <c r="G417" s="139">
        <f>E417*AO417</f>
        <v>0</v>
      </c>
      <c r="H417" s="110">
        <f>E417*AP417</f>
        <v>0</v>
      </c>
      <c r="I417" s="140">
        <f>E417*F417</f>
        <v>0</v>
      </c>
      <c r="J417" s="213">
        <v>0.00477</v>
      </c>
      <c r="K417" s="214">
        <f>E417*J417</f>
        <v>0.00954</v>
      </c>
      <c r="L417" s="150" t="s">
        <v>1039</v>
      </c>
      <c r="Z417" s="27">
        <f>IF(AQ417="5",BJ417,0)</f>
        <v>0</v>
      </c>
      <c r="AB417" s="27">
        <f>IF(AQ417="1",BH417,0)</f>
        <v>0</v>
      </c>
      <c r="AC417" s="27">
        <f>IF(AQ417="1",BI417,0)</f>
        <v>0</v>
      </c>
      <c r="AD417" s="27">
        <f>IF(AQ417="7",BH417,0)</f>
        <v>0</v>
      </c>
      <c r="AE417" s="27">
        <f>IF(AQ417="7",BI417,0)</f>
        <v>0</v>
      </c>
      <c r="AF417" s="27">
        <f>IF(AQ417="2",BH417,0)</f>
        <v>0</v>
      </c>
      <c r="AG417" s="27">
        <f>IF(AQ417="2",BI417,0)</f>
        <v>0</v>
      </c>
      <c r="AH417" s="27">
        <f>IF(AQ417="0",BJ417,0)</f>
        <v>0</v>
      </c>
      <c r="AI417" s="20"/>
      <c r="AJ417" s="13">
        <f>IF(AN417=0,I417,0)</f>
        <v>0</v>
      </c>
      <c r="AK417" s="13">
        <f>IF(AN417=15,I417,0)</f>
        <v>0</v>
      </c>
      <c r="AL417" s="13">
        <f>IF(AN417=21,I417,0)</f>
        <v>0</v>
      </c>
      <c r="AN417" s="27">
        <v>21</v>
      </c>
      <c r="AO417" s="27">
        <f>F417*0.0446511627906977</f>
        <v>0</v>
      </c>
      <c r="AP417" s="27">
        <f>F417*(1-0.0446511627906977)</f>
        <v>0</v>
      </c>
      <c r="AQ417" s="23" t="s">
        <v>7</v>
      </c>
      <c r="AV417" s="27">
        <f>AW417+AX417</f>
        <v>0</v>
      </c>
      <c r="AW417" s="27">
        <f>E417*AO417</f>
        <v>0</v>
      </c>
      <c r="AX417" s="27">
        <f>E417*AP417</f>
        <v>0</v>
      </c>
      <c r="AY417" s="28" t="s">
        <v>1086</v>
      </c>
      <c r="AZ417" s="28" t="s">
        <v>1104</v>
      </c>
      <c r="BA417" s="20" t="s">
        <v>1106</v>
      </c>
      <c r="BC417" s="27">
        <f>AW417+AX417</f>
        <v>0</v>
      </c>
      <c r="BD417" s="27">
        <f>F417/(100-BE417)*100</f>
        <v>0</v>
      </c>
      <c r="BE417" s="27">
        <v>0</v>
      </c>
      <c r="BF417" s="27">
        <f>K417</f>
        <v>0.00954</v>
      </c>
      <c r="BH417" s="13">
        <f>E417*AO417</f>
        <v>0</v>
      </c>
      <c r="BI417" s="13">
        <f>E417*AP417</f>
        <v>0</v>
      </c>
      <c r="BJ417" s="13">
        <f>E417*F417</f>
        <v>0</v>
      </c>
    </row>
    <row r="418" spans="1:62" ht="12.75">
      <c r="A418" s="107"/>
      <c r="B418" s="108"/>
      <c r="C418" s="99" t="s">
        <v>1794</v>
      </c>
      <c r="D418" s="205"/>
      <c r="E418" s="110"/>
      <c r="F418" s="132"/>
      <c r="G418" s="139"/>
      <c r="H418" s="110"/>
      <c r="I418" s="140"/>
      <c r="J418" s="213"/>
      <c r="K418" s="214"/>
      <c r="L418" s="150"/>
      <c r="Z418" s="27"/>
      <c r="AB418" s="27"/>
      <c r="AC418" s="27"/>
      <c r="AD418" s="27"/>
      <c r="AE418" s="27"/>
      <c r="AF418" s="27"/>
      <c r="AG418" s="27"/>
      <c r="AH418" s="27"/>
      <c r="AI418" s="20"/>
      <c r="AJ418" s="13"/>
      <c r="AK418" s="13"/>
      <c r="AL418" s="13"/>
      <c r="AN418" s="27"/>
      <c r="AO418" s="27"/>
      <c r="AP418" s="27"/>
      <c r="AQ418" s="23"/>
      <c r="AV418" s="27"/>
      <c r="AW418" s="27"/>
      <c r="AX418" s="27"/>
      <c r="AY418" s="28"/>
      <c r="AZ418" s="28"/>
      <c r="BA418" s="20"/>
      <c r="BC418" s="27"/>
      <c r="BD418" s="27"/>
      <c r="BE418" s="27"/>
      <c r="BF418" s="27"/>
      <c r="BH418" s="13"/>
      <c r="BI418" s="13"/>
      <c r="BJ418" s="13"/>
    </row>
    <row r="419" spans="1:62" ht="12.75">
      <c r="A419" s="107" t="s">
        <v>196</v>
      </c>
      <c r="B419" s="108" t="s">
        <v>517</v>
      </c>
      <c r="C419" s="109" t="s">
        <v>871</v>
      </c>
      <c r="D419" s="205" t="s">
        <v>1007</v>
      </c>
      <c r="E419" s="110">
        <v>6</v>
      </c>
      <c r="F419" s="132">
        <v>0</v>
      </c>
      <c r="G419" s="139">
        <f>E419*AO419</f>
        <v>0</v>
      </c>
      <c r="H419" s="110">
        <f>E419*AP419</f>
        <v>0</v>
      </c>
      <c r="I419" s="140">
        <f>E419*F419</f>
        <v>0</v>
      </c>
      <c r="J419" s="213">
        <v>0</v>
      </c>
      <c r="K419" s="214">
        <f>E419*J419</f>
        <v>0</v>
      </c>
      <c r="L419" s="150" t="s">
        <v>1039</v>
      </c>
      <c r="Z419" s="27">
        <f>IF(AQ419="5",BJ419,0)</f>
        <v>0</v>
      </c>
      <c r="AB419" s="27">
        <f>IF(AQ419="1",BH419,0)</f>
        <v>0</v>
      </c>
      <c r="AC419" s="27">
        <f>IF(AQ419="1",BI419,0)</f>
        <v>0</v>
      </c>
      <c r="AD419" s="27">
        <f>IF(AQ419="7",BH419,0)</f>
        <v>0</v>
      </c>
      <c r="AE419" s="27">
        <f>IF(AQ419="7",BI419,0)</f>
        <v>0</v>
      </c>
      <c r="AF419" s="27">
        <f>IF(AQ419="2",BH419,0)</f>
        <v>0</v>
      </c>
      <c r="AG419" s="27">
        <f>IF(AQ419="2",BI419,0)</f>
        <v>0</v>
      </c>
      <c r="AH419" s="27">
        <f>IF(AQ419="0",BJ419,0)</f>
        <v>0</v>
      </c>
      <c r="AI419" s="20"/>
      <c r="AJ419" s="13">
        <f>IF(AN419=0,I419,0)</f>
        <v>0</v>
      </c>
      <c r="AK419" s="13">
        <f>IF(AN419=15,I419,0)</f>
        <v>0</v>
      </c>
      <c r="AL419" s="13">
        <f>IF(AN419=21,I419,0)</f>
        <v>0</v>
      </c>
      <c r="AN419" s="27">
        <v>21</v>
      </c>
      <c r="AO419" s="27">
        <f>F419*0.514823749124582</f>
        <v>0</v>
      </c>
      <c r="AP419" s="27">
        <f>F419*(1-0.514823749124582)</f>
        <v>0</v>
      </c>
      <c r="AQ419" s="23" t="s">
        <v>7</v>
      </c>
      <c r="AV419" s="27">
        <f>AW419+AX419</f>
        <v>0</v>
      </c>
      <c r="AW419" s="27">
        <f>E419*AO419</f>
        <v>0</v>
      </c>
      <c r="AX419" s="27">
        <f>E419*AP419</f>
        <v>0</v>
      </c>
      <c r="AY419" s="28" t="s">
        <v>1086</v>
      </c>
      <c r="AZ419" s="28" t="s">
        <v>1104</v>
      </c>
      <c r="BA419" s="20" t="s">
        <v>1106</v>
      </c>
      <c r="BC419" s="27">
        <f>AW419+AX419</f>
        <v>0</v>
      </c>
      <c r="BD419" s="27">
        <f>F419/(100-BE419)*100</f>
        <v>0</v>
      </c>
      <c r="BE419" s="27">
        <v>0</v>
      </c>
      <c r="BF419" s="27">
        <f>K419</f>
        <v>0</v>
      </c>
      <c r="BH419" s="13">
        <f>E419*AO419</f>
        <v>0</v>
      </c>
      <c r="BI419" s="13">
        <f>E419*AP419</f>
        <v>0</v>
      </c>
      <c r="BJ419" s="13">
        <f>E419*F419</f>
        <v>0</v>
      </c>
    </row>
    <row r="420" spans="1:62" ht="12.75">
      <c r="A420" s="107"/>
      <c r="B420" s="108"/>
      <c r="C420" s="99" t="s">
        <v>1795</v>
      </c>
      <c r="D420" s="205"/>
      <c r="E420" s="110"/>
      <c r="F420" s="132"/>
      <c r="G420" s="139"/>
      <c r="H420" s="110"/>
      <c r="I420" s="140"/>
      <c r="J420" s="213"/>
      <c r="K420" s="214"/>
      <c r="L420" s="150"/>
      <c r="Z420" s="27"/>
      <c r="AB420" s="27"/>
      <c r="AC420" s="27"/>
      <c r="AD420" s="27"/>
      <c r="AE420" s="27"/>
      <c r="AF420" s="27"/>
      <c r="AG420" s="27"/>
      <c r="AH420" s="27"/>
      <c r="AI420" s="20"/>
      <c r="AJ420" s="13"/>
      <c r="AK420" s="13"/>
      <c r="AL420" s="13"/>
      <c r="AN420" s="27"/>
      <c r="AO420" s="27"/>
      <c r="AP420" s="27"/>
      <c r="AQ420" s="23"/>
      <c r="AV420" s="27"/>
      <c r="AW420" s="27"/>
      <c r="AX420" s="27"/>
      <c r="AY420" s="28"/>
      <c r="AZ420" s="28"/>
      <c r="BA420" s="20"/>
      <c r="BC420" s="27"/>
      <c r="BD420" s="27"/>
      <c r="BE420" s="27"/>
      <c r="BF420" s="27"/>
      <c r="BH420" s="13"/>
      <c r="BI420" s="13"/>
      <c r="BJ420" s="13"/>
    </row>
    <row r="421" spans="1:62" ht="12.75">
      <c r="A421" s="107" t="s">
        <v>197</v>
      </c>
      <c r="B421" s="108" t="s">
        <v>518</v>
      </c>
      <c r="C421" s="109" t="s">
        <v>872</v>
      </c>
      <c r="D421" s="205" t="s">
        <v>1007</v>
      </c>
      <c r="E421" s="110">
        <v>4</v>
      </c>
      <c r="F421" s="132">
        <v>0</v>
      </c>
      <c r="G421" s="139">
        <f>E421*AO421</f>
        <v>0</v>
      </c>
      <c r="H421" s="110">
        <f>E421*AP421</f>
        <v>0</v>
      </c>
      <c r="I421" s="140">
        <f>E421*F421</f>
        <v>0</v>
      </c>
      <c r="J421" s="213">
        <v>0</v>
      </c>
      <c r="K421" s="214">
        <f>E421*J421</f>
        <v>0</v>
      </c>
      <c r="L421" s="150" t="s">
        <v>1039</v>
      </c>
      <c r="Z421" s="27">
        <f>IF(AQ421="5",BJ421,0)</f>
        <v>0</v>
      </c>
      <c r="AB421" s="27">
        <f>IF(AQ421="1",BH421,0)</f>
        <v>0</v>
      </c>
      <c r="AC421" s="27">
        <f>IF(AQ421="1",BI421,0)</f>
        <v>0</v>
      </c>
      <c r="AD421" s="27">
        <f>IF(AQ421="7",BH421,0)</f>
        <v>0</v>
      </c>
      <c r="AE421" s="27">
        <f>IF(AQ421="7",BI421,0)</f>
        <v>0</v>
      </c>
      <c r="AF421" s="27">
        <f>IF(AQ421="2",BH421,0)</f>
        <v>0</v>
      </c>
      <c r="AG421" s="27">
        <f>IF(AQ421="2",BI421,0)</f>
        <v>0</v>
      </c>
      <c r="AH421" s="27">
        <f>IF(AQ421="0",BJ421,0)</f>
        <v>0</v>
      </c>
      <c r="AI421" s="20"/>
      <c r="AJ421" s="13">
        <f>IF(AN421=0,I421,0)</f>
        <v>0</v>
      </c>
      <c r="AK421" s="13">
        <f>IF(AN421=15,I421,0)</f>
        <v>0</v>
      </c>
      <c r="AL421" s="13">
        <f>IF(AN421=21,I421,0)</f>
        <v>0</v>
      </c>
      <c r="AN421" s="27">
        <v>21</v>
      </c>
      <c r="AO421" s="27">
        <f>F421*0.530924459789273</f>
        <v>0</v>
      </c>
      <c r="AP421" s="27">
        <f>F421*(1-0.530924459789273)</f>
        <v>0</v>
      </c>
      <c r="AQ421" s="23" t="s">
        <v>7</v>
      </c>
      <c r="AV421" s="27">
        <f>AW421+AX421</f>
        <v>0</v>
      </c>
      <c r="AW421" s="27">
        <f>E421*AO421</f>
        <v>0</v>
      </c>
      <c r="AX421" s="27">
        <f>E421*AP421</f>
        <v>0</v>
      </c>
      <c r="AY421" s="28" t="s">
        <v>1086</v>
      </c>
      <c r="AZ421" s="28" t="s">
        <v>1104</v>
      </c>
      <c r="BA421" s="20" t="s">
        <v>1106</v>
      </c>
      <c r="BC421" s="27">
        <f>AW421+AX421</f>
        <v>0</v>
      </c>
      <c r="BD421" s="27">
        <f>F421/(100-BE421)*100</f>
        <v>0</v>
      </c>
      <c r="BE421" s="27">
        <v>0</v>
      </c>
      <c r="BF421" s="27">
        <f>K421</f>
        <v>0</v>
      </c>
      <c r="BH421" s="13">
        <f>E421*AO421</f>
        <v>0</v>
      </c>
      <c r="BI421" s="13">
        <f>E421*AP421</f>
        <v>0</v>
      </c>
      <c r="BJ421" s="13">
        <f>E421*F421</f>
        <v>0</v>
      </c>
    </row>
    <row r="422" spans="1:62" ht="12.75">
      <c r="A422" s="107"/>
      <c r="B422" s="108"/>
      <c r="C422" s="99" t="s">
        <v>1796</v>
      </c>
      <c r="D422" s="205"/>
      <c r="E422" s="110"/>
      <c r="F422" s="132"/>
      <c r="G422" s="139"/>
      <c r="H422" s="110"/>
      <c r="I422" s="140"/>
      <c r="J422" s="213"/>
      <c r="K422" s="214"/>
      <c r="L422" s="150"/>
      <c r="Z422" s="27"/>
      <c r="AB422" s="27"/>
      <c r="AC422" s="27"/>
      <c r="AD422" s="27"/>
      <c r="AE422" s="27"/>
      <c r="AF422" s="27"/>
      <c r="AG422" s="27"/>
      <c r="AH422" s="27"/>
      <c r="AI422" s="20"/>
      <c r="AJ422" s="13"/>
      <c r="AK422" s="13"/>
      <c r="AL422" s="13"/>
      <c r="AN422" s="27"/>
      <c r="AO422" s="27"/>
      <c r="AP422" s="27"/>
      <c r="AQ422" s="23"/>
      <c r="AV422" s="27"/>
      <c r="AW422" s="27"/>
      <c r="AX422" s="27"/>
      <c r="AY422" s="28"/>
      <c r="AZ422" s="28"/>
      <c r="BA422" s="20"/>
      <c r="BC422" s="27"/>
      <c r="BD422" s="27"/>
      <c r="BE422" s="27"/>
      <c r="BF422" s="27"/>
      <c r="BH422" s="13"/>
      <c r="BI422" s="13"/>
      <c r="BJ422" s="13"/>
    </row>
    <row r="423" spans="1:47" ht="12.75">
      <c r="A423" s="111"/>
      <c r="B423" s="112" t="s">
        <v>102</v>
      </c>
      <c r="C423" s="113" t="s">
        <v>873</v>
      </c>
      <c r="D423" s="206" t="s">
        <v>6</v>
      </c>
      <c r="E423" s="114" t="s">
        <v>6</v>
      </c>
      <c r="F423" s="133" t="s">
        <v>6</v>
      </c>
      <c r="G423" s="141">
        <f>SUM(G424:G438)</f>
        <v>0</v>
      </c>
      <c r="H423" s="115">
        <f>SUM(H424:H438)</f>
        <v>0</v>
      </c>
      <c r="I423" s="142">
        <f>SUM(I424:I438)</f>
        <v>0</v>
      </c>
      <c r="J423" s="215"/>
      <c r="K423" s="216">
        <f>SUM(K424:K438)</f>
        <v>39.946851679999995</v>
      </c>
      <c r="L423" s="151"/>
      <c r="AI423" s="20"/>
      <c r="AS423" s="29">
        <f>SUM(AJ424:AJ438)</f>
        <v>0</v>
      </c>
      <c r="AT423" s="29">
        <f>SUM(AK424:AK438)</f>
        <v>0</v>
      </c>
      <c r="AU423" s="29">
        <f>SUM(AL424:AL438)</f>
        <v>0</v>
      </c>
    </row>
    <row r="424" spans="1:62" ht="12.75">
      <c r="A424" s="107" t="s">
        <v>198</v>
      </c>
      <c r="B424" s="108" t="s">
        <v>519</v>
      </c>
      <c r="C424" s="109" t="s">
        <v>874</v>
      </c>
      <c r="D424" s="205" t="s">
        <v>1006</v>
      </c>
      <c r="E424" s="110">
        <f>+E425</f>
        <v>18.380999999999997</v>
      </c>
      <c r="F424" s="132">
        <v>0</v>
      </c>
      <c r="G424" s="139">
        <f aca="true" t="shared" si="200" ref="G424:G438">E424*AO424</f>
        <v>0</v>
      </c>
      <c r="H424" s="110">
        <f aca="true" t="shared" si="201" ref="H424:H438">E424*AP424</f>
        <v>0</v>
      </c>
      <c r="I424" s="140">
        <f aca="true" t="shared" si="202" ref="I424:I438">E424*F424</f>
        <v>0</v>
      </c>
      <c r="J424" s="213">
        <v>1.80128</v>
      </c>
      <c r="K424" s="214">
        <f aca="true" t="shared" si="203" ref="K424:K438">E424*J424</f>
        <v>33.10932767999999</v>
      </c>
      <c r="L424" s="150" t="s">
        <v>1039</v>
      </c>
      <c r="Z424" s="27">
        <f aca="true" t="shared" si="204" ref="Z424:Z438">IF(AQ424="5",BJ424,0)</f>
        <v>0</v>
      </c>
      <c r="AB424" s="27">
        <f aca="true" t="shared" si="205" ref="AB424:AB438">IF(AQ424="1",BH424,0)</f>
        <v>0</v>
      </c>
      <c r="AC424" s="27">
        <f aca="true" t="shared" si="206" ref="AC424:AC438">IF(AQ424="1",BI424,0)</f>
        <v>0</v>
      </c>
      <c r="AD424" s="27">
        <f aca="true" t="shared" si="207" ref="AD424:AD438">IF(AQ424="7",BH424,0)</f>
        <v>0</v>
      </c>
      <c r="AE424" s="27">
        <f aca="true" t="shared" si="208" ref="AE424:AE438">IF(AQ424="7",BI424,0)</f>
        <v>0</v>
      </c>
      <c r="AF424" s="27">
        <f aca="true" t="shared" si="209" ref="AF424:AF438">IF(AQ424="2",BH424,0)</f>
        <v>0</v>
      </c>
      <c r="AG424" s="27">
        <f aca="true" t="shared" si="210" ref="AG424:AG438">IF(AQ424="2",BI424,0)</f>
        <v>0</v>
      </c>
      <c r="AH424" s="27">
        <f aca="true" t="shared" si="211" ref="AH424:AH438">IF(AQ424="0",BJ424,0)</f>
        <v>0</v>
      </c>
      <c r="AI424" s="20"/>
      <c r="AJ424" s="13">
        <f aca="true" t="shared" si="212" ref="AJ424:AJ438">IF(AN424=0,I424,0)</f>
        <v>0</v>
      </c>
      <c r="AK424" s="13">
        <f aca="true" t="shared" si="213" ref="AK424:AK438">IF(AN424=15,I424,0)</f>
        <v>0</v>
      </c>
      <c r="AL424" s="13">
        <f aca="true" t="shared" si="214" ref="AL424:AL438">IF(AN424=21,I424,0)</f>
        <v>0</v>
      </c>
      <c r="AN424" s="27">
        <v>21</v>
      </c>
      <c r="AO424" s="27">
        <f>F424*0.0363940446840827</f>
        <v>0</v>
      </c>
      <c r="AP424" s="27">
        <f>F424*(1-0.0363940446840827)</f>
        <v>0</v>
      </c>
      <c r="AQ424" s="23" t="s">
        <v>7</v>
      </c>
      <c r="AV424" s="27">
        <f aca="true" t="shared" si="215" ref="AV424:AV438">AW424+AX424</f>
        <v>0</v>
      </c>
      <c r="AW424" s="27">
        <f aca="true" t="shared" si="216" ref="AW424:AW438">E424*AO424</f>
        <v>0</v>
      </c>
      <c r="AX424" s="27">
        <f aca="true" t="shared" si="217" ref="AX424:AX438">E424*AP424</f>
        <v>0</v>
      </c>
      <c r="AY424" s="28" t="s">
        <v>1087</v>
      </c>
      <c r="AZ424" s="28" t="s">
        <v>1104</v>
      </c>
      <c r="BA424" s="20" t="s">
        <v>1106</v>
      </c>
      <c r="BC424" s="27">
        <f aca="true" t="shared" si="218" ref="BC424:BC438">AW424+AX424</f>
        <v>0</v>
      </c>
      <c r="BD424" s="27">
        <f aca="true" t="shared" si="219" ref="BD424:BD438">F424/(100-BE424)*100</f>
        <v>0</v>
      </c>
      <c r="BE424" s="27">
        <v>0</v>
      </c>
      <c r="BF424" s="27">
        <f aca="true" t="shared" si="220" ref="BF424:BF438">K424</f>
        <v>33.10932767999999</v>
      </c>
      <c r="BH424" s="13">
        <f aca="true" t="shared" si="221" ref="BH424:BH438">E424*AO424</f>
        <v>0</v>
      </c>
      <c r="BI424" s="13">
        <f aca="true" t="shared" si="222" ref="BI424:BI438">E424*AP424</f>
        <v>0</v>
      </c>
      <c r="BJ424" s="13">
        <f aca="true" t="shared" si="223" ref="BJ424:BJ438">E424*F424</f>
        <v>0</v>
      </c>
    </row>
    <row r="425" spans="1:62" ht="25.5">
      <c r="A425" s="107"/>
      <c r="B425" s="108"/>
      <c r="C425" s="99" t="s">
        <v>1797</v>
      </c>
      <c r="D425" s="100" t="s">
        <v>1006</v>
      </c>
      <c r="E425" s="101">
        <f>+(4.1*2+2.5*2)*1*0.3+(4.1*3+(2.5+2.75)*2)*0.25*2.53</f>
        <v>18.380999999999997</v>
      </c>
      <c r="F425" s="132"/>
      <c r="G425" s="139"/>
      <c r="H425" s="110"/>
      <c r="I425" s="140"/>
      <c r="J425" s="213"/>
      <c r="K425" s="214"/>
      <c r="L425" s="150"/>
      <c r="Z425" s="27"/>
      <c r="AB425" s="27"/>
      <c r="AC425" s="27"/>
      <c r="AD425" s="27"/>
      <c r="AE425" s="27"/>
      <c r="AF425" s="27"/>
      <c r="AG425" s="27"/>
      <c r="AH425" s="27"/>
      <c r="AI425" s="20"/>
      <c r="AJ425" s="13"/>
      <c r="AK425" s="13"/>
      <c r="AL425" s="13"/>
      <c r="AN425" s="27"/>
      <c r="AO425" s="27"/>
      <c r="AP425" s="27"/>
      <c r="AQ425" s="23"/>
      <c r="AV425" s="27"/>
      <c r="AW425" s="27"/>
      <c r="AX425" s="27"/>
      <c r="AY425" s="28"/>
      <c r="AZ425" s="28"/>
      <c r="BA425" s="20"/>
      <c r="BC425" s="27"/>
      <c r="BD425" s="27"/>
      <c r="BE425" s="27"/>
      <c r="BF425" s="27"/>
      <c r="BH425" s="13"/>
      <c r="BI425" s="13"/>
      <c r="BJ425" s="13"/>
    </row>
    <row r="426" spans="1:62" ht="12.75">
      <c r="A426" s="107" t="s">
        <v>199</v>
      </c>
      <c r="B426" s="108" t="s">
        <v>520</v>
      </c>
      <c r="C426" s="109" t="s">
        <v>875</v>
      </c>
      <c r="D426" s="205" t="s">
        <v>1006</v>
      </c>
      <c r="E426" s="110">
        <f>+E427</f>
        <v>1.1969999999999998</v>
      </c>
      <c r="F426" s="132">
        <v>0</v>
      </c>
      <c r="G426" s="139">
        <f t="shared" si="200"/>
        <v>0</v>
      </c>
      <c r="H426" s="110">
        <f t="shared" si="201"/>
        <v>0</v>
      </c>
      <c r="I426" s="140">
        <f t="shared" si="202"/>
        <v>0</v>
      </c>
      <c r="J426" s="213">
        <v>0.57</v>
      </c>
      <c r="K426" s="214">
        <f t="shared" si="203"/>
        <v>0.6822899999999998</v>
      </c>
      <c r="L426" s="150" t="s">
        <v>1039</v>
      </c>
      <c r="Z426" s="27">
        <f t="shared" si="204"/>
        <v>0</v>
      </c>
      <c r="AB426" s="27">
        <f t="shared" si="205"/>
        <v>0</v>
      </c>
      <c r="AC426" s="27">
        <f t="shared" si="206"/>
        <v>0</v>
      </c>
      <c r="AD426" s="27">
        <f t="shared" si="207"/>
        <v>0</v>
      </c>
      <c r="AE426" s="27">
        <f t="shared" si="208"/>
        <v>0</v>
      </c>
      <c r="AF426" s="27">
        <f t="shared" si="209"/>
        <v>0</v>
      </c>
      <c r="AG426" s="27">
        <f t="shared" si="210"/>
        <v>0</v>
      </c>
      <c r="AH426" s="27">
        <f t="shared" si="211"/>
        <v>0</v>
      </c>
      <c r="AI426" s="20"/>
      <c r="AJ426" s="13">
        <f t="shared" si="212"/>
        <v>0</v>
      </c>
      <c r="AK426" s="13">
        <f t="shared" si="213"/>
        <v>0</v>
      </c>
      <c r="AL426" s="13">
        <f t="shared" si="214"/>
        <v>0</v>
      </c>
      <c r="AN426" s="27">
        <v>21</v>
      </c>
      <c r="AO426" s="27">
        <f>F426*0</f>
        <v>0</v>
      </c>
      <c r="AP426" s="27">
        <f>F426*(1-0)</f>
        <v>0</v>
      </c>
      <c r="AQ426" s="23" t="s">
        <v>7</v>
      </c>
      <c r="AV426" s="27">
        <f t="shared" si="215"/>
        <v>0</v>
      </c>
      <c r="AW426" s="27">
        <f t="shared" si="216"/>
        <v>0</v>
      </c>
      <c r="AX426" s="27">
        <f t="shared" si="217"/>
        <v>0</v>
      </c>
      <c r="AY426" s="28" t="s">
        <v>1087</v>
      </c>
      <c r="AZ426" s="28" t="s">
        <v>1104</v>
      </c>
      <c r="BA426" s="20" t="s">
        <v>1106</v>
      </c>
      <c r="BC426" s="27">
        <f t="shared" si="218"/>
        <v>0</v>
      </c>
      <c r="BD426" s="27">
        <f t="shared" si="219"/>
        <v>0</v>
      </c>
      <c r="BE426" s="27">
        <v>0</v>
      </c>
      <c r="BF426" s="27">
        <f t="shared" si="220"/>
        <v>0.6822899999999998</v>
      </c>
      <c r="BH426" s="13">
        <f t="shared" si="221"/>
        <v>0</v>
      </c>
      <c r="BI426" s="13">
        <f t="shared" si="222"/>
        <v>0</v>
      </c>
      <c r="BJ426" s="13">
        <f t="shared" si="223"/>
        <v>0</v>
      </c>
    </row>
    <row r="427" spans="1:62" ht="25.5">
      <c r="A427" s="107"/>
      <c r="B427" s="108"/>
      <c r="C427" s="99" t="s">
        <v>1798</v>
      </c>
      <c r="D427" s="100" t="s">
        <v>1006</v>
      </c>
      <c r="E427" s="101">
        <f>+(4.1*4+3.1*2+3*2+2*2*3+(3.2+1)*3)*0.15*0.15</f>
        <v>1.1969999999999998</v>
      </c>
      <c r="F427" s="132"/>
      <c r="G427" s="139"/>
      <c r="H427" s="110"/>
      <c r="I427" s="140"/>
      <c r="J427" s="213"/>
      <c r="K427" s="214"/>
      <c r="L427" s="150"/>
      <c r="Z427" s="27"/>
      <c r="AB427" s="27"/>
      <c r="AC427" s="27"/>
      <c r="AD427" s="27"/>
      <c r="AE427" s="27"/>
      <c r="AF427" s="27"/>
      <c r="AG427" s="27"/>
      <c r="AH427" s="27"/>
      <c r="AI427" s="20"/>
      <c r="AJ427" s="13"/>
      <c r="AK427" s="13"/>
      <c r="AL427" s="13"/>
      <c r="AN427" s="27"/>
      <c r="AO427" s="27"/>
      <c r="AP427" s="27"/>
      <c r="AQ427" s="23"/>
      <c r="AV427" s="27"/>
      <c r="AW427" s="27"/>
      <c r="AX427" s="27"/>
      <c r="AY427" s="28"/>
      <c r="AZ427" s="28"/>
      <c r="BA427" s="20"/>
      <c r="BC427" s="27"/>
      <c r="BD427" s="27"/>
      <c r="BE427" s="27"/>
      <c r="BF427" s="27"/>
      <c r="BH427" s="13"/>
      <c r="BI427" s="13"/>
      <c r="BJ427" s="13"/>
    </row>
    <row r="428" spans="1:62" ht="12.75">
      <c r="A428" s="107" t="s">
        <v>200</v>
      </c>
      <c r="B428" s="108" t="s">
        <v>521</v>
      </c>
      <c r="C428" s="109" t="s">
        <v>876</v>
      </c>
      <c r="D428" s="205" t="s">
        <v>1005</v>
      </c>
      <c r="E428" s="110">
        <f>+E429</f>
        <v>8.75</v>
      </c>
      <c r="F428" s="132">
        <v>0</v>
      </c>
      <c r="G428" s="139">
        <f t="shared" si="200"/>
        <v>0</v>
      </c>
      <c r="H428" s="110">
        <f t="shared" si="201"/>
        <v>0</v>
      </c>
      <c r="I428" s="140">
        <f t="shared" si="202"/>
        <v>0</v>
      </c>
      <c r="J428" s="213">
        <v>0.27892</v>
      </c>
      <c r="K428" s="214">
        <f t="shared" si="203"/>
        <v>2.44055</v>
      </c>
      <c r="L428" s="150" t="s">
        <v>1039</v>
      </c>
      <c r="Z428" s="27">
        <f t="shared" si="204"/>
        <v>0</v>
      </c>
      <c r="AB428" s="27">
        <f t="shared" si="205"/>
        <v>0</v>
      </c>
      <c r="AC428" s="27">
        <f t="shared" si="206"/>
        <v>0</v>
      </c>
      <c r="AD428" s="27">
        <f t="shared" si="207"/>
        <v>0</v>
      </c>
      <c r="AE428" s="27">
        <f t="shared" si="208"/>
        <v>0</v>
      </c>
      <c r="AF428" s="27">
        <f t="shared" si="209"/>
        <v>0</v>
      </c>
      <c r="AG428" s="27">
        <f t="shared" si="210"/>
        <v>0</v>
      </c>
      <c r="AH428" s="27">
        <f t="shared" si="211"/>
        <v>0</v>
      </c>
      <c r="AI428" s="20"/>
      <c r="AJ428" s="13">
        <f t="shared" si="212"/>
        <v>0</v>
      </c>
      <c r="AK428" s="13">
        <f t="shared" si="213"/>
        <v>0</v>
      </c>
      <c r="AL428" s="13">
        <f t="shared" si="214"/>
        <v>0</v>
      </c>
      <c r="AN428" s="27">
        <v>21</v>
      </c>
      <c r="AO428" s="27">
        <f>F428*0.0303965021562051</f>
        <v>0</v>
      </c>
      <c r="AP428" s="27">
        <f>F428*(1-0.0303965021562051)</f>
        <v>0</v>
      </c>
      <c r="AQ428" s="23" t="s">
        <v>7</v>
      </c>
      <c r="AV428" s="27">
        <f t="shared" si="215"/>
        <v>0</v>
      </c>
      <c r="AW428" s="27">
        <f t="shared" si="216"/>
        <v>0</v>
      </c>
      <c r="AX428" s="27">
        <f t="shared" si="217"/>
        <v>0</v>
      </c>
      <c r="AY428" s="28" t="s">
        <v>1087</v>
      </c>
      <c r="AZ428" s="28" t="s">
        <v>1104</v>
      </c>
      <c r="BA428" s="20" t="s">
        <v>1106</v>
      </c>
      <c r="BC428" s="27">
        <f t="shared" si="218"/>
        <v>0</v>
      </c>
      <c r="BD428" s="27">
        <f t="shared" si="219"/>
        <v>0</v>
      </c>
      <c r="BE428" s="27">
        <v>0</v>
      </c>
      <c r="BF428" s="27">
        <f t="shared" si="220"/>
        <v>2.44055</v>
      </c>
      <c r="BH428" s="13">
        <f t="shared" si="221"/>
        <v>0</v>
      </c>
      <c r="BI428" s="13">
        <f t="shared" si="222"/>
        <v>0</v>
      </c>
      <c r="BJ428" s="13">
        <f t="shared" si="223"/>
        <v>0</v>
      </c>
    </row>
    <row r="429" spans="1:62" ht="12.75">
      <c r="A429" s="107"/>
      <c r="B429" s="108"/>
      <c r="C429" s="99" t="s">
        <v>1799</v>
      </c>
      <c r="D429" s="100" t="s">
        <v>1005</v>
      </c>
      <c r="E429" s="101">
        <f>3.5*2.5</f>
        <v>8.75</v>
      </c>
      <c r="F429" s="132"/>
      <c r="G429" s="139"/>
      <c r="H429" s="110"/>
      <c r="I429" s="140"/>
      <c r="J429" s="213"/>
      <c r="K429" s="214"/>
      <c r="L429" s="150"/>
      <c r="Z429" s="27"/>
      <c r="AB429" s="27"/>
      <c r="AC429" s="27"/>
      <c r="AD429" s="27"/>
      <c r="AE429" s="27"/>
      <c r="AF429" s="27"/>
      <c r="AG429" s="27"/>
      <c r="AH429" s="27"/>
      <c r="AI429" s="20"/>
      <c r="AJ429" s="13"/>
      <c r="AK429" s="13"/>
      <c r="AL429" s="13"/>
      <c r="AN429" s="27"/>
      <c r="AO429" s="27"/>
      <c r="AP429" s="27"/>
      <c r="AQ429" s="23"/>
      <c r="AV429" s="27"/>
      <c r="AW429" s="27"/>
      <c r="AX429" s="27"/>
      <c r="AY429" s="28"/>
      <c r="AZ429" s="28"/>
      <c r="BA429" s="20"/>
      <c r="BC429" s="27"/>
      <c r="BD429" s="27"/>
      <c r="BE429" s="27"/>
      <c r="BF429" s="27"/>
      <c r="BH429" s="13"/>
      <c r="BI429" s="13"/>
      <c r="BJ429" s="13"/>
    </row>
    <row r="430" spans="1:62" ht="12.75">
      <c r="A430" s="107" t="s">
        <v>201</v>
      </c>
      <c r="B430" s="108" t="s">
        <v>522</v>
      </c>
      <c r="C430" s="109" t="s">
        <v>877</v>
      </c>
      <c r="D430" s="205" t="s">
        <v>1007</v>
      </c>
      <c r="E430" s="110">
        <f>+E431</f>
        <v>73</v>
      </c>
      <c r="F430" s="132">
        <v>0</v>
      </c>
      <c r="G430" s="139">
        <f t="shared" si="200"/>
        <v>0</v>
      </c>
      <c r="H430" s="110">
        <f t="shared" si="201"/>
        <v>0</v>
      </c>
      <c r="I430" s="140">
        <f t="shared" si="202"/>
        <v>0</v>
      </c>
      <c r="J430" s="213">
        <v>0.031</v>
      </c>
      <c r="K430" s="214">
        <f t="shared" si="203"/>
        <v>2.263</v>
      </c>
      <c r="L430" s="150" t="s">
        <v>1039</v>
      </c>
      <c r="Z430" s="27">
        <f t="shared" si="204"/>
        <v>0</v>
      </c>
      <c r="AB430" s="27">
        <f t="shared" si="205"/>
        <v>0</v>
      </c>
      <c r="AC430" s="27">
        <f t="shared" si="206"/>
        <v>0</v>
      </c>
      <c r="AD430" s="27">
        <f t="shared" si="207"/>
        <v>0</v>
      </c>
      <c r="AE430" s="27">
        <f t="shared" si="208"/>
        <v>0</v>
      </c>
      <c r="AF430" s="27">
        <f t="shared" si="209"/>
        <v>0</v>
      </c>
      <c r="AG430" s="27">
        <f t="shared" si="210"/>
        <v>0</v>
      </c>
      <c r="AH430" s="27">
        <f t="shared" si="211"/>
        <v>0</v>
      </c>
      <c r="AI430" s="20"/>
      <c r="AJ430" s="13">
        <f t="shared" si="212"/>
        <v>0</v>
      </c>
      <c r="AK430" s="13">
        <f t="shared" si="213"/>
        <v>0</v>
      </c>
      <c r="AL430" s="13">
        <f t="shared" si="214"/>
        <v>0</v>
      </c>
      <c r="AN430" s="27">
        <v>21</v>
      </c>
      <c r="AO430" s="27">
        <f>F430*0</f>
        <v>0</v>
      </c>
      <c r="AP430" s="27">
        <f>F430*(1-0)</f>
        <v>0</v>
      </c>
      <c r="AQ430" s="23" t="s">
        <v>7</v>
      </c>
      <c r="AV430" s="27">
        <f t="shared" si="215"/>
        <v>0</v>
      </c>
      <c r="AW430" s="27">
        <f t="shared" si="216"/>
        <v>0</v>
      </c>
      <c r="AX430" s="27">
        <f t="shared" si="217"/>
        <v>0</v>
      </c>
      <c r="AY430" s="28" t="s">
        <v>1087</v>
      </c>
      <c r="AZ430" s="28" t="s">
        <v>1104</v>
      </c>
      <c r="BA430" s="20" t="s">
        <v>1106</v>
      </c>
      <c r="BC430" s="27">
        <f t="shared" si="218"/>
        <v>0</v>
      </c>
      <c r="BD430" s="27">
        <f t="shared" si="219"/>
        <v>0</v>
      </c>
      <c r="BE430" s="27">
        <v>0</v>
      </c>
      <c r="BF430" s="27">
        <f t="shared" si="220"/>
        <v>2.263</v>
      </c>
      <c r="BH430" s="13">
        <f t="shared" si="221"/>
        <v>0</v>
      </c>
      <c r="BI430" s="13">
        <f t="shared" si="222"/>
        <v>0</v>
      </c>
      <c r="BJ430" s="13">
        <f t="shared" si="223"/>
        <v>0</v>
      </c>
    </row>
    <row r="431" spans="1:62" ht="12.75">
      <c r="A431" s="107"/>
      <c r="B431" s="108"/>
      <c r="C431" s="99" t="s">
        <v>1800</v>
      </c>
      <c r="D431" s="100" t="s">
        <v>1007</v>
      </c>
      <c r="E431" s="101">
        <f>+(9*4+5+8*4)</f>
        <v>73</v>
      </c>
      <c r="F431" s="132"/>
      <c r="G431" s="139"/>
      <c r="H431" s="110"/>
      <c r="I431" s="140"/>
      <c r="J431" s="213"/>
      <c r="K431" s="214"/>
      <c r="L431" s="150"/>
      <c r="Z431" s="27"/>
      <c r="AB431" s="27"/>
      <c r="AC431" s="27"/>
      <c r="AD431" s="27"/>
      <c r="AE431" s="27"/>
      <c r="AF431" s="27"/>
      <c r="AG431" s="27"/>
      <c r="AH431" s="27"/>
      <c r="AI431" s="20"/>
      <c r="AJ431" s="13"/>
      <c r="AK431" s="13"/>
      <c r="AL431" s="13"/>
      <c r="AN431" s="27"/>
      <c r="AO431" s="27"/>
      <c r="AP431" s="27"/>
      <c r="AQ431" s="23"/>
      <c r="AV431" s="27"/>
      <c r="AW431" s="27"/>
      <c r="AX431" s="27"/>
      <c r="AY431" s="28"/>
      <c r="AZ431" s="28"/>
      <c r="BA431" s="20"/>
      <c r="BC431" s="27"/>
      <c r="BD431" s="27"/>
      <c r="BE431" s="27"/>
      <c r="BF431" s="27"/>
      <c r="BH431" s="13"/>
      <c r="BI431" s="13"/>
      <c r="BJ431" s="13"/>
    </row>
    <row r="432" spans="1:62" ht="12.75">
      <c r="A432" s="107" t="s">
        <v>202</v>
      </c>
      <c r="B432" s="108" t="s">
        <v>523</v>
      </c>
      <c r="C432" s="109" t="s">
        <v>878</v>
      </c>
      <c r="D432" s="205" t="s">
        <v>1007</v>
      </c>
      <c r="E432" s="110">
        <f>+E433</f>
        <v>18</v>
      </c>
      <c r="F432" s="132">
        <v>0</v>
      </c>
      <c r="G432" s="139">
        <f t="shared" si="200"/>
        <v>0</v>
      </c>
      <c r="H432" s="110">
        <f t="shared" si="201"/>
        <v>0</v>
      </c>
      <c r="I432" s="140">
        <f t="shared" si="202"/>
        <v>0</v>
      </c>
      <c r="J432" s="213">
        <v>0.06</v>
      </c>
      <c r="K432" s="214">
        <f t="shared" si="203"/>
        <v>1.08</v>
      </c>
      <c r="L432" s="150" t="s">
        <v>1039</v>
      </c>
      <c r="Z432" s="27">
        <f t="shared" si="204"/>
        <v>0</v>
      </c>
      <c r="AB432" s="27">
        <f t="shared" si="205"/>
        <v>0</v>
      </c>
      <c r="AC432" s="27">
        <f t="shared" si="206"/>
        <v>0</v>
      </c>
      <c r="AD432" s="27">
        <f t="shared" si="207"/>
        <v>0</v>
      </c>
      <c r="AE432" s="27">
        <f t="shared" si="208"/>
        <v>0</v>
      </c>
      <c r="AF432" s="27">
        <f t="shared" si="209"/>
        <v>0</v>
      </c>
      <c r="AG432" s="27">
        <f t="shared" si="210"/>
        <v>0</v>
      </c>
      <c r="AH432" s="27">
        <f t="shared" si="211"/>
        <v>0</v>
      </c>
      <c r="AI432" s="20"/>
      <c r="AJ432" s="13">
        <f t="shared" si="212"/>
        <v>0</v>
      </c>
      <c r="AK432" s="13">
        <f t="shared" si="213"/>
        <v>0</v>
      </c>
      <c r="AL432" s="13">
        <f t="shared" si="214"/>
        <v>0</v>
      </c>
      <c r="AN432" s="27">
        <v>21</v>
      </c>
      <c r="AO432" s="27">
        <f>F432*0</f>
        <v>0</v>
      </c>
      <c r="AP432" s="27">
        <f>F432*(1-0)</f>
        <v>0</v>
      </c>
      <c r="AQ432" s="23" t="s">
        <v>7</v>
      </c>
      <c r="AV432" s="27">
        <f t="shared" si="215"/>
        <v>0</v>
      </c>
      <c r="AW432" s="27">
        <f t="shared" si="216"/>
        <v>0</v>
      </c>
      <c r="AX432" s="27">
        <f t="shared" si="217"/>
        <v>0</v>
      </c>
      <c r="AY432" s="28" t="s">
        <v>1087</v>
      </c>
      <c r="AZ432" s="28" t="s">
        <v>1104</v>
      </c>
      <c r="BA432" s="20" t="s">
        <v>1106</v>
      </c>
      <c r="BC432" s="27">
        <f t="shared" si="218"/>
        <v>0</v>
      </c>
      <c r="BD432" s="27">
        <f t="shared" si="219"/>
        <v>0</v>
      </c>
      <c r="BE432" s="27">
        <v>0</v>
      </c>
      <c r="BF432" s="27">
        <f t="shared" si="220"/>
        <v>1.08</v>
      </c>
      <c r="BH432" s="13">
        <f t="shared" si="221"/>
        <v>0</v>
      </c>
      <c r="BI432" s="13">
        <f t="shared" si="222"/>
        <v>0</v>
      </c>
      <c r="BJ432" s="13">
        <f t="shared" si="223"/>
        <v>0</v>
      </c>
    </row>
    <row r="433" spans="1:62" ht="12.75">
      <c r="A433" s="107"/>
      <c r="B433" s="108"/>
      <c r="C433" s="99" t="s">
        <v>1802</v>
      </c>
      <c r="D433" s="100" t="s">
        <v>1007</v>
      </c>
      <c r="E433" s="101">
        <f>10+8</f>
        <v>18</v>
      </c>
      <c r="F433" s="132"/>
      <c r="G433" s="139"/>
      <c r="H433" s="110"/>
      <c r="I433" s="140"/>
      <c r="J433" s="213"/>
      <c r="K433" s="214"/>
      <c r="L433" s="150"/>
      <c r="Z433" s="27"/>
      <c r="AB433" s="27"/>
      <c r="AC433" s="27"/>
      <c r="AD433" s="27"/>
      <c r="AE433" s="27"/>
      <c r="AF433" s="27"/>
      <c r="AG433" s="27"/>
      <c r="AH433" s="27"/>
      <c r="AI433" s="20"/>
      <c r="AJ433" s="13"/>
      <c r="AK433" s="13"/>
      <c r="AL433" s="13"/>
      <c r="AN433" s="27"/>
      <c r="AO433" s="27"/>
      <c r="AP433" s="27"/>
      <c r="AQ433" s="23"/>
      <c r="AV433" s="27"/>
      <c r="AW433" s="27"/>
      <c r="AX433" s="27"/>
      <c r="AY433" s="28"/>
      <c r="AZ433" s="28"/>
      <c r="BA433" s="20"/>
      <c r="BC433" s="27"/>
      <c r="BD433" s="27"/>
      <c r="BE433" s="27"/>
      <c r="BF433" s="27"/>
      <c r="BH433" s="13"/>
      <c r="BI433" s="13"/>
      <c r="BJ433" s="13"/>
    </row>
    <row r="434" spans="1:62" ht="12.75">
      <c r="A434" s="107" t="s">
        <v>203</v>
      </c>
      <c r="B434" s="108" t="s">
        <v>524</v>
      </c>
      <c r="C434" s="109" t="s">
        <v>879</v>
      </c>
      <c r="D434" s="205" t="s">
        <v>1008</v>
      </c>
      <c r="E434" s="110">
        <f>+E435</f>
        <v>436</v>
      </c>
      <c r="F434" s="132">
        <v>0</v>
      </c>
      <c r="G434" s="139">
        <f t="shared" si="200"/>
        <v>0</v>
      </c>
      <c r="H434" s="110">
        <f t="shared" si="201"/>
        <v>0</v>
      </c>
      <c r="I434" s="140">
        <f t="shared" si="202"/>
        <v>0</v>
      </c>
      <c r="J434" s="213">
        <v>0</v>
      </c>
      <c r="K434" s="214">
        <f t="shared" si="203"/>
        <v>0</v>
      </c>
      <c r="L434" s="150" t="s">
        <v>1039</v>
      </c>
      <c r="Z434" s="27">
        <f t="shared" si="204"/>
        <v>0</v>
      </c>
      <c r="AB434" s="27">
        <f t="shared" si="205"/>
        <v>0</v>
      </c>
      <c r="AC434" s="27">
        <f t="shared" si="206"/>
        <v>0</v>
      </c>
      <c r="AD434" s="27">
        <f t="shared" si="207"/>
        <v>0</v>
      </c>
      <c r="AE434" s="27">
        <f t="shared" si="208"/>
        <v>0</v>
      </c>
      <c r="AF434" s="27">
        <f t="shared" si="209"/>
        <v>0</v>
      </c>
      <c r="AG434" s="27">
        <f t="shared" si="210"/>
        <v>0</v>
      </c>
      <c r="AH434" s="27">
        <f t="shared" si="211"/>
        <v>0</v>
      </c>
      <c r="AI434" s="20"/>
      <c r="AJ434" s="13">
        <f t="shared" si="212"/>
        <v>0</v>
      </c>
      <c r="AK434" s="13">
        <f t="shared" si="213"/>
        <v>0</v>
      </c>
      <c r="AL434" s="13">
        <f t="shared" si="214"/>
        <v>0</v>
      </c>
      <c r="AN434" s="27">
        <v>21</v>
      </c>
      <c r="AO434" s="27">
        <f>F434*0</f>
        <v>0</v>
      </c>
      <c r="AP434" s="27">
        <f>F434*(1-0)</f>
        <v>0</v>
      </c>
      <c r="AQ434" s="23" t="s">
        <v>7</v>
      </c>
      <c r="AV434" s="27">
        <f t="shared" si="215"/>
        <v>0</v>
      </c>
      <c r="AW434" s="27">
        <f t="shared" si="216"/>
        <v>0</v>
      </c>
      <c r="AX434" s="27">
        <f t="shared" si="217"/>
        <v>0</v>
      </c>
      <c r="AY434" s="28" t="s">
        <v>1087</v>
      </c>
      <c r="AZ434" s="28" t="s">
        <v>1104</v>
      </c>
      <c r="BA434" s="20" t="s">
        <v>1106</v>
      </c>
      <c r="BC434" s="27">
        <f t="shared" si="218"/>
        <v>0</v>
      </c>
      <c r="BD434" s="27">
        <f t="shared" si="219"/>
        <v>0</v>
      </c>
      <c r="BE434" s="27">
        <v>0</v>
      </c>
      <c r="BF434" s="27">
        <f t="shared" si="220"/>
        <v>0</v>
      </c>
      <c r="BH434" s="13">
        <f t="shared" si="221"/>
        <v>0</v>
      </c>
      <c r="BI434" s="13">
        <f t="shared" si="222"/>
        <v>0</v>
      </c>
      <c r="BJ434" s="13">
        <f t="shared" si="223"/>
        <v>0</v>
      </c>
    </row>
    <row r="435" spans="1:62" ht="12.75">
      <c r="A435" s="107"/>
      <c r="B435" s="108"/>
      <c r="C435" s="99" t="s">
        <v>1801</v>
      </c>
      <c r="D435" s="100" t="s">
        <v>1008</v>
      </c>
      <c r="E435" s="101">
        <f>+(52.5*4+31+49*3+48)</f>
        <v>436</v>
      </c>
      <c r="F435" s="132"/>
      <c r="G435" s="139"/>
      <c r="H435" s="110"/>
      <c r="I435" s="140"/>
      <c r="J435" s="213"/>
      <c r="K435" s="214"/>
      <c r="L435" s="150"/>
      <c r="Z435" s="27"/>
      <c r="AB435" s="27"/>
      <c r="AC435" s="27"/>
      <c r="AD435" s="27"/>
      <c r="AE435" s="27"/>
      <c r="AF435" s="27"/>
      <c r="AG435" s="27"/>
      <c r="AH435" s="27"/>
      <c r="AI435" s="20"/>
      <c r="AJ435" s="13"/>
      <c r="AK435" s="13"/>
      <c r="AL435" s="13"/>
      <c r="AN435" s="27"/>
      <c r="AO435" s="27"/>
      <c r="AP435" s="27"/>
      <c r="AQ435" s="23"/>
      <c r="AV435" s="27"/>
      <c r="AW435" s="27"/>
      <c r="AX435" s="27"/>
      <c r="AY435" s="28"/>
      <c r="AZ435" s="28"/>
      <c r="BA435" s="20"/>
      <c r="BC435" s="27"/>
      <c r="BD435" s="27"/>
      <c r="BE435" s="27"/>
      <c r="BF435" s="27"/>
      <c r="BH435" s="13"/>
      <c r="BI435" s="13"/>
      <c r="BJ435" s="13"/>
    </row>
    <row r="436" spans="1:62" ht="12.75">
      <c r="A436" s="107" t="s">
        <v>204</v>
      </c>
      <c r="B436" s="108" t="s">
        <v>525</v>
      </c>
      <c r="C436" s="109" t="s">
        <v>880</v>
      </c>
      <c r="D436" s="205" t="s">
        <v>1005</v>
      </c>
      <c r="E436" s="110">
        <v>2</v>
      </c>
      <c r="F436" s="132">
        <v>0</v>
      </c>
      <c r="G436" s="139">
        <f t="shared" si="200"/>
        <v>0</v>
      </c>
      <c r="H436" s="110">
        <f t="shared" si="201"/>
        <v>0</v>
      </c>
      <c r="I436" s="140">
        <f t="shared" si="202"/>
        <v>0</v>
      </c>
      <c r="J436" s="213">
        <v>0.06237</v>
      </c>
      <c r="K436" s="214">
        <f t="shared" si="203"/>
        <v>0.12474</v>
      </c>
      <c r="L436" s="150" t="s">
        <v>1039</v>
      </c>
      <c r="Z436" s="27">
        <f t="shared" si="204"/>
        <v>0</v>
      </c>
      <c r="AB436" s="27">
        <f t="shared" si="205"/>
        <v>0</v>
      </c>
      <c r="AC436" s="27">
        <f t="shared" si="206"/>
        <v>0</v>
      </c>
      <c r="AD436" s="27">
        <f t="shared" si="207"/>
        <v>0</v>
      </c>
      <c r="AE436" s="27">
        <f t="shared" si="208"/>
        <v>0</v>
      </c>
      <c r="AF436" s="27">
        <f t="shared" si="209"/>
        <v>0</v>
      </c>
      <c r="AG436" s="27">
        <f t="shared" si="210"/>
        <v>0</v>
      </c>
      <c r="AH436" s="27">
        <f t="shared" si="211"/>
        <v>0</v>
      </c>
      <c r="AI436" s="20"/>
      <c r="AJ436" s="13">
        <f t="shared" si="212"/>
        <v>0</v>
      </c>
      <c r="AK436" s="13">
        <f t="shared" si="213"/>
        <v>0</v>
      </c>
      <c r="AL436" s="13">
        <f t="shared" si="214"/>
        <v>0</v>
      </c>
      <c r="AN436" s="27">
        <v>21</v>
      </c>
      <c r="AO436" s="27">
        <f>F436*0.0820026007802341</f>
        <v>0</v>
      </c>
      <c r="AP436" s="27">
        <f>F436*(1-0.0820026007802341)</f>
        <v>0</v>
      </c>
      <c r="AQ436" s="23" t="s">
        <v>7</v>
      </c>
      <c r="AV436" s="27">
        <f t="shared" si="215"/>
        <v>0</v>
      </c>
      <c r="AW436" s="27">
        <f t="shared" si="216"/>
        <v>0</v>
      </c>
      <c r="AX436" s="27">
        <f t="shared" si="217"/>
        <v>0</v>
      </c>
      <c r="AY436" s="28" t="s">
        <v>1087</v>
      </c>
      <c r="AZ436" s="28" t="s">
        <v>1104</v>
      </c>
      <c r="BA436" s="20" t="s">
        <v>1106</v>
      </c>
      <c r="BC436" s="27">
        <f t="shared" si="218"/>
        <v>0</v>
      </c>
      <c r="BD436" s="27">
        <f t="shared" si="219"/>
        <v>0</v>
      </c>
      <c r="BE436" s="27">
        <v>0</v>
      </c>
      <c r="BF436" s="27">
        <f t="shared" si="220"/>
        <v>0.12474</v>
      </c>
      <c r="BH436" s="13">
        <f t="shared" si="221"/>
        <v>0</v>
      </c>
      <c r="BI436" s="13">
        <f t="shared" si="222"/>
        <v>0</v>
      </c>
      <c r="BJ436" s="13">
        <f t="shared" si="223"/>
        <v>0</v>
      </c>
    </row>
    <row r="437" spans="1:62" ht="12.75">
      <c r="A437" s="107"/>
      <c r="B437" s="108"/>
      <c r="C437" s="99" t="s">
        <v>1803</v>
      </c>
      <c r="D437" s="100"/>
      <c r="E437" s="110"/>
      <c r="F437" s="132"/>
      <c r="G437" s="139"/>
      <c r="H437" s="110"/>
      <c r="I437" s="140"/>
      <c r="J437" s="213"/>
      <c r="K437" s="214"/>
      <c r="L437" s="150"/>
      <c r="Z437" s="27"/>
      <c r="AB437" s="27"/>
      <c r="AC437" s="27"/>
      <c r="AD437" s="27"/>
      <c r="AE437" s="27"/>
      <c r="AF437" s="27"/>
      <c r="AG437" s="27"/>
      <c r="AH437" s="27"/>
      <c r="AI437" s="20"/>
      <c r="AJ437" s="13"/>
      <c r="AK437" s="13"/>
      <c r="AL437" s="13"/>
      <c r="AN437" s="27"/>
      <c r="AO437" s="27"/>
      <c r="AP437" s="27"/>
      <c r="AQ437" s="23"/>
      <c r="AV437" s="27"/>
      <c r="AW437" s="27"/>
      <c r="AX437" s="27"/>
      <c r="AY437" s="28"/>
      <c r="AZ437" s="28"/>
      <c r="BA437" s="20"/>
      <c r="BC437" s="27"/>
      <c r="BD437" s="27"/>
      <c r="BE437" s="27"/>
      <c r="BF437" s="27"/>
      <c r="BH437" s="13"/>
      <c r="BI437" s="13"/>
      <c r="BJ437" s="13"/>
    </row>
    <row r="438" spans="1:62" ht="12.75">
      <c r="A438" s="107" t="s">
        <v>205</v>
      </c>
      <c r="B438" s="108" t="s">
        <v>526</v>
      </c>
      <c r="C438" s="109" t="s">
        <v>881</v>
      </c>
      <c r="D438" s="205" t="s">
        <v>1005</v>
      </c>
      <c r="E438" s="110">
        <v>3.2</v>
      </c>
      <c r="F438" s="132">
        <v>0</v>
      </c>
      <c r="G438" s="139">
        <f t="shared" si="200"/>
        <v>0</v>
      </c>
      <c r="H438" s="110">
        <f t="shared" si="201"/>
        <v>0</v>
      </c>
      <c r="I438" s="140">
        <f t="shared" si="202"/>
        <v>0</v>
      </c>
      <c r="J438" s="213">
        <v>0.07717</v>
      </c>
      <c r="K438" s="214">
        <f t="shared" si="203"/>
        <v>0.24694400000000002</v>
      </c>
      <c r="L438" s="150" t="s">
        <v>1039</v>
      </c>
      <c r="Z438" s="27">
        <f t="shared" si="204"/>
        <v>0</v>
      </c>
      <c r="AB438" s="27">
        <f t="shared" si="205"/>
        <v>0</v>
      </c>
      <c r="AC438" s="27">
        <f t="shared" si="206"/>
        <v>0</v>
      </c>
      <c r="AD438" s="27">
        <f t="shared" si="207"/>
        <v>0</v>
      </c>
      <c r="AE438" s="27">
        <f t="shared" si="208"/>
        <v>0</v>
      </c>
      <c r="AF438" s="27">
        <f t="shared" si="209"/>
        <v>0</v>
      </c>
      <c r="AG438" s="27">
        <f t="shared" si="210"/>
        <v>0</v>
      </c>
      <c r="AH438" s="27">
        <f t="shared" si="211"/>
        <v>0</v>
      </c>
      <c r="AI438" s="20"/>
      <c r="AJ438" s="13">
        <f t="shared" si="212"/>
        <v>0</v>
      </c>
      <c r="AK438" s="13">
        <f t="shared" si="213"/>
        <v>0</v>
      </c>
      <c r="AL438" s="13">
        <f t="shared" si="214"/>
        <v>0</v>
      </c>
      <c r="AN438" s="27">
        <v>21</v>
      </c>
      <c r="AO438" s="27">
        <f>F438*0.0708827404479578</f>
        <v>0</v>
      </c>
      <c r="AP438" s="27">
        <f>F438*(1-0.0708827404479578)</f>
        <v>0</v>
      </c>
      <c r="AQ438" s="23" t="s">
        <v>7</v>
      </c>
      <c r="AV438" s="27">
        <f t="shared" si="215"/>
        <v>0</v>
      </c>
      <c r="AW438" s="27">
        <f t="shared" si="216"/>
        <v>0</v>
      </c>
      <c r="AX438" s="27">
        <f t="shared" si="217"/>
        <v>0</v>
      </c>
      <c r="AY438" s="28" t="s">
        <v>1087</v>
      </c>
      <c r="AZ438" s="28" t="s">
        <v>1104</v>
      </c>
      <c r="BA438" s="20" t="s">
        <v>1106</v>
      </c>
      <c r="BC438" s="27">
        <f t="shared" si="218"/>
        <v>0</v>
      </c>
      <c r="BD438" s="27">
        <f t="shared" si="219"/>
        <v>0</v>
      </c>
      <c r="BE438" s="27">
        <v>0</v>
      </c>
      <c r="BF438" s="27">
        <f t="shared" si="220"/>
        <v>0.24694400000000002</v>
      </c>
      <c r="BH438" s="13">
        <f t="shared" si="221"/>
        <v>0</v>
      </c>
      <c r="BI438" s="13">
        <f t="shared" si="222"/>
        <v>0</v>
      </c>
      <c r="BJ438" s="13">
        <f t="shared" si="223"/>
        <v>0</v>
      </c>
    </row>
    <row r="439" spans="1:62" ht="12.75">
      <c r="A439" s="107"/>
      <c r="B439" s="108"/>
      <c r="C439" s="99" t="s">
        <v>1804</v>
      </c>
      <c r="D439" s="205"/>
      <c r="E439" s="110"/>
      <c r="F439" s="132"/>
      <c r="G439" s="139"/>
      <c r="H439" s="110"/>
      <c r="I439" s="140"/>
      <c r="J439" s="213"/>
      <c r="K439" s="214"/>
      <c r="L439" s="150"/>
      <c r="Z439" s="27"/>
      <c r="AB439" s="27"/>
      <c r="AC439" s="27"/>
      <c r="AD439" s="27"/>
      <c r="AE439" s="27"/>
      <c r="AF439" s="27"/>
      <c r="AG439" s="27"/>
      <c r="AH439" s="27"/>
      <c r="AI439" s="20"/>
      <c r="AJ439" s="13"/>
      <c r="AK439" s="13"/>
      <c r="AL439" s="13"/>
      <c r="AN439" s="27"/>
      <c r="AO439" s="27"/>
      <c r="AP439" s="27"/>
      <c r="AQ439" s="23"/>
      <c r="AV439" s="27"/>
      <c r="AW439" s="27"/>
      <c r="AX439" s="27"/>
      <c r="AY439" s="28"/>
      <c r="AZ439" s="28"/>
      <c r="BA439" s="20"/>
      <c r="BC439" s="27"/>
      <c r="BD439" s="27"/>
      <c r="BE439" s="27"/>
      <c r="BF439" s="27"/>
      <c r="BH439" s="13"/>
      <c r="BI439" s="13"/>
      <c r="BJ439" s="13"/>
    </row>
    <row r="440" spans="1:47" ht="12.75">
      <c r="A440" s="111"/>
      <c r="B440" s="112" t="s">
        <v>103</v>
      </c>
      <c r="C440" s="113" t="s">
        <v>882</v>
      </c>
      <c r="D440" s="206" t="s">
        <v>6</v>
      </c>
      <c r="E440" s="114" t="s">
        <v>6</v>
      </c>
      <c r="F440" s="133" t="s">
        <v>6</v>
      </c>
      <c r="G440" s="141">
        <f>SUM(G441:G451)</f>
        <v>0</v>
      </c>
      <c r="H440" s="115">
        <f>SUM(H441:H451)</f>
        <v>0</v>
      </c>
      <c r="I440" s="142">
        <f>SUM(I441:I451)</f>
        <v>0</v>
      </c>
      <c r="J440" s="215"/>
      <c r="K440" s="216">
        <f>SUM(K441:K451)</f>
        <v>0.3335956</v>
      </c>
      <c r="L440" s="151"/>
      <c r="AI440" s="20"/>
      <c r="AS440" s="29">
        <f>SUM(AJ441:AJ451)</f>
        <v>0</v>
      </c>
      <c r="AT440" s="29">
        <f>SUM(AK441:AK451)</f>
        <v>0</v>
      </c>
      <c r="AU440" s="29">
        <f>SUM(AL441:AL451)</f>
        <v>0</v>
      </c>
    </row>
    <row r="441" spans="1:62" ht="12.75">
      <c r="A441" s="107" t="s">
        <v>206</v>
      </c>
      <c r="B441" s="108" t="s">
        <v>527</v>
      </c>
      <c r="C441" s="109" t="s">
        <v>883</v>
      </c>
      <c r="D441" s="205" t="s">
        <v>1008</v>
      </c>
      <c r="E441" s="110">
        <v>0.12</v>
      </c>
      <c r="F441" s="132">
        <v>0</v>
      </c>
      <c r="G441" s="139">
        <f aca="true" t="shared" si="224" ref="G441:G451">E441*AO441</f>
        <v>0</v>
      </c>
      <c r="H441" s="110">
        <f aca="true" t="shared" si="225" ref="H441:H451">E441*AP441</f>
        <v>0</v>
      </c>
      <c r="I441" s="140">
        <f aca="true" t="shared" si="226" ref="I441:I451">E441*F441</f>
        <v>0</v>
      </c>
      <c r="J441" s="213">
        <v>0.00263</v>
      </c>
      <c r="K441" s="214">
        <f aca="true" t="shared" si="227" ref="K441:K451">E441*J441</f>
        <v>0.0003156</v>
      </c>
      <c r="L441" s="150" t="s">
        <v>1039</v>
      </c>
      <c r="Z441" s="27">
        <f aca="true" t="shared" si="228" ref="Z441:Z451">IF(AQ441="5",BJ441,0)</f>
        <v>0</v>
      </c>
      <c r="AB441" s="27">
        <f aca="true" t="shared" si="229" ref="AB441:AB451">IF(AQ441="1",BH441,0)</f>
        <v>0</v>
      </c>
      <c r="AC441" s="27">
        <f aca="true" t="shared" si="230" ref="AC441:AC451">IF(AQ441="1",BI441,0)</f>
        <v>0</v>
      </c>
      <c r="AD441" s="27">
        <f aca="true" t="shared" si="231" ref="AD441:AD451">IF(AQ441="7",BH441,0)</f>
        <v>0</v>
      </c>
      <c r="AE441" s="27">
        <f aca="true" t="shared" si="232" ref="AE441:AE451">IF(AQ441="7",BI441,0)</f>
        <v>0</v>
      </c>
      <c r="AF441" s="27">
        <f aca="true" t="shared" si="233" ref="AF441:AF451">IF(AQ441="2",BH441,0)</f>
        <v>0</v>
      </c>
      <c r="AG441" s="27">
        <f aca="true" t="shared" si="234" ref="AG441:AG451">IF(AQ441="2",BI441,0)</f>
        <v>0</v>
      </c>
      <c r="AH441" s="27">
        <f aca="true" t="shared" si="235" ref="AH441:AH451">IF(AQ441="0",BJ441,0)</f>
        <v>0</v>
      </c>
      <c r="AI441" s="20"/>
      <c r="AJ441" s="13">
        <f aca="true" t="shared" si="236" ref="AJ441:AJ451">IF(AN441=0,I441,0)</f>
        <v>0</v>
      </c>
      <c r="AK441" s="13">
        <f aca="true" t="shared" si="237" ref="AK441:AK451">IF(AN441=15,I441,0)</f>
        <v>0</v>
      </c>
      <c r="AL441" s="13">
        <f aca="true" t="shared" si="238" ref="AL441:AL451">IF(AN441=21,I441,0)</f>
        <v>0</v>
      </c>
      <c r="AN441" s="27">
        <v>21</v>
      </c>
      <c r="AO441" s="27">
        <f>F441*0.381546798029557</f>
        <v>0</v>
      </c>
      <c r="AP441" s="27">
        <f>F441*(1-0.381546798029557)</f>
        <v>0</v>
      </c>
      <c r="AQ441" s="23" t="s">
        <v>7</v>
      </c>
      <c r="AV441" s="27">
        <f aca="true" t="shared" si="239" ref="AV441:AV451">AW441+AX441</f>
        <v>0</v>
      </c>
      <c r="AW441" s="27">
        <f aca="true" t="shared" si="240" ref="AW441:AW451">E441*AO441</f>
        <v>0</v>
      </c>
      <c r="AX441" s="27">
        <f aca="true" t="shared" si="241" ref="AX441:AX451">E441*AP441</f>
        <v>0</v>
      </c>
      <c r="AY441" s="28" t="s">
        <v>1088</v>
      </c>
      <c r="AZ441" s="28" t="s">
        <v>1104</v>
      </c>
      <c r="BA441" s="20" t="s">
        <v>1106</v>
      </c>
      <c r="BC441" s="27">
        <f aca="true" t="shared" si="242" ref="BC441:BC451">AW441+AX441</f>
        <v>0</v>
      </c>
      <c r="BD441" s="27">
        <f aca="true" t="shared" si="243" ref="BD441:BD451">F441/(100-BE441)*100</f>
        <v>0</v>
      </c>
      <c r="BE441" s="27">
        <v>0</v>
      </c>
      <c r="BF441" s="27">
        <f aca="true" t="shared" si="244" ref="BF441:BF451">K441</f>
        <v>0.0003156</v>
      </c>
      <c r="BH441" s="13">
        <f aca="true" t="shared" si="245" ref="BH441:BH451">E441*AO441</f>
        <v>0</v>
      </c>
      <c r="BI441" s="13">
        <f aca="true" t="shared" si="246" ref="BI441:BI451">E441*AP441</f>
        <v>0</v>
      </c>
      <c r="BJ441" s="13">
        <f aca="true" t="shared" si="247" ref="BJ441:BJ451">E441*F441</f>
        <v>0</v>
      </c>
    </row>
    <row r="442" spans="1:62" ht="12.75">
      <c r="A442" s="107"/>
      <c r="B442" s="108"/>
      <c r="C442" s="99" t="s">
        <v>1805</v>
      </c>
      <c r="D442" s="205"/>
      <c r="E442" s="110"/>
      <c r="F442" s="132"/>
      <c r="G442" s="139"/>
      <c r="H442" s="110"/>
      <c r="I442" s="140"/>
      <c r="J442" s="213"/>
      <c r="K442" s="214"/>
      <c r="L442" s="150"/>
      <c r="Z442" s="27"/>
      <c r="AB442" s="27"/>
      <c r="AC442" s="27"/>
      <c r="AD442" s="27"/>
      <c r="AE442" s="27"/>
      <c r="AF442" s="27"/>
      <c r="AG442" s="27"/>
      <c r="AH442" s="27"/>
      <c r="AI442" s="20"/>
      <c r="AJ442" s="13"/>
      <c r="AK442" s="13"/>
      <c r="AL442" s="13"/>
      <c r="AN442" s="27"/>
      <c r="AO442" s="27"/>
      <c r="AP442" s="27"/>
      <c r="AQ442" s="23"/>
      <c r="AV442" s="27"/>
      <c r="AW442" s="27"/>
      <c r="AX442" s="27"/>
      <c r="AY442" s="28"/>
      <c r="AZ442" s="28"/>
      <c r="BA442" s="20"/>
      <c r="BC442" s="27"/>
      <c r="BD442" s="27"/>
      <c r="BE442" s="27"/>
      <c r="BF442" s="27"/>
      <c r="BH442" s="13"/>
      <c r="BI442" s="13"/>
      <c r="BJ442" s="13"/>
    </row>
    <row r="443" spans="1:62" ht="12.75">
      <c r="A443" s="107" t="s">
        <v>207</v>
      </c>
      <c r="B443" s="108" t="s">
        <v>528</v>
      </c>
      <c r="C443" s="109" t="s">
        <v>884</v>
      </c>
      <c r="D443" s="205" t="s">
        <v>1008</v>
      </c>
      <c r="E443" s="110">
        <v>0.2</v>
      </c>
      <c r="F443" s="132">
        <v>0</v>
      </c>
      <c r="G443" s="139">
        <f t="shared" si="224"/>
        <v>0</v>
      </c>
      <c r="H443" s="110">
        <f t="shared" si="225"/>
        <v>0</v>
      </c>
      <c r="I443" s="140">
        <f t="shared" si="226"/>
        <v>0</v>
      </c>
      <c r="J443" s="213">
        <v>0</v>
      </c>
      <c r="K443" s="214">
        <f t="shared" si="227"/>
        <v>0</v>
      </c>
      <c r="L443" s="150"/>
      <c r="Z443" s="27">
        <f t="shared" si="228"/>
        <v>0</v>
      </c>
      <c r="AB443" s="27">
        <f t="shared" si="229"/>
        <v>0</v>
      </c>
      <c r="AC443" s="27">
        <f t="shared" si="230"/>
        <v>0</v>
      </c>
      <c r="AD443" s="27">
        <f t="shared" si="231"/>
        <v>0</v>
      </c>
      <c r="AE443" s="27">
        <f t="shared" si="232"/>
        <v>0</v>
      </c>
      <c r="AF443" s="27">
        <f t="shared" si="233"/>
        <v>0</v>
      </c>
      <c r="AG443" s="27">
        <f t="shared" si="234"/>
        <v>0</v>
      </c>
      <c r="AH443" s="27">
        <f t="shared" si="235"/>
        <v>0</v>
      </c>
      <c r="AI443" s="20"/>
      <c r="AJ443" s="13">
        <f t="shared" si="236"/>
        <v>0</v>
      </c>
      <c r="AK443" s="13">
        <f t="shared" si="237"/>
        <v>0</v>
      </c>
      <c r="AL443" s="13">
        <f t="shared" si="238"/>
        <v>0</v>
      </c>
      <c r="AN443" s="27">
        <v>21</v>
      </c>
      <c r="AO443" s="27">
        <f>F443*0</f>
        <v>0</v>
      </c>
      <c r="AP443" s="27">
        <f>F443*(1-0)</f>
        <v>0</v>
      </c>
      <c r="AQ443" s="23" t="s">
        <v>7</v>
      </c>
      <c r="AV443" s="27">
        <f t="shared" si="239"/>
        <v>0</v>
      </c>
      <c r="AW443" s="27">
        <f t="shared" si="240"/>
        <v>0</v>
      </c>
      <c r="AX443" s="27">
        <f t="shared" si="241"/>
        <v>0</v>
      </c>
      <c r="AY443" s="28" t="s">
        <v>1088</v>
      </c>
      <c r="AZ443" s="28" t="s">
        <v>1104</v>
      </c>
      <c r="BA443" s="20" t="s">
        <v>1106</v>
      </c>
      <c r="BC443" s="27">
        <f t="shared" si="242"/>
        <v>0</v>
      </c>
      <c r="BD443" s="27">
        <f t="shared" si="243"/>
        <v>0</v>
      </c>
      <c r="BE443" s="27">
        <v>0</v>
      </c>
      <c r="BF443" s="27">
        <f t="shared" si="244"/>
        <v>0</v>
      </c>
      <c r="BH443" s="13">
        <f t="shared" si="245"/>
        <v>0</v>
      </c>
      <c r="BI443" s="13">
        <f t="shared" si="246"/>
        <v>0</v>
      </c>
      <c r="BJ443" s="13">
        <f t="shared" si="247"/>
        <v>0</v>
      </c>
    </row>
    <row r="444" spans="1:62" ht="12.75">
      <c r="A444" s="107"/>
      <c r="B444" s="108"/>
      <c r="C444" s="99" t="s">
        <v>1806</v>
      </c>
      <c r="D444" s="205"/>
      <c r="E444" s="110"/>
      <c r="F444" s="132"/>
      <c r="G444" s="139"/>
      <c r="H444" s="110"/>
      <c r="I444" s="140"/>
      <c r="J444" s="213"/>
      <c r="K444" s="214"/>
      <c r="L444" s="150"/>
      <c r="Z444" s="27"/>
      <c r="AB444" s="27"/>
      <c r="AC444" s="27"/>
      <c r="AD444" s="27"/>
      <c r="AE444" s="27"/>
      <c r="AF444" s="27"/>
      <c r="AG444" s="27"/>
      <c r="AH444" s="27"/>
      <c r="AI444" s="20"/>
      <c r="AJ444" s="13"/>
      <c r="AK444" s="13"/>
      <c r="AL444" s="13"/>
      <c r="AN444" s="27"/>
      <c r="AO444" s="27"/>
      <c r="AP444" s="27"/>
      <c r="AQ444" s="23"/>
      <c r="AV444" s="27"/>
      <c r="AW444" s="27"/>
      <c r="AX444" s="27"/>
      <c r="AY444" s="28"/>
      <c r="AZ444" s="28"/>
      <c r="BA444" s="20"/>
      <c r="BC444" s="27"/>
      <c r="BD444" s="27"/>
      <c r="BE444" s="27"/>
      <c r="BF444" s="27"/>
      <c r="BH444" s="13"/>
      <c r="BI444" s="13"/>
      <c r="BJ444" s="13"/>
    </row>
    <row r="445" spans="1:62" ht="12.75">
      <c r="A445" s="107" t="s">
        <v>208</v>
      </c>
      <c r="B445" s="108" t="s">
        <v>529</v>
      </c>
      <c r="C445" s="109" t="s">
        <v>885</v>
      </c>
      <c r="D445" s="205" t="s">
        <v>1008</v>
      </c>
      <c r="E445" s="110">
        <v>6.2</v>
      </c>
      <c r="F445" s="132">
        <v>0</v>
      </c>
      <c r="G445" s="139">
        <f t="shared" si="224"/>
        <v>0</v>
      </c>
      <c r="H445" s="110">
        <f t="shared" si="225"/>
        <v>0</v>
      </c>
      <c r="I445" s="140">
        <f t="shared" si="226"/>
        <v>0</v>
      </c>
      <c r="J445" s="213">
        <v>0.037</v>
      </c>
      <c r="K445" s="214">
        <f t="shared" si="227"/>
        <v>0.2294</v>
      </c>
      <c r="L445" s="150" t="s">
        <v>1039</v>
      </c>
      <c r="Z445" s="27">
        <f t="shared" si="228"/>
        <v>0</v>
      </c>
      <c r="AB445" s="27">
        <f t="shared" si="229"/>
        <v>0</v>
      </c>
      <c r="AC445" s="27">
        <f t="shared" si="230"/>
        <v>0</v>
      </c>
      <c r="AD445" s="27">
        <f t="shared" si="231"/>
        <v>0</v>
      </c>
      <c r="AE445" s="27">
        <f t="shared" si="232"/>
        <v>0</v>
      </c>
      <c r="AF445" s="27">
        <f t="shared" si="233"/>
        <v>0</v>
      </c>
      <c r="AG445" s="27">
        <f t="shared" si="234"/>
        <v>0</v>
      </c>
      <c r="AH445" s="27">
        <f t="shared" si="235"/>
        <v>0</v>
      </c>
      <c r="AI445" s="20"/>
      <c r="AJ445" s="13">
        <f t="shared" si="236"/>
        <v>0</v>
      </c>
      <c r="AK445" s="13">
        <f t="shared" si="237"/>
        <v>0</v>
      </c>
      <c r="AL445" s="13">
        <f t="shared" si="238"/>
        <v>0</v>
      </c>
      <c r="AN445" s="27">
        <v>21</v>
      </c>
      <c r="AO445" s="27">
        <f>F445*0</f>
        <v>0</v>
      </c>
      <c r="AP445" s="27">
        <f>F445*(1-0)</f>
        <v>0</v>
      </c>
      <c r="AQ445" s="23" t="s">
        <v>7</v>
      </c>
      <c r="AV445" s="27">
        <f t="shared" si="239"/>
        <v>0</v>
      </c>
      <c r="AW445" s="27">
        <f t="shared" si="240"/>
        <v>0</v>
      </c>
      <c r="AX445" s="27">
        <f t="shared" si="241"/>
        <v>0</v>
      </c>
      <c r="AY445" s="28" t="s">
        <v>1088</v>
      </c>
      <c r="AZ445" s="28" t="s">
        <v>1104</v>
      </c>
      <c r="BA445" s="20" t="s">
        <v>1106</v>
      </c>
      <c r="BC445" s="27">
        <f t="shared" si="242"/>
        <v>0</v>
      </c>
      <c r="BD445" s="27">
        <f t="shared" si="243"/>
        <v>0</v>
      </c>
      <c r="BE445" s="27">
        <v>0</v>
      </c>
      <c r="BF445" s="27">
        <f t="shared" si="244"/>
        <v>0.2294</v>
      </c>
      <c r="BH445" s="13">
        <f t="shared" si="245"/>
        <v>0</v>
      </c>
      <c r="BI445" s="13">
        <f t="shared" si="246"/>
        <v>0</v>
      </c>
      <c r="BJ445" s="13">
        <f t="shared" si="247"/>
        <v>0</v>
      </c>
    </row>
    <row r="446" spans="1:62" ht="12.75">
      <c r="A446" s="107"/>
      <c r="B446" s="108"/>
      <c r="C446" s="99" t="s">
        <v>1807</v>
      </c>
      <c r="D446" s="205"/>
      <c r="E446" s="110"/>
      <c r="F446" s="132"/>
      <c r="G446" s="139"/>
      <c r="H446" s="110"/>
      <c r="I446" s="140"/>
      <c r="J446" s="213"/>
      <c r="K446" s="214"/>
      <c r="L446" s="150"/>
      <c r="Z446" s="27"/>
      <c r="AB446" s="27"/>
      <c r="AC446" s="27"/>
      <c r="AD446" s="27"/>
      <c r="AE446" s="27"/>
      <c r="AF446" s="27"/>
      <c r="AG446" s="27"/>
      <c r="AH446" s="27"/>
      <c r="AI446" s="20"/>
      <c r="AJ446" s="13"/>
      <c r="AK446" s="13"/>
      <c r="AL446" s="13"/>
      <c r="AN446" s="27"/>
      <c r="AO446" s="27"/>
      <c r="AP446" s="27"/>
      <c r="AQ446" s="23"/>
      <c r="AV446" s="27"/>
      <c r="AW446" s="27"/>
      <c r="AX446" s="27"/>
      <c r="AY446" s="28"/>
      <c r="AZ446" s="28"/>
      <c r="BA446" s="20"/>
      <c r="BC446" s="27"/>
      <c r="BD446" s="27"/>
      <c r="BE446" s="27"/>
      <c r="BF446" s="27"/>
      <c r="BH446" s="13"/>
      <c r="BI446" s="13"/>
      <c r="BJ446" s="13"/>
    </row>
    <row r="447" spans="1:62" ht="12.75">
      <c r="A447" s="107" t="s">
        <v>209</v>
      </c>
      <c r="B447" s="108" t="s">
        <v>530</v>
      </c>
      <c r="C447" s="109" t="s">
        <v>886</v>
      </c>
      <c r="D447" s="205" t="s">
        <v>1011</v>
      </c>
      <c r="E447" s="110">
        <v>0.10388</v>
      </c>
      <c r="F447" s="132">
        <v>0</v>
      </c>
      <c r="G447" s="139">
        <f t="shared" si="224"/>
        <v>0</v>
      </c>
      <c r="H447" s="110">
        <f t="shared" si="225"/>
        <v>0</v>
      </c>
      <c r="I447" s="140">
        <f t="shared" si="226"/>
        <v>0</v>
      </c>
      <c r="J447" s="213">
        <v>1</v>
      </c>
      <c r="K447" s="214">
        <f t="shared" si="227"/>
        <v>0.10388</v>
      </c>
      <c r="L447" s="150" t="s">
        <v>1039</v>
      </c>
      <c r="Z447" s="27">
        <f t="shared" si="228"/>
        <v>0</v>
      </c>
      <c r="AB447" s="27">
        <f t="shared" si="229"/>
        <v>0</v>
      </c>
      <c r="AC447" s="27">
        <f t="shared" si="230"/>
        <v>0</v>
      </c>
      <c r="AD447" s="27">
        <f t="shared" si="231"/>
        <v>0</v>
      </c>
      <c r="AE447" s="27">
        <f t="shared" si="232"/>
        <v>0</v>
      </c>
      <c r="AF447" s="27">
        <f t="shared" si="233"/>
        <v>0</v>
      </c>
      <c r="AG447" s="27">
        <f t="shared" si="234"/>
        <v>0</v>
      </c>
      <c r="AH447" s="27">
        <f t="shared" si="235"/>
        <v>0</v>
      </c>
      <c r="AI447" s="20"/>
      <c r="AJ447" s="13">
        <f t="shared" si="236"/>
        <v>0</v>
      </c>
      <c r="AK447" s="13">
        <f t="shared" si="237"/>
        <v>0</v>
      </c>
      <c r="AL447" s="13">
        <f t="shared" si="238"/>
        <v>0</v>
      </c>
      <c r="AN447" s="27">
        <v>21</v>
      </c>
      <c r="AO447" s="27">
        <f>F447*0</f>
        <v>0</v>
      </c>
      <c r="AP447" s="27">
        <f>F447*(1-0)</f>
        <v>0</v>
      </c>
      <c r="AQ447" s="23" t="s">
        <v>7</v>
      </c>
      <c r="AV447" s="27">
        <f t="shared" si="239"/>
        <v>0</v>
      </c>
      <c r="AW447" s="27">
        <f t="shared" si="240"/>
        <v>0</v>
      </c>
      <c r="AX447" s="27">
        <f t="shared" si="241"/>
        <v>0</v>
      </c>
      <c r="AY447" s="28" t="s">
        <v>1088</v>
      </c>
      <c r="AZ447" s="28" t="s">
        <v>1104</v>
      </c>
      <c r="BA447" s="20" t="s">
        <v>1106</v>
      </c>
      <c r="BC447" s="27">
        <f t="shared" si="242"/>
        <v>0</v>
      </c>
      <c r="BD447" s="27">
        <f t="shared" si="243"/>
        <v>0</v>
      </c>
      <c r="BE447" s="27">
        <v>0</v>
      </c>
      <c r="BF447" s="27">
        <f t="shared" si="244"/>
        <v>0.10388</v>
      </c>
      <c r="BH447" s="13">
        <f t="shared" si="245"/>
        <v>0</v>
      </c>
      <c r="BI447" s="13">
        <f t="shared" si="246"/>
        <v>0</v>
      </c>
      <c r="BJ447" s="13">
        <f t="shared" si="247"/>
        <v>0</v>
      </c>
    </row>
    <row r="448" spans="1:62" ht="12.75">
      <c r="A448" s="107"/>
      <c r="B448" s="108"/>
      <c r="C448" s="99" t="s">
        <v>1807</v>
      </c>
      <c r="D448" s="205"/>
      <c r="E448" s="110"/>
      <c r="F448" s="132"/>
      <c r="G448" s="139"/>
      <c r="H448" s="110"/>
      <c r="I448" s="140"/>
      <c r="J448" s="213"/>
      <c r="K448" s="214"/>
      <c r="L448" s="150"/>
      <c r="Z448" s="27"/>
      <c r="AB448" s="27"/>
      <c r="AC448" s="27"/>
      <c r="AD448" s="27"/>
      <c r="AE448" s="27"/>
      <c r="AF448" s="27"/>
      <c r="AG448" s="27"/>
      <c r="AH448" s="27"/>
      <c r="AI448" s="20"/>
      <c r="AJ448" s="13"/>
      <c r="AK448" s="13"/>
      <c r="AL448" s="13"/>
      <c r="AN448" s="27"/>
      <c r="AO448" s="27"/>
      <c r="AP448" s="27"/>
      <c r="AQ448" s="23"/>
      <c r="AV448" s="27"/>
      <c r="AW448" s="27"/>
      <c r="AX448" s="27"/>
      <c r="AY448" s="28"/>
      <c r="AZ448" s="28"/>
      <c r="BA448" s="20"/>
      <c r="BC448" s="27"/>
      <c r="BD448" s="27"/>
      <c r="BE448" s="27"/>
      <c r="BF448" s="27"/>
      <c r="BH448" s="13"/>
      <c r="BI448" s="13"/>
      <c r="BJ448" s="13"/>
    </row>
    <row r="449" spans="1:62" ht="12.75">
      <c r="A449" s="107" t="s">
        <v>210</v>
      </c>
      <c r="B449" s="108" t="s">
        <v>531</v>
      </c>
      <c r="C449" s="109" t="s">
        <v>887</v>
      </c>
      <c r="D449" s="205" t="s">
        <v>1005</v>
      </c>
      <c r="E449" s="110">
        <f>+E450</f>
        <v>1.5</v>
      </c>
      <c r="F449" s="132">
        <v>0</v>
      </c>
      <c r="G449" s="139">
        <f t="shared" si="224"/>
        <v>0</v>
      </c>
      <c r="H449" s="110">
        <f t="shared" si="225"/>
        <v>0</v>
      </c>
      <c r="I449" s="140">
        <f t="shared" si="226"/>
        <v>0</v>
      </c>
      <c r="J449" s="213">
        <v>0</v>
      </c>
      <c r="K449" s="214">
        <f t="shared" si="227"/>
        <v>0</v>
      </c>
      <c r="L449" s="150" t="s">
        <v>1039</v>
      </c>
      <c r="Z449" s="27">
        <f t="shared" si="228"/>
        <v>0</v>
      </c>
      <c r="AB449" s="27">
        <f t="shared" si="229"/>
        <v>0</v>
      </c>
      <c r="AC449" s="27">
        <f t="shared" si="230"/>
        <v>0</v>
      </c>
      <c r="AD449" s="27">
        <f t="shared" si="231"/>
        <v>0</v>
      </c>
      <c r="AE449" s="27">
        <f t="shared" si="232"/>
        <v>0</v>
      </c>
      <c r="AF449" s="27">
        <f t="shared" si="233"/>
        <v>0</v>
      </c>
      <c r="AG449" s="27">
        <f t="shared" si="234"/>
        <v>0</v>
      </c>
      <c r="AH449" s="27">
        <f t="shared" si="235"/>
        <v>0</v>
      </c>
      <c r="AI449" s="20"/>
      <c r="AJ449" s="13">
        <f t="shared" si="236"/>
        <v>0</v>
      </c>
      <c r="AK449" s="13">
        <f t="shared" si="237"/>
        <v>0</v>
      </c>
      <c r="AL449" s="13">
        <f t="shared" si="238"/>
        <v>0</v>
      </c>
      <c r="AN449" s="27">
        <v>21</v>
      </c>
      <c r="AO449" s="27">
        <f>F449*0</f>
        <v>0</v>
      </c>
      <c r="AP449" s="27">
        <f>F449*(1-0)</f>
        <v>0</v>
      </c>
      <c r="AQ449" s="23" t="s">
        <v>7</v>
      </c>
      <c r="AV449" s="27">
        <f t="shared" si="239"/>
        <v>0</v>
      </c>
      <c r="AW449" s="27">
        <f t="shared" si="240"/>
        <v>0</v>
      </c>
      <c r="AX449" s="27">
        <f t="shared" si="241"/>
        <v>0</v>
      </c>
      <c r="AY449" s="28" t="s">
        <v>1088</v>
      </c>
      <c r="AZ449" s="28" t="s">
        <v>1104</v>
      </c>
      <c r="BA449" s="20" t="s">
        <v>1106</v>
      </c>
      <c r="BC449" s="27">
        <f t="shared" si="242"/>
        <v>0</v>
      </c>
      <c r="BD449" s="27">
        <f t="shared" si="243"/>
        <v>0</v>
      </c>
      <c r="BE449" s="27">
        <v>0</v>
      </c>
      <c r="BF449" s="27">
        <f t="shared" si="244"/>
        <v>0</v>
      </c>
      <c r="BH449" s="13">
        <f t="shared" si="245"/>
        <v>0</v>
      </c>
      <c r="BI449" s="13">
        <f t="shared" si="246"/>
        <v>0</v>
      </c>
      <c r="BJ449" s="13">
        <f t="shared" si="247"/>
        <v>0</v>
      </c>
    </row>
    <row r="450" spans="1:62" ht="12.75">
      <c r="A450" s="107"/>
      <c r="B450" s="108"/>
      <c r="C450" s="99" t="s">
        <v>1808</v>
      </c>
      <c r="D450" s="100" t="s">
        <v>1005</v>
      </c>
      <c r="E450" s="101">
        <f>15*0.1</f>
        <v>1.5</v>
      </c>
      <c r="F450" s="132"/>
      <c r="G450" s="139"/>
      <c r="H450" s="110"/>
      <c r="I450" s="140"/>
      <c r="J450" s="213"/>
      <c r="K450" s="214"/>
      <c r="L450" s="150"/>
      <c r="Z450" s="27"/>
      <c r="AB450" s="27"/>
      <c r="AC450" s="27"/>
      <c r="AD450" s="27"/>
      <c r="AE450" s="27"/>
      <c r="AF450" s="27"/>
      <c r="AG450" s="27"/>
      <c r="AH450" s="27"/>
      <c r="AI450" s="20"/>
      <c r="AJ450" s="13"/>
      <c r="AK450" s="13"/>
      <c r="AL450" s="13"/>
      <c r="AN450" s="27"/>
      <c r="AO450" s="27"/>
      <c r="AP450" s="27"/>
      <c r="AQ450" s="23"/>
      <c r="AV450" s="27"/>
      <c r="AW450" s="27"/>
      <c r="AX450" s="27"/>
      <c r="AY450" s="28"/>
      <c r="AZ450" s="28"/>
      <c r="BA450" s="20"/>
      <c r="BC450" s="27"/>
      <c r="BD450" s="27"/>
      <c r="BE450" s="27"/>
      <c r="BF450" s="27"/>
      <c r="BH450" s="13"/>
      <c r="BI450" s="13"/>
      <c r="BJ450" s="13"/>
    </row>
    <row r="451" spans="1:62" ht="12.75">
      <c r="A451" s="107" t="s">
        <v>211</v>
      </c>
      <c r="B451" s="108" t="s">
        <v>532</v>
      </c>
      <c r="C451" s="109" t="s">
        <v>888</v>
      </c>
      <c r="D451" s="205" t="s">
        <v>1005</v>
      </c>
      <c r="E451" s="110">
        <f>+E452</f>
        <v>50</v>
      </c>
      <c r="F451" s="132">
        <v>0</v>
      </c>
      <c r="G451" s="139">
        <f t="shared" si="224"/>
        <v>0</v>
      </c>
      <c r="H451" s="110">
        <f t="shared" si="225"/>
        <v>0</v>
      </c>
      <c r="I451" s="140">
        <f t="shared" si="226"/>
        <v>0</v>
      </c>
      <c r="J451" s="213">
        <v>0</v>
      </c>
      <c r="K451" s="214">
        <f t="shared" si="227"/>
        <v>0</v>
      </c>
      <c r="L451" s="150" t="s">
        <v>1039</v>
      </c>
      <c r="Z451" s="27">
        <f t="shared" si="228"/>
        <v>0</v>
      </c>
      <c r="AB451" s="27">
        <f t="shared" si="229"/>
        <v>0</v>
      </c>
      <c r="AC451" s="27">
        <f t="shared" si="230"/>
        <v>0</v>
      </c>
      <c r="AD451" s="27">
        <f t="shared" si="231"/>
        <v>0</v>
      </c>
      <c r="AE451" s="27">
        <f t="shared" si="232"/>
        <v>0</v>
      </c>
      <c r="AF451" s="27">
        <f t="shared" si="233"/>
        <v>0</v>
      </c>
      <c r="AG451" s="27">
        <f t="shared" si="234"/>
        <v>0</v>
      </c>
      <c r="AH451" s="27">
        <f t="shared" si="235"/>
        <v>0</v>
      </c>
      <c r="AI451" s="20"/>
      <c r="AJ451" s="13">
        <f t="shared" si="236"/>
        <v>0</v>
      </c>
      <c r="AK451" s="13">
        <f t="shared" si="237"/>
        <v>0</v>
      </c>
      <c r="AL451" s="13">
        <f t="shared" si="238"/>
        <v>0</v>
      </c>
      <c r="AN451" s="27">
        <v>21</v>
      </c>
      <c r="AO451" s="27">
        <f>F451*0</f>
        <v>0</v>
      </c>
      <c r="AP451" s="27">
        <f>F451*(1-0)</f>
        <v>0</v>
      </c>
      <c r="AQ451" s="23" t="s">
        <v>7</v>
      </c>
      <c r="AV451" s="27">
        <f t="shared" si="239"/>
        <v>0</v>
      </c>
      <c r="AW451" s="27">
        <f t="shared" si="240"/>
        <v>0</v>
      </c>
      <c r="AX451" s="27">
        <f t="shared" si="241"/>
        <v>0</v>
      </c>
      <c r="AY451" s="28" t="s">
        <v>1088</v>
      </c>
      <c r="AZ451" s="28" t="s">
        <v>1104</v>
      </c>
      <c r="BA451" s="20" t="s">
        <v>1106</v>
      </c>
      <c r="BC451" s="27">
        <f t="shared" si="242"/>
        <v>0</v>
      </c>
      <c r="BD451" s="27">
        <f t="shared" si="243"/>
        <v>0</v>
      </c>
      <c r="BE451" s="27">
        <v>0</v>
      </c>
      <c r="BF451" s="27">
        <f t="shared" si="244"/>
        <v>0</v>
      </c>
      <c r="BH451" s="13">
        <f t="shared" si="245"/>
        <v>0</v>
      </c>
      <c r="BI451" s="13">
        <f t="shared" si="246"/>
        <v>0</v>
      </c>
      <c r="BJ451" s="13">
        <f t="shared" si="247"/>
        <v>0</v>
      </c>
    </row>
    <row r="452" spans="1:62" ht="12.75">
      <c r="A452" s="107"/>
      <c r="B452" s="108"/>
      <c r="C452" s="99" t="s">
        <v>1809</v>
      </c>
      <c r="D452" s="100" t="s">
        <v>1005</v>
      </c>
      <c r="E452" s="101">
        <f>25*2</f>
        <v>50</v>
      </c>
      <c r="F452" s="132"/>
      <c r="G452" s="139"/>
      <c r="H452" s="110"/>
      <c r="I452" s="140"/>
      <c r="J452" s="213"/>
      <c r="K452" s="214"/>
      <c r="L452" s="150"/>
      <c r="Z452" s="27"/>
      <c r="AB452" s="27"/>
      <c r="AC452" s="27"/>
      <c r="AD452" s="27"/>
      <c r="AE452" s="27"/>
      <c r="AF452" s="27"/>
      <c r="AG452" s="27"/>
      <c r="AH452" s="27"/>
      <c r="AI452" s="20"/>
      <c r="AJ452" s="13"/>
      <c r="AK452" s="13"/>
      <c r="AL452" s="13"/>
      <c r="AN452" s="27"/>
      <c r="AO452" s="27"/>
      <c r="AP452" s="27"/>
      <c r="AQ452" s="23"/>
      <c r="AV452" s="27"/>
      <c r="AW452" s="27"/>
      <c r="AX452" s="27"/>
      <c r="AY452" s="28"/>
      <c r="AZ452" s="28"/>
      <c r="BA452" s="20"/>
      <c r="BC452" s="27"/>
      <c r="BD452" s="27"/>
      <c r="BE452" s="27"/>
      <c r="BF452" s="27"/>
      <c r="BH452" s="13"/>
      <c r="BI452" s="13"/>
      <c r="BJ452" s="13"/>
    </row>
    <row r="453" spans="1:47" ht="12.75">
      <c r="A453" s="111"/>
      <c r="B453" s="112" t="s">
        <v>533</v>
      </c>
      <c r="C453" s="113" t="s">
        <v>889</v>
      </c>
      <c r="D453" s="206" t="s">
        <v>6</v>
      </c>
      <c r="E453" s="114" t="s">
        <v>6</v>
      </c>
      <c r="F453" s="133" t="s">
        <v>6</v>
      </c>
      <c r="G453" s="141">
        <f>SUM(G454:G456)</f>
        <v>0</v>
      </c>
      <c r="H453" s="115">
        <f>SUM(H454:H456)</f>
        <v>0</v>
      </c>
      <c r="I453" s="142">
        <f>SUM(I454:I456)</f>
        <v>0</v>
      </c>
      <c r="J453" s="215"/>
      <c r="K453" s="216">
        <f>SUM(K454:K456)</f>
        <v>0</v>
      </c>
      <c r="L453" s="151"/>
      <c r="AI453" s="20"/>
      <c r="AS453" s="29">
        <f>SUM(AJ454:AJ456)</f>
        <v>0</v>
      </c>
      <c r="AT453" s="29">
        <f>SUM(AK454:AK456)</f>
        <v>0</v>
      </c>
      <c r="AU453" s="29">
        <f>SUM(AL454:AL456)</f>
        <v>0</v>
      </c>
    </row>
    <row r="454" spans="1:62" ht="12.75">
      <c r="A454" s="107" t="s">
        <v>212</v>
      </c>
      <c r="B454" s="108" t="s">
        <v>534</v>
      </c>
      <c r="C454" s="109" t="s">
        <v>890</v>
      </c>
      <c r="D454" s="205" t="s">
        <v>1007</v>
      </c>
      <c r="E454" s="110">
        <v>1</v>
      </c>
      <c r="F454" s="132">
        <v>0</v>
      </c>
      <c r="G454" s="139">
        <f>E454*AO454</f>
        <v>0</v>
      </c>
      <c r="H454" s="110">
        <f>E454*AP454</f>
        <v>0</v>
      </c>
      <c r="I454" s="140">
        <f>E454*F454</f>
        <v>0</v>
      </c>
      <c r="J454" s="213">
        <v>0</v>
      </c>
      <c r="K454" s="214">
        <f>E454*J454</f>
        <v>0</v>
      </c>
      <c r="L454" s="150" t="s">
        <v>1039</v>
      </c>
      <c r="Z454" s="27">
        <f>IF(AQ454="5",BJ454,0)</f>
        <v>0</v>
      </c>
      <c r="AB454" s="27">
        <f>IF(AQ454="1",BH454,0)</f>
        <v>0</v>
      </c>
      <c r="AC454" s="27">
        <f>IF(AQ454="1",BI454,0)</f>
        <v>0</v>
      </c>
      <c r="AD454" s="27">
        <f>IF(AQ454="7",BH454,0)</f>
        <v>0</v>
      </c>
      <c r="AE454" s="27">
        <f>IF(AQ454="7",BI454,0)</f>
        <v>0</v>
      </c>
      <c r="AF454" s="27">
        <f>IF(AQ454="2",BH454,0)</f>
        <v>0</v>
      </c>
      <c r="AG454" s="27">
        <f>IF(AQ454="2",BI454,0)</f>
        <v>0</v>
      </c>
      <c r="AH454" s="27">
        <f>IF(AQ454="0",BJ454,0)</f>
        <v>0</v>
      </c>
      <c r="AI454" s="20"/>
      <c r="AJ454" s="13">
        <f>IF(AN454=0,I454,0)</f>
        <v>0</v>
      </c>
      <c r="AK454" s="13">
        <f>IF(AN454=15,I454,0)</f>
        <v>0</v>
      </c>
      <c r="AL454" s="13">
        <f>IF(AN454=21,I454,0)</f>
        <v>0</v>
      </c>
      <c r="AN454" s="27">
        <v>21</v>
      </c>
      <c r="AO454" s="27">
        <f>F454*0</f>
        <v>0</v>
      </c>
      <c r="AP454" s="27">
        <f>F454*(1-0)</f>
        <v>0</v>
      </c>
      <c r="AQ454" s="23" t="s">
        <v>8</v>
      </c>
      <c r="AV454" s="27">
        <f>AW454+AX454</f>
        <v>0</v>
      </c>
      <c r="AW454" s="27">
        <f>E454*AO454</f>
        <v>0</v>
      </c>
      <c r="AX454" s="27">
        <f>E454*AP454</f>
        <v>0</v>
      </c>
      <c r="AY454" s="28" t="s">
        <v>1089</v>
      </c>
      <c r="AZ454" s="28" t="s">
        <v>1104</v>
      </c>
      <c r="BA454" s="20" t="s">
        <v>1106</v>
      </c>
      <c r="BC454" s="27">
        <f>AW454+AX454</f>
        <v>0</v>
      </c>
      <c r="BD454" s="27">
        <f>F454/(100-BE454)*100</f>
        <v>0</v>
      </c>
      <c r="BE454" s="27">
        <v>0</v>
      </c>
      <c r="BF454" s="27">
        <f>K454</f>
        <v>0</v>
      </c>
      <c r="BH454" s="13">
        <f>E454*AO454</f>
        <v>0</v>
      </c>
      <c r="BI454" s="13">
        <f>E454*AP454</f>
        <v>0</v>
      </c>
      <c r="BJ454" s="13">
        <f>E454*F454</f>
        <v>0</v>
      </c>
    </row>
    <row r="455" spans="1:62" ht="12.75">
      <c r="A455" s="107"/>
      <c r="B455" s="108"/>
      <c r="C455" s="99" t="s">
        <v>1810</v>
      </c>
      <c r="D455" s="205"/>
      <c r="E455" s="110"/>
      <c r="F455" s="132"/>
      <c r="G455" s="139"/>
      <c r="H455" s="110"/>
      <c r="I455" s="140"/>
      <c r="J455" s="213"/>
      <c r="K455" s="214"/>
      <c r="L455" s="150"/>
      <c r="Z455" s="27"/>
      <c r="AB455" s="27"/>
      <c r="AC455" s="27"/>
      <c r="AD455" s="27"/>
      <c r="AE455" s="27"/>
      <c r="AF455" s="27"/>
      <c r="AG455" s="27"/>
      <c r="AH455" s="27"/>
      <c r="AI455" s="20"/>
      <c r="AJ455" s="13"/>
      <c r="AK455" s="13"/>
      <c r="AL455" s="13"/>
      <c r="AN455" s="27"/>
      <c r="AO455" s="27"/>
      <c r="AP455" s="27"/>
      <c r="AQ455" s="23"/>
      <c r="AV455" s="27"/>
      <c r="AW455" s="27"/>
      <c r="AX455" s="27"/>
      <c r="AY455" s="28"/>
      <c r="AZ455" s="28"/>
      <c r="BA455" s="20"/>
      <c r="BC455" s="27"/>
      <c r="BD455" s="27"/>
      <c r="BE455" s="27"/>
      <c r="BF455" s="27"/>
      <c r="BH455" s="13"/>
      <c r="BI455" s="13"/>
      <c r="BJ455" s="13"/>
    </row>
    <row r="456" spans="1:62" ht="12.75">
      <c r="A456" s="107" t="s">
        <v>213</v>
      </c>
      <c r="B456" s="108" t="s">
        <v>535</v>
      </c>
      <c r="C456" s="109" t="s">
        <v>891</v>
      </c>
      <c r="D456" s="205" t="s">
        <v>1007</v>
      </c>
      <c r="E456" s="110">
        <v>1</v>
      </c>
      <c r="F456" s="132">
        <v>0</v>
      </c>
      <c r="G456" s="139">
        <f>E456*AO456</f>
        <v>0</v>
      </c>
      <c r="H456" s="110">
        <f>E456*AP456</f>
        <v>0</v>
      </c>
      <c r="I456" s="140">
        <f>E456*F456</f>
        <v>0</v>
      </c>
      <c r="J456" s="213">
        <v>0</v>
      </c>
      <c r="K456" s="214">
        <f>E456*J456</f>
        <v>0</v>
      </c>
      <c r="L456" s="150" t="s">
        <v>1039</v>
      </c>
      <c r="Z456" s="27">
        <f>IF(AQ456="5",BJ456,0)</f>
        <v>0</v>
      </c>
      <c r="AB456" s="27">
        <f>IF(AQ456="1",BH456,0)</f>
        <v>0</v>
      </c>
      <c r="AC456" s="27">
        <f>IF(AQ456="1",BI456,0)</f>
        <v>0</v>
      </c>
      <c r="AD456" s="27">
        <f>IF(AQ456="7",BH456,0)</f>
        <v>0</v>
      </c>
      <c r="AE456" s="27">
        <f>IF(AQ456="7",BI456,0)</f>
        <v>0</v>
      </c>
      <c r="AF456" s="27">
        <f>IF(AQ456="2",BH456,0)</f>
        <v>0</v>
      </c>
      <c r="AG456" s="27">
        <f>IF(AQ456="2",BI456,0)</f>
        <v>0</v>
      </c>
      <c r="AH456" s="27">
        <f>IF(AQ456="0",BJ456,0)</f>
        <v>0</v>
      </c>
      <c r="AI456" s="20"/>
      <c r="AJ456" s="13">
        <f>IF(AN456=0,I456,0)</f>
        <v>0</v>
      </c>
      <c r="AK456" s="13">
        <f>IF(AN456=15,I456,0)</f>
        <v>0</v>
      </c>
      <c r="AL456" s="13">
        <f>IF(AN456=21,I456,0)</f>
        <v>0</v>
      </c>
      <c r="AN456" s="27">
        <v>21</v>
      </c>
      <c r="AO456" s="27">
        <f>F456*0</f>
        <v>0</v>
      </c>
      <c r="AP456" s="27">
        <f>F456*(1-0)</f>
        <v>0</v>
      </c>
      <c r="AQ456" s="23" t="s">
        <v>8</v>
      </c>
      <c r="AV456" s="27">
        <f>AW456+AX456</f>
        <v>0</v>
      </c>
      <c r="AW456" s="27">
        <f>E456*AO456</f>
        <v>0</v>
      </c>
      <c r="AX456" s="27">
        <f>E456*AP456</f>
        <v>0</v>
      </c>
      <c r="AY456" s="28" t="s">
        <v>1089</v>
      </c>
      <c r="AZ456" s="28" t="s">
        <v>1104</v>
      </c>
      <c r="BA456" s="20" t="s">
        <v>1106</v>
      </c>
      <c r="BC456" s="27">
        <f>AW456+AX456</f>
        <v>0</v>
      </c>
      <c r="BD456" s="27">
        <f>F456/(100-BE456)*100</f>
        <v>0</v>
      </c>
      <c r="BE456" s="27">
        <v>0</v>
      </c>
      <c r="BF456" s="27">
        <f>K456</f>
        <v>0</v>
      </c>
      <c r="BH456" s="13">
        <f>E456*AO456</f>
        <v>0</v>
      </c>
      <c r="BI456" s="13">
        <f>E456*AP456</f>
        <v>0</v>
      </c>
      <c r="BJ456" s="13">
        <f>E456*F456</f>
        <v>0</v>
      </c>
    </row>
    <row r="457" spans="1:62" ht="12.75">
      <c r="A457" s="107"/>
      <c r="B457" s="108"/>
      <c r="C457" s="99" t="s">
        <v>1811</v>
      </c>
      <c r="D457" s="205"/>
      <c r="E457" s="110"/>
      <c r="F457" s="132"/>
      <c r="G457" s="139"/>
      <c r="H457" s="110"/>
      <c r="I457" s="140"/>
      <c r="J457" s="213"/>
      <c r="K457" s="214"/>
      <c r="L457" s="150"/>
      <c r="Z457" s="27"/>
      <c r="AB457" s="27"/>
      <c r="AC457" s="27"/>
      <c r="AD457" s="27"/>
      <c r="AE457" s="27"/>
      <c r="AF457" s="27"/>
      <c r="AG457" s="27"/>
      <c r="AH457" s="27"/>
      <c r="AI457" s="20"/>
      <c r="AJ457" s="13"/>
      <c r="AK457" s="13"/>
      <c r="AL457" s="13"/>
      <c r="AN457" s="27"/>
      <c r="AO457" s="27"/>
      <c r="AP457" s="27"/>
      <c r="AQ457" s="23"/>
      <c r="AV457" s="27"/>
      <c r="AW457" s="27"/>
      <c r="AX457" s="27"/>
      <c r="AY457" s="28"/>
      <c r="AZ457" s="28"/>
      <c r="BA457" s="20"/>
      <c r="BC457" s="27"/>
      <c r="BD457" s="27"/>
      <c r="BE457" s="27"/>
      <c r="BF457" s="27"/>
      <c r="BH457" s="13"/>
      <c r="BI457" s="13"/>
      <c r="BJ457" s="13"/>
    </row>
    <row r="458" spans="1:47" ht="12.75">
      <c r="A458" s="111"/>
      <c r="B458" s="112" t="s">
        <v>536</v>
      </c>
      <c r="C458" s="113" t="s">
        <v>892</v>
      </c>
      <c r="D458" s="206" t="s">
        <v>6</v>
      </c>
      <c r="E458" s="114" t="s">
        <v>6</v>
      </c>
      <c r="F458" s="133" t="s">
        <v>6</v>
      </c>
      <c r="G458" s="141">
        <f>SUM(G459:G464)</f>
        <v>0</v>
      </c>
      <c r="H458" s="115">
        <f>SUM(H459:H464)</f>
        <v>0</v>
      </c>
      <c r="I458" s="142">
        <f>SUM(I459:I464)</f>
        <v>0</v>
      </c>
      <c r="J458" s="215"/>
      <c r="K458" s="216">
        <f>SUM(K459:K464)</f>
        <v>1.23456</v>
      </c>
      <c r="L458" s="151"/>
      <c r="AI458" s="20"/>
      <c r="AS458" s="29">
        <f>SUM(AJ459:AJ464)</f>
        <v>0</v>
      </c>
      <c r="AT458" s="29">
        <f>SUM(AK459:AK464)</f>
        <v>0</v>
      </c>
      <c r="AU458" s="29">
        <f>SUM(AL459:AL464)</f>
        <v>0</v>
      </c>
    </row>
    <row r="459" spans="1:62" ht="12.75">
      <c r="A459" s="107" t="s">
        <v>214</v>
      </c>
      <c r="B459" s="108" t="s">
        <v>537</v>
      </c>
      <c r="C459" s="109" t="s">
        <v>893</v>
      </c>
      <c r="D459" s="205" t="s">
        <v>1008</v>
      </c>
      <c r="E459" s="110">
        <v>220</v>
      </c>
      <c r="F459" s="132">
        <v>0</v>
      </c>
      <c r="G459" s="139">
        <f>E459*AO459</f>
        <v>0</v>
      </c>
      <c r="H459" s="110">
        <f>E459*AP459</f>
        <v>0</v>
      </c>
      <c r="I459" s="140">
        <f>E459*F459</f>
        <v>0</v>
      </c>
      <c r="J459" s="213">
        <v>0</v>
      </c>
      <c r="K459" s="214">
        <f>E459*J459</f>
        <v>0</v>
      </c>
      <c r="L459" s="150" t="s">
        <v>1039</v>
      </c>
      <c r="Z459" s="27">
        <f>IF(AQ459="5",BJ459,0)</f>
        <v>0</v>
      </c>
      <c r="AB459" s="27">
        <f>IF(AQ459="1",BH459,0)</f>
        <v>0</v>
      </c>
      <c r="AC459" s="27">
        <f>IF(AQ459="1",BI459,0)</f>
        <v>0</v>
      </c>
      <c r="AD459" s="27">
        <f>IF(AQ459="7",BH459,0)</f>
        <v>0</v>
      </c>
      <c r="AE459" s="27">
        <f>IF(AQ459="7",BI459,0)</f>
        <v>0</v>
      </c>
      <c r="AF459" s="27">
        <f>IF(AQ459="2",BH459,0)</f>
        <v>0</v>
      </c>
      <c r="AG459" s="27">
        <f>IF(AQ459="2",BI459,0)</f>
        <v>0</v>
      </c>
      <c r="AH459" s="27">
        <f>IF(AQ459="0",BJ459,0)</f>
        <v>0</v>
      </c>
      <c r="AI459" s="20"/>
      <c r="AJ459" s="13">
        <f>IF(AN459=0,I459,0)</f>
        <v>0</v>
      </c>
      <c r="AK459" s="13">
        <f>IF(AN459=15,I459,0)</f>
        <v>0</v>
      </c>
      <c r="AL459" s="13">
        <f>IF(AN459=21,I459,0)</f>
        <v>0</v>
      </c>
      <c r="AN459" s="27">
        <v>21</v>
      </c>
      <c r="AO459" s="27">
        <f>F459*0</f>
        <v>0</v>
      </c>
      <c r="AP459" s="27">
        <f>F459*(1-0)</f>
        <v>0</v>
      </c>
      <c r="AQ459" s="23" t="s">
        <v>8</v>
      </c>
      <c r="AV459" s="27">
        <f>AW459+AX459</f>
        <v>0</v>
      </c>
      <c r="AW459" s="27">
        <f>E459*AO459</f>
        <v>0</v>
      </c>
      <c r="AX459" s="27">
        <f>E459*AP459</f>
        <v>0</v>
      </c>
      <c r="AY459" s="28" t="s">
        <v>1090</v>
      </c>
      <c r="AZ459" s="28" t="s">
        <v>1104</v>
      </c>
      <c r="BA459" s="20" t="s">
        <v>1106</v>
      </c>
      <c r="BC459" s="27">
        <f>AW459+AX459</f>
        <v>0</v>
      </c>
      <c r="BD459" s="27">
        <f>F459/(100-BE459)*100</f>
        <v>0</v>
      </c>
      <c r="BE459" s="27">
        <v>0</v>
      </c>
      <c r="BF459" s="27">
        <f>K459</f>
        <v>0</v>
      </c>
      <c r="BH459" s="13">
        <f>E459*AO459</f>
        <v>0</v>
      </c>
      <c r="BI459" s="13">
        <f>E459*AP459</f>
        <v>0</v>
      </c>
      <c r="BJ459" s="13">
        <f>E459*F459</f>
        <v>0</v>
      </c>
    </row>
    <row r="460" spans="1:62" ht="12.75">
      <c r="A460" s="107" t="s">
        <v>215</v>
      </c>
      <c r="B460" s="108" t="s">
        <v>538</v>
      </c>
      <c r="C460" s="109" t="s">
        <v>894</v>
      </c>
      <c r="D460" s="205" t="s">
        <v>1008</v>
      </c>
      <c r="E460" s="110">
        <v>924.28</v>
      </c>
      <c r="F460" s="132">
        <v>0</v>
      </c>
      <c r="G460" s="139">
        <f>E460*AO460</f>
        <v>0</v>
      </c>
      <c r="H460" s="110">
        <f>E460*AP460</f>
        <v>0</v>
      </c>
      <c r="I460" s="140">
        <f>E460*F460</f>
        <v>0</v>
      </c>
      <c r="J460" s="213">
        <v>0</v>
      </c>
      <c r="K460" s="214">
        <f>E460*J460</f>
        <v>0</v>
      </c>
      <c r="L460" s="150" t="s">
        <v>1039</v>
      </c>
      <c r="Z460" s="27">
        <f>IF(AQ460="5",BJ460,0)</f>
        <v>0</v>
      </c>
      <c r="AB460" s="27">
        <f>IF(AQ460="1",BH460,0)</f>
        <v>0</v>
      </c>
      <c r="AC460" s="27">
        <f>IF(AQ460="1",BI460,0)</f>
        <v>0</v>
      </c>
      <c r="AD460" s="27">
        <f>IF(AQ460="7",BH460,0)</f>
        <v>0</v>
      </c>
      <c r="AE460" s="27">
        <f>IF(AQ460="7",BI460,0)</f>
        <v>0</v>
      </c>
      <c r="AF460" s="27">
        <f>IF(AQ460="2",BH460,0)</f>
        <v>0</v>
      </c>
      <c r="AG460" s="27">
        <f>IF(AQ460="2",BI460,0)</f>
        <v>0</v>
      </c>
      <c r="AH460" s="27">
        <f>IF(AQ460="0",BJ460,0)</f>
        <v>0</v>
      </c>
      <c r="AI460" s="20"/>
      <c r="AJ460" s="13">
        <f>IF(AN460=0,I460,0)</f>
        <v>0</v>
      </c>
      <c r="AK460" s="13">
        <f>IF(AN460=15,I460,0)</f>
        <v>0</v>
      </c>
      <c r="AL460" s="13">
        <f>IF(AN460=21,I460,0)</f>
        <v>0</v>
      </c>
      <c r="AN460" s="27">
        <v>21</v>
      </c>
      <c r="AO460" s="27">
        <f>F460*0</f>
        <v>0</v>
      </c>
      <c r="AP460" s="27">
        <f>F460*(1-0)</f>
        <v>0</v>
      </c>
      <c r="AQ460" s="23" t="s">
        <v>8</v>
      </c>
      <c r="AV460" s="27">
        <f>AW460+AX460</f>
        <v>0</v>
      </c>
      <c r="AW460" s="27">
        <f>E460*AO460</f>
        <v>0</v>
      </c>
      <c r="AX460" s="27">
        <f>E460*AP460</f>
        <v>0</v>
      </c>
      <c r="AY460" s="28" t="s">
        <v>1090</v>
      </c>
      <c r="AZ460" s="28" t="s">
        <v>1104</v>
      </c>
      <c r="BA460" s="20" t="s">
        <v>1106</v>
      </c>
      <c r="BC460" s="27">
        <f>AW460+AX460</f>
        <v>0</v>
      </c>
      <c r="BD460" s="27">
        <f>F460/(100-BE460)*100</f>
        <v>0</v>
      </c>
      <c r="BE460" s="27">
        <v>0</v>
      </c>
      <c r="BF460" s="27">
        <f>K460</f>
        <v>0</v>
      </c>
      <c r="BH460" s="13">
        <f>E460*AO460</f>
        <v>0</v>
      </c>
      <c r="BI460" s="13">
        <f>E460*AP460</f>
        <v>0</v>
      </c>
      <c r="BJ460" s="13">
        <f>E460*F460</f>
        <v>0</v>
      </c>
    </row>
    <row r="461" spans="1:62" ht="12.75">
      <c r="A461" s="107" t="s">
        <v>216</v>
      </c>
      <c r="B461" s="108" t="s">
        <v>539</v>
      </c>
      <c r="C461" s="109" t="s">
        <v>895</v>
      </c>
      <c r="D461" s="205" t="s">
        <v>1008</v>
      </c>
      <c r="E461" s="110">
        <v>265</v>
      </c>
      <c r="F461" s="132">
        <v>0</v>
      </c>
      <c r="G461" s="139">
        <f>E461*AO461</f>
        <v>0</v>
      </c>
      <c r="H461" s="110">
        <f>E461*AP461</f>
        <v>0</v>
      </c>
      <c r="I461" s="140">
        <f>E461*F461</f>
        <v>0</v>
      </c>
      <c r="J461" s="213">
        <v>0</v>
      </c>
      <c r="K461" s="214">
        <f>E461*J461</f>
        <v>0</v>
      </c>
      <c r="L461" s="150" t="s">
        <v>1039</v>
      </c>
      <c r="Z461" s="27">
        <f>IF(AQ461="5",BJ461,0)</f>
        <v>0</v>
      </c>
      <c r="AB461" s="27">
        <f>IF(AQ461="1",BH461,0)</f>
        <v>0</v>
      </c>
      <c r="AC461" s="27">
        <f>IF(AQ461="1",BI461,0)</f>
        <v>0</v>
      </c>
      <c r="AD461" s="27">
        <f>IF(AQ461="7",BH461,0)</f>
        <v>0</v>
      </c>
      <c r="AE461" s="27">
        <f>IF(AQ461="7",BI461,0)</f>
        <v>0</v>
      </c>
      <c r="AF461" s="27">
        <f>IF(AQ461="2",BH461,0)</f>
        <v>0</v>
      </c>
      <c r="AG461" s="27">
        <f>IF(AQ461="2",BI461,0)</f>
        <v>0</v>
      </c>
      <c r="AH461" s="27">
        <f>IF(AQ461="0",BJ461,0)</f>
        <v>0</v>
      </c>
      <c r="AI461" s="20"/>
      <c r="AJ461" s="13">
        <f>IF(AN461=0,I461,0)</f>
        <v>0</v>
      </c>
      <c r="AK461" s="13">
        <f>IF(AN461=15,I461,0)</f>
        <v>0</v>
      </c>
      <c r="AL461" s="13">
        <f>IF(AN461=21,I461,0)</f>
        <v>0</v>
      </c>
      <c r="AN461" s="27">
        <v>21</v>
      </c>
      <c r="AO461" s="27">
        <f>F461*0</f>
        <v>0</v>
      </c>
      <c r="AP461" s="27">
        <f>F461*(1-0)</f>
        <v>0</v>
      </c>
      <c r="AQ461" s="23" t="s">
        <v>8</v>
      </c>
      <c r="AV461" s="27">
        <f>AW461+AX461</f>
        <v>0</v>
      </c>
      <c r="AW461" s="27">
        <f>E461*AO461</f>
        <v>0</v>
      </c>
      <c r="AX461" s="27">
        <f>E461*AP461</f>
        <v>0</v>
      </c>
      <c r="AY461" s="28" t="s">
        <v>1090</v>
      </c>
      <c r="AZ461" s="28" t="s">
        <v>1104</v>
      </c>
      <c r="BA461" s="20" t="s">
        <v>1106</v>
      </c>
      <c r="BC461" s="27">
        <f>AW461+AX461</f>
        <v>0</v>
      </c>
      <c r="BD461" s="27">
        <f>F461/(100-BE461)*100</f>
        <v>0</v>
      </c>
      <c r="BE461" s="27">
        <v>0</v>
      </c>
      <c r="BF461" s="27">
        <f>K461</f>
        <v>0</v>
      </c>
      <c r="BH461" s="13">
        <f>E461*AO461</f>
        <v>0</v>
      </c>
      <c r="BI461" s="13">
        <f>E461*AP461</f>
        <v>0</v>
      </c>
      <c r="BJ461" s="13">
        <f>E461*F461</f>
        <v>0</v>
      </c>
    </row>
    <row r="462" spans="1:62" ht="12.75">
      <c r="A462" s="107" t="s">
        <v>217</v>
      </c>
      <c r="B462" s="108" t="s">
        <v>540</v>
      </c>
      <c r="C462" s="109" t="s">
        <v>896</v>
      </c>
      <c r="D462" s="205" t="s">
        <v>1008</v>
      </c>
      <c r="E462" s="110">
        <v>5</v>
      </c>
      <c r="F462" s="132">
        <v>0</v>
      </c>
      <c r="G462" s="139">
        <f>E462*AO462</f>
        <v>0</v>
      </c>
      <c r="H462" s="110">
        <f>E462*AP462</f>
        <v>0</v>
      </c>
      <c r="I462" s="140">
        <f>E462*F462</f>
        <v>0</v>
      </c>
      <c r="J462" s="213">
        <v>0</v>
      </c>
      <c r="K462" s="214">
        <f>E462*J462</f>
        <v>0</v>
      </c>
      <c r="L462" s="150" t="s">
        <v>1039</v>
      </c>
      <c r="Z462" s="27">
        <f>IF(AQ462="5",BJ462,0)</f>
        <v>0</v>
      </c>
      <c r="AB462" s="27">
        <f>IF(AQ462="1",BH462,0)</f>
        <v>0</v>
      </c>
      <c r="AC462" s="27">
        <f>IF(AQ462="1",BI462,0)</f>
        <v>0</v>
      </c>
      <c r="AD462" s="27">
        <f>IF(AQ462="7",BH462,0)</f>
        <v>0</v>
      </c>
      <c r="AE462" s="27">
        <f>IF(AQ462="7",BI462,0)</f>
        <v>0</v>
      </c>
      <c r="AF462" s="27">
        <f>IF(AQ462="2",BH462,0)</f>
        <v>0</v>
      </c>
      <c r="AG462" s="27">
        <f>IF(AQ462="2",BI462,0)</f>
        <v>0</v>
      </c>
      <c r="AH462" s="27">
        <f>IF(AQ462="0",BJ462,0)</f>
        <v>0</v>
      </c>
      <c r="AI462" s="20"/>
      <c r="AJ462" s="13">
        <f>IF(AN462=0,I462,0)</f>
        <v>0</v>
      </c>
      <c r="AK462" s="13">
        <f>IF(AN462=15,I462,0)</f>
        <v>0</v>
      </c>
      <c r="AL462" s="13">
        <f>IF(AN462=21,I462,0)</f>
        <v>0</v>
      </c>
      <c r="AN462" s="27">
        <v>21</v>
      </c>
      <c r="AO462" s="27">
        <f>F462*0</f>
        <v>0</v>
      </c>
      <c r="AP462" s="27">
        <f>F462*(1-0)</f>
        <v>0</v>
      </c>
      <c r="AQ462" s="23" t="s">
        <v>8</v>
      </c>
      <c r="AV462" s="27">
        <f>AW462+AX462</f>
        <v>0</v>
      </c>
      <c r="AW462" s="27">
        <f>E462*AO462</f>
        <v>0</v>
      </c>
      <c r="AX462" s="27">
        <f>E462*AP462</f>
        <v>0</v>
      </c>
      <c r="AY462" s="28" t="s">
        <v>1090</v>
      </c>
      <c r="AZ462" s="28" t="s">
        <v>1104</v>
      </c>
      <c r="BA462" s="20" t="s">
        <v>1106</v>
      </c>
      <c r="BC462" s="27">
        <f>AW462+AX462</f>
        <v>0</v>
      </c>
      <c r="BD462" s="27">
        <f>F462/(100-BE462)*100</f>
        <v>0</v>
      </c>
      <c r="BE462" s="27">
        <v>0</v>
      </c>
      <c r="BF462" s="27">
        <f>K462</f>
        <v>0</v>
      </c>
      <c r="BH462" s="13">
        <f>E462*AO462</f>
        <v>0</v>
      </c>
      <c r="BI462" s="13">
        <f>E462*AP462</f>
        <v>0</v>
      </c>
      <c r="BJ462" s="13">
        <f>E462*F462</f>
        <v>0</v>
      </c>
    </row>
    <row r="463" spans="1:62" ht="12.75">
      <c r="A463" s="107"/>
      <c r="B463" s="108"/>
      <c r="C463" s="99" t="s">
        <v>1812</v>
      </c>
      <c r="D463" s="205"/>
      <c r="E463" s="110"/>
      <c r="F463" s="132"/>
      <c r="G463" s="139"/>
      <c r="H463" s="110"/>
      <c r="I463" s="140"/>
      <c r="J463" s="213"/>
      <c r="K463" s="214"/>
      <c r="L463" s="150"/>
      <c r="Z463" s="27"/>
      <c r="AB463" s="27"/>
      <c r="AC463" s="27"/>
      <c r="AD463" s="27"/>
      <c r="AE463" s="27"/>
      <c r="AF463" s="27"/>
      <c r="AG463" s="27"/>
      <c r="AH463" s="27"/>
      <c r="AI463" s="20"/>
      <c r="AJ463" s="13"/>
      <c r="AK463" s="13"/>
      <c r="AL463" s="13"/>
      <c r="AN463" s="27"/>
      <c r="AO463" s="27"/>
      <c r="AP463" s="27"/>
      <c r="AQ463" s="23"/>
      <c r="AV463" s="27"/>
      <c r="AW463" s="27"/>
      <c r="AX463" s="27"/>
      <c r="AY463" s="28"/>
      <c r="AZ463" s="28"/>
      <c r="BA463" s="20"/>
      <c r="BC463" s="27"/>
      <c r="BD463" s="27"/>
      <c r="BE463" s="27"/>
      <c r="BF463" s="27"/>
      <c r="BH463" s="13"/>
      <c r="BI463" s="13"/>
      <c r="BJ463" s="13"/>
    </row>
    <row r="464" spans="1:62" ht="12.75">
      <c r="A464" s="107" t="s">
        <v>218</v>
      </c>
      <c r="B464" s="108" t="s">
        <v>541</v>
      </c>
      <c r="C464" s="109" t="s">
        <v>897</v>
      </c>
      <c r="D464" s="205" t="s">
        <v>1008</v>
      </c>
      <c r="E464" s="110">
        <v>32</v>
      </c>
      <c r="F464" s="132">
        <v>0</v>
      </c>
      <c r="G464" s="139">
        <f>E464*AO464</f>
        <v>0</v>
      </c>
      <c r="H464" s="110">
        <f>E464*AP464</f>
        <v>0</v>
      </c>
      <c r="I464" s="140">
        <f>E464*F464</f>
        <v>0</v>
      </c>
      <c r="J464" s="213">
        <v>0.03858</v>
      </c>
      <c r="K464" s="214">
        <f>E464*J464</f>
        <v>1.23456</v>
      </c>
      <c r="L464" s="150" t="s">
        <v>1039</v>
      </c>
      <c r="Z464" s="27">
        <f>IF(AQ464="5",BJ464,0)</f>
        <v>0</v>
      </c>
      <c r="AB464" s="27">
        <f>IF(AQ464="1",BH464,0)</f>
        <v>0</v>
      </c>
      <c r="AC464" s="27">
        <f>IF(AQ464="1",BI464,0)</f>
        <v>0</v>
      </c>
      <c r="AD464" s="27">
        <f>IF(AQ464="7",BH464,0)</f>
        <v>0</v>
      </c>
      <c r="AE464" s="27">
        <f>IF(AQ464="7",BI464,0)</f>
        <v>0</v>
      </c>
      <c r="AF464" s="27">
        <f>IF(AQ464="2",BH464,0)</f>
        <v>0</v>
      </c>
      <c r="AG464" s="27">
        <f>IF(AQ464="2",BI464,0)</f>
        <v>0</v>
      </c>
      <c r="AH464" s="27">
        <f>IF(AQ464="0",BJ464,0)</f>
        <v>0</v>
      </c>
      <c r="AI464" s="20"/>
      <c r="AJ464" s="13">
        <f>IF(AN464=0,I464,0)</f>
        <v>0</v>
      </c>
      <c r="AK464" s="13">
        <f>IF(AN464=15,I464,0)</f>
        <v>0</v>
      </c>
      <c r="AL464" s="13">
        <f>IF(AN464=21,I464,0)</f>
        <v>0</v>
      </c>
      <c r="AN464" s="27">
        <v>21</v>
      </c>
      <c r="AO464" s="27">
        <f>F464*0.459538961038961</f>
        <v>0</v>
      </c>
      <c r="AP464" s="27">
        <f>F464*(1-0.459538961038961)</f>
        <v>0</v>
      </c>
      <c r="AQ464" s="23" t="s">
        <v>8</v>
      </c>
      <c r="AV464" s="27">
        <f>AW464+AX464</f>
        <v>0</v>
      </c>
      <c r="AW464" s="27">
        <f>E464*AO464</f>
        <v>0</v>
      </c>
      <c r="AX464" s="27">
        <f>E464*AP464</f>
        <v>0</v>
      </c>
      <c r="AY464" s="28" t="s">
        <v>1090</v>
      </c>
      <c r="AZ464" s="28" t="s">
        <v>1104</v>
      </c>
      <c r="BA464" s="20" t="s">
        <v>1106</v>
      </c>
      <c r="BC464" s="27">
        <f>AW464+AX464</f>
        <v>0</v>
      </c>
      <c r="BD464" s="27">
        <f>F464/(100-BE464)*100</f>
        <v>0</v>
      </c>
      <c r="BE464" s="27">
        <v>0</v>
      </c>
      <c r="BF464" s="27">
        <f>K464</f>
        <v>1.23456</v>
      </c>
      <c r="BH464" s="13">
        <f>E464*AO464</f>
        <v>0</v>
      </c>
      <c r="BI464" s="13">
        <f>E464*AP464</f>
        <v>0</v>
      </c>
      <c r="BJ464" s="13">
        <f>E464*F464</f>
        <v>0</v>
      </c>
    </row>
    <row r="465" spans="1:62" ht="12.75">
      <c r="A465" s="107"/>
      <c r="B465" s="108"/>
      <c r="C465" s="99" t="s">
        <v>1813</v>
      </c>
      <c r="D465" s="205"/>
      <c r="E465" s="110"/>
      <c r="F465" s="132"/>
      <c r="G465" s="139"/>
      <c r="H465" s="110"/>
      <c r="I465" s="140"/>
      <c r="J465" s="213"/>
      <c r="K465" s="214"/>
      <c r="L465" s="150"/>
      <c r="Z465" s="27"/>
      <c r="AB465" s="27"/>
      <c r="AC465" s="27"/>
      <c r="AD465" s="27"/>
      <c r="AE465" s="27"/>
      <c r="AF465" s="27"/>
      <c r="AG465" s="27"/>
      <c r="AH465" s="27"/>
      <c r="AI465" s="20"/>
      <c r="AJ465" s="13"/>
      <c r="AK465" s="13"/>
      <c r="AL465" s="13"/>
      <c r="AN465" s="27"/>
      <c r="AO465" s="27"/>
      <c r="AP465" s="27"/>
      <c r="AQ465" s="23"/>
      <c r="AV465" s="27"/>
      <c r="AW465" s="27"/>
      <c r="AX465" s="27"/>
      <c r="AY465" s="28"/>
      <c r="AZ465" s="28"/>
      <c r="BA465" s="20"/>
      <c r="BC465" s="27"/>
      <c r="BD465" s="27"/>
      <c r="BE465" s="27"/>
      <c r="BF465" s="27"/>
      <c r="BH465" s="13"/>
      <c r="BI465" s="13"/>
      <c r="BJ465" s="13"/>
    </row>
    <row r="466" spans="1:47" ht="12.75">
      <c r="A466" s="111"/>
      <c r="B466" s="112" t="s">
        <v>542</v>
      </c>
      <c r="C466" s="113" t="s">
        <v>898</v>
      </c>
      <c r="D466" s="206" t="s">
        <v>6</v>
      </c>
      <c r="E466" s="114" t="s">
        <v>6</v>
      </c>
      <c r="F466" s="133" t="s">
        <v>6</v>
      </c>
      <c r="G466" s="141">
        <f>SUM(G467:G486)</f>
        <v>0</v>
      </c>
      <c r="H466" s="115">
        <f>SUM(H467:H486)</f>
        <v>0</v>
      </c>
      <c r="I466" s="142">
        <f>SUM(I467:I486)</f>
        <v>0</v>
      </c>
      <c r="J466" s="215"/>
      <c r="K466" s="216">
        <f>SUM(K467:K486)</f>
        <v>0</v>
      </c>
      <c r="L466" s="151"/>
      <c r="AI466" s="20"/>
      <c r="AS466" s="29">
        <f>SUM(AJ467:AJ486)</f>
        <v>0</v>
      </c>
      <c r="AT466" s="29">
        <f>SUM(AK467:AK486)</f>
        <v>0</v>
      </c>
      <c r="AU466" s="29">
        <f>SUM(AL467:AL486)</f>
        <v>0</v>
      </c>
    </row>
    <row r="467" spans="1:62" ht="12.75">
      <c r="A467" s="107" t="s">
        <v>219</v>
      </c>
      <c r="B467" s="108" t="s">
        <v>543</v>
      </c>
      <c r="C467" s="109" t="s">
        <v>899</v>
      </c>
      <c r="D467" s="205" t="s">
        <v>1011</v>
      </c>
      <c r="E467" s="110">
        <f>+E468</f>
        <v>11.433</v>
      </c>
      <c r="F467" s="132">
        <v>0</v>
      </c>
      <c r="G467" s="139">
        <f aca="true" t="shared" si="248" ref="G467:G486">E467*AO467</f>
        <v>0</v>
      </c>
      <c r="H467" s="110">
        <f aca="true" t="shared" si="249" ref="H467:H486">E467*AP467</f>
        <v>0</v>
      </c>
      <c r="I467" s="140">
        <f aca="true" t="shared" si="250" ref="I467:I486">E467*F467</f>
        <v>0</v>
      </c>
      <c r="J467" s="213">
        <v>0</v>
      </c>
      <c r="K467" s="214">
        <f aca="true" t="shared" si="251" ref="K467:K486">E467*J467</f>
        <v>0</v>
      </c>
      <c r="L467" s="150" t="s">
        <v>1039</v>
      </c>
      <c r="Z467" s="27">
        <f aca="true" t="shared" si="252" ref="Z467:Z486">IF(AQ467="5",BJ467,0)</f>
        <v>0</v>
      </c>
      <c r="AB467" s="27">
        <f aca="true" t="shared" si="253" ref="AB467:AB486">IF(AQ467="1",BH467,0)</f>
        <v>0</v>
      </c>
      <c r="AC467" s="27">
        <f aca="true" t="shared" si="254" ref="AC467:AC486">IF(AQ467="1",BI467,0)</f>
        <v>0</v>
      </c>
      <c r="AD467" s="27">
        <f aca="true" t="shared" si="255" ref="AD467:AD486">IF(AQ467="7",BH467,0)</f>
        <v>0</v>
      </c>
      <c r="AE467" s="27">
        <f aca="true" t="shared" si="256" ref="AE467:AE486">IF(AQ467="7",BI467,0)</f>
        <v>0</v>
      </c>
      <c r="AF467" s="27">
        <f aca="true" t="shared" si="257" ref="AF467:AF486">IF(AQ467="2",BH467,0)</f>
        <v>0</v>
      </c>
      <c r="AG467" s="27">
        <f aca="true" t="shared" si="258" ref="AG467:AG486">IF(AQ467="2",BI467,0)</f>
        <v>0</v>
      </c>
      <c r="AH467" s="27">
        <f aca="true" t="shared" si="259" ref="AH467:AH486">IF(AQ467="0",BJ467,0)</f>
        <v>0</v>
      </c>
      <c r="AI467" s="20"/>
      <c r="AJ467" s="13">
        <f aca="true" t="shared" si="260" ref="AJ467:AJ486">IF(AN467=0,I467,0)</f>
        <v>0</v>
      </c>
      <c r="AK467" s="13">
        <f aca="true" t="shared" si="261" ref="AK467:AK486">IF(AN467=15,I467,0)</f>
        <v>0</v>
      </c>
      <c r="AL467" s="13">
        <f aca="true" t="shared" si="262" ref="AL467:AL486">IF(AN467=21,I467,0)</f>
        <v>0</v>
      </c>
      <c r="AN467" s="27">
        <v>21</v>
      </c>
      <c r="AO467" s="27">
        <f>F467*0</f>
        <v>0</v>
      </c>
      <c r="AP467" s="27">
        <f>F467*(1-0)</f>
        <v>0</v>
      </c>
      <c r="AQ467" s="23" t="s">
        <v>11</v>
      </c>
      <c r="AV467" s="27">
        <f aca="true" t="shared" si="263" ref="AV467:AV486">AW467+AX467</f>
        <v>0</v>
      </c>
      <c r="AW467" s="27">
        <f aca="true" t="shared" si="264" ref="AW467:AW486">E467*AO467</f>
        <v>0</v>
      </c>
      <c r="AX467" s="27">
        <f aca="true" t="shared" si="265" ref="AX467:AX486">E467*AP467</f>
        <v>0</v>
      </c>
      <c r="AY467" s="28" t="s">
        <v>1091</v>
      </c>
      <c r="AZ467" s="28" t="s">
        <v>1104</v>
      </c>
      <c r="BA467" s="20" t="s">
        <v>1106</v>
      </c>
      <c r="BC467" s="27">
        <f aca="true" t="shared" si="266" ref="BC467:BC486">AW467+AX467</f>
        <v>0</v>
      </c>
      <c r="BD467" s="27">
        <f aca="true" t="shared" si="267" ref="BD467:BD486">F467/(100-BE467)*100</f>
        <v>0</v>
      </c>
      <c r="BE467" s="27">
        <v>0</v>
      </c>
      <c r="BF467" s="27">
        <f aca="true" t="shared" si="268" ref="BF467:BF486">K467</f>
        <v>0</v>
      </c>
      <c r="BH467" s="13">
        <f aca="true" t="shared" si="269" ref="BH467:BH486">E467*AO467</f>
        <v>0</v>
      </c>
      <c r="BI467" s="13">
        <f aca="true" t="shared" si="270" ref="BI467:BI486">E467*AP467</f>
        <v>0</v>
      </c>
      <c r="BJ467" s="13">
        <f aca="true" t="shared" si="271" ref="BJ467:BJ486">E467*F467</f>
        <v>0</v>
      </c>
    </row>
    <row r="468" spans="1:62" ht="25.5">
      <c r="A468" s="107"/>
      <c r="B468" s="108"/>
      <c r="C468" s="99" t="s">
        <v>1814</v>
      </c>
      <c r="D468" s="100" t="s">
        <v>1011</v>
      </c>
      <c r="E468" s="101">
        <f>+(E449+E451)*0.222</f>
        <v>11.433</v>
      </c>
      <c r="F468" s="132"/>
      <c r="G468" s="139"/>
      <c r="H468" s="110"/>
      <c r="I468" s="140"/>
      <c r="J468" s="213"/>
      <c r="K468" s="214"/>
      <c r="L468" s="150"/>
      <c r="Z468" s="27"/>
      <c r="AB468" s="27"/>
      <c r="AC468" s="27"/>
      <c r="AD468" s="27"/>
      <c r="AE468" s="27"/>
      <c r="AF468" s="27"/>
      <c r="AG468" s="27"/>
      <c r="AH468" s="27"/>
      <c r="AI468" s="20"/>
      <c r="AJ468" s="13"/>
      <c r="AK468" s="13"/>
      <c r="AL468" s="13"/>
      <c r="AN468" s="27"/>
      <c r="AO468" s="27"/>
      <c r="AP468" s="27"/>
      <c r="AQ468" s="23"/>
      <c r="AV468" s="27"/>
      <c r="AW468" s="27"/>
      <c r="AX468" s="27"/>
      <c r="AY468" s="28"/>
      <c r="AZ468" s="28"/>
      <c r="BA468" s="20"/>
      <c r="BC468" s="27"/>
      <c r="BD468" s="27"/>
      <c r="BE468" s="27"/>
      <c r="BF468" s="27"/>
      <c r="BH468" s="13"/>
      <c r="BI468" s="13"/>
      <c r="BJ468" s="13"/>
    </row>
    <row r="469" spans="1:62" ht="12.75">
      <c r="A469" s="107" t="s">
        <v>220</v>
      </c>
      <c r="B469" s="108" t="s">
        <v>544</v>
      </c>
      <c r="C469" s="109" t="s">
        <v>900</v>
      </c>
      <c r="D469" s="205" t="s">
        <v>1011</v>
      </c>
      <c r="E469" s="110">
        <f>+E470</f>
        <v>68.598</v>
      </c>
      <c r="F469" s="132">
        <v>0</v>
      </c>
      <c r="G469" s="139">
        <f t="shared" si="248"/>
        <v>0</v>
      </c>
      <c r="H469" s="110">
        <f t="shared" si="249"/>
        <v>0</v>
      </c>
      <c r="I469" s="140">
        <f t="shared" si="250"/>
        <v>0</v>
      </c>
      <c r="J469" s="213">
        <v>0</v>
      </c>
      <c r="K469" s="214">
        <f t="shared" si="251"/>
        <v>0</v>
      </c>
      <c r="L469" s="150" t="s">
        <v>1039</v>
      </c>
      <c r="Z469" s="27">
        <f t="shared" si="252"/>
        <v>0</v>
      </c>
      <c r="AB469" s="27">
        <f t="shared" si="253"/>
        <v>0</v>
      </c>
      <c r="AC469" s="27">
        <f t="shared" si="254"/>
        <v>0</v>
      </c>
      <c r="AD469" s="27">
        <f t="shared" si="255"/>
        <v>0</v>
      </c>
      <c r="AE469" s="27">
        <f t="shared" si="256"/>
        <v>0</v>
      </c>
      <c r="AF469" s="27">
        <f t="shared" si="257"/>
        <v>0</v>
      </c>
      <c r="AG469" s="27">
        <f t="shared" si="258"/>
        <v>0</v>
      </c>
      <c r="AH469" s="27">
        <f t="shared" si="259"/>
        <v>0</v>
      </c>
      <c r="AI469" s="20"/>
      <c r="AJ469" s="13">
        <f t="shared" si="260"/>
        <v>0</v>
      </c>
      <c r="AK469" s="13">
        <f t="shared" si="261"/>
        <v>0</v>
      </c>
      <c r="AL469" s="13">
        <f t="shared" si="262"/>
        <v>0</v>
      </c>
      <c r="AN469" s="27">
        <v>21</v>
      </c>
      <c r="AO469" s="27">
        <f>F469*0</f>
        <v>0</v>
      </c>
      <c r="AP469" s="27">
        <f>F469*(1-0)</f>
        <v>0</v>
      </c>
      <c r="AQ469" s="23" t="s">
        <v>11</v>
      </c>
      <c r="AV469" s="27">
        <f t="shared" si="263"/>
        <v>0</v>
      </c>
      <c r="AW469" s="27">
        <f t="shared" si="264"/>
        <v>0</v>
      </c>
      <c r="AX469" s="27">
        <f t="shared" si="265"/>
        <v>0</v>
      </c>
      <c r="AY469" s="28" t="s">
        <v>1091</v>
      </c>
      <c r="AZ469" s="28" t="s">
        <v>1104</v>
      </c>
      <c r="BA469" s="20" t="s">
        <v>1106</v>
      </c>
      <c r="BC469" s="27">
        <f t="shared" si="266"/>
        <v>0</v>
      </c>
      <c r="BD469" s="27">
        <f t="shared" si="267"/>
        <v>0</v>
      </c>
      <c r="BE469" s="27">
        <v>0</v>
      </c>
      <c r="BF469" s="27">
        <f t="shared" si="268"/>
        <v>0</v>
      </c>
      <c r="BH469" s="13">
        <f t="shared" si="269"/>
        <v>0</v>
      </c>
      <c r="BI469" s="13">
        <f t="shared" si="270"/>
        <v>0</v>
      </c>
      <c r="BJ469" s="13">
        <f t="shared" si="271"/>
        <v>0</v>
      </c>
    </row>
    <row r="470" spans="1:62" ht="12.75">
      <c r="A470" s="107"/>
      <c r="B470" s="108"/>
      <c r="C470" s="99" t="s">
        <v>1815</v>
      </c>
      <c r="D470" s="100" t="s">
        <v>1011</v>
      </c>
      <c r="E470" s="101">
        <f>+E467*3*2</f>
        <v>68.598</v>
      </c>
      <c r="F470" s="132"/>
      <c r="G470" s="139"/>
      <c r="H470" s="110"/>
      <c r="I470" s="140"/>
      <c r="J470" s="213"/>
      <c r="K470" s="214"/>
      <c r="L470" s="150"/>
      <c r="Z470" s="27"/>
      <c r="AB470" s="27"/>
      <c r="AC470" s="27"/>
      <c r="AD470" s="27"/>
      <c r="AE470" s="27"/>
      <c r="AF470" s="27"/>
      <c r="AG470" s="27"/>
      <c r="AH470" s="27"/>
      <c r="AI470" s="20"/>
      <c r="AJ470" s="13"/>
      <c r="AK470" s="13"/>
      <c r="AL470" s="13"/>
      <c r="AN470" s="27"/>
      <c r="AO470" s="27"/>
      <c r="AP470" s="27"/>
      <c r="AQ470" s="23"/>
      <c r="AV470" s="27"/>
      <c r="AW470" s="27"/>
      <c r="AX470" s="27"/>
      <c r="AY470" s="28"/>
      <c r="AZ470" s="28"/>
      <c r="BA470" s="20"/>
      <c r="BC470" s="27"/>
      <c r="BD470" s="27"/>
      <c r="BE470" s="27"/>
      <c r="BF470" s="27"/>
      <c r="BH470" s="13"/>
      <c r="BI470" s="13"/>
      <c r="BJ470" s="13"/>
    </row>
    <row r="471" spans="1:62" ht="12.75">
      <c r="A471" s="107" t="s">
        <v>221</v>
      </c>
      <c r="B471" s="108" t="s">
        <v>545</v>
      </c>
      <c r="C471" s="109" t="s">
        <v>901</v>
      </c>
      <c r="D471" s="205" t="s">
        <v>1011</v>
      </c>
      <c r="E471" s="110">
        <f>+E472+E473+E474</f>
        <v>262.894</v>
      </c>
      <c r="F471" s="132">
        <v>0</v>
      </c>
      <c r="G471" s="139">
        <f t="shared" si="248"/>
        <v>0</v>
      </c>
      <c r="H471" s="110">
        <f t="shared" si="249"/>
        <v>0</v>
      </c>
      <c r="I471" s="140">
        <f t="shared" si="250"/>
        <v>0</v>
      </c>
      <c r="J471" s="213">
        <v>0</v>
      </c>
      <c r="K471" s="214">
        <f t="shared" si="251"/>
        <v>0</v>
      </c>
      <c r="L471" s="150" t="s">
        <v>1039</v>
      </c>
      <c r="Z471" s="27">
        <f t="shared" si="252"/>
        <v>0</v>
      </c>
      <c r="AB471" s="27">
        <f t="shared" si="253"/>
        <v>0</v>
      </c>
      <c r="AC471" s="27">
        <f t="shared" si="254"/>
        <v>0</v>
      </c>
      <c r="AD471" s="27">
        <f t="shared" si="255"/>
        <v>0</v>
      </c>
      <c r="AE471" s="27">
        <f t="shared" si="256"/>
        <v>0</v>
      </c>
      <c r="AF471" s="27">
        <f t="shared" si="257"/>
        <v>0</v>
      </c>
      <c r="AG471" s="27">
        <f t="shared" si="258"/>
        <v>0</v>
      </c>
      <c r="AH471" s="27">
        <f t="shared" si="259"/>
        <v>0</v>
      </c>
      <c r="AI471" s="20"/>
      <c r="AJ471" s="13">
        <f t="shared" si="260"/>
        <v>0</v>
      </c>
      <c r="AK471" s="13">
        <f t="shared" si="261"/>
        <v>0</v>
      </c>
      <c r="AL471" s="13">
        <f t="shared" si="262"/>
        <v>0</v>
      </c>
      <c r="AN471" s="27">
        <v>21</v>
      </c>
      <c r="AO471" s="27">
        <f>F471*0.0128853745254271</f>
        <v>0</v>
      </c>
      <c r="AP471" s="27">
        <f>F471*(1-0.0128853745254271)</f>
        <v>0</v>
      </c>
      <c r="AQ471" s="23" t="s">
        <v>11</v>
      </c>
      <c r="AV471" s="27">
        <f t="shared" si="263"/>
        <v>0</v>
      </c>
      <c r="AW471" s="27">
        <f t="shared" si="264"/>
        <v>0</v>
      </c>
      <c r="AX471" s="27">
        <f t="shared" si="265"/>
        <v>0</v>
      </c>
      <c r="AY471" s="28" t="s">
        <v>1091</v>
      </c>
      <c r="AZ471" s="28" t="s">
        <v>1104</v>
      </c>
      <c r="BA471" s="20" t="s">
        <v>1106</v>
      </c>
      <c r="BC471" s="27">
        <f t="shared" si="266"/>
        <v>0</v>
      </c>
      <c r="BD471" s="27">
        <f t="shared" si="267"/>
        <v>0</v>
      </c>
      <c r="BE471" s="27">
        <v>0</v>
      </c>
      <c r="BF471" s="27">
        <f t="shared" si="268"/>
        <v>0</v>
      </c>
      <c r="BH471" s="13">
        <f t="shared" si="269"/>
        <v>0</v>
      </c>
      <c r="BI471" s="13">
        <f t="shared" si="270"/>
        <v>0</v>
      </c>
      <c r="BJ471" s="13">
        <f t="shared" si="271"/>
        <v>0</v>
      </c>
    </row>
    <row r="472" spans="1:62" ht="12.75">
      <c r="A472" s="107"/>
      <c r="B472" s="108"/>
      <c r="C472" s="99" t="s">
        <v>1816</v>
      </c>
      <c r="D472" s="100" t="s">
        <v>1011</v>
      </c>
      <c r="E472" s="101">
        <f>+(33.232+83.589+70.978)</f>
        <v>187.79899999999998</v>
      </c>
      <c r="F472" s="132"/>
      <c r="G472" s="139"/>
      <c r="H472" s="110"/>
      <c r="I472" s="140"/>
      <c r="J472" s="213"/>
      <c r="K472" s="214"/>
      <c r="L472" s="150"/>
      <c r="Z472" s="27"/>
      <c r="AB472" s="27"/>
      <c r="AC472" s="27"/>
      <c r="AD472" s="27"/>
      <c r="AE472" s="27"/>
      <c r="AF472" s="27"/>
      <c r="AG472" s="27"/>
      <c r="AH472" s="27"/>
      <c r="AI472" s="20"/>
      <c r="AJ472" s="13"/>
      <c r="AK472" s="13"/>
      <c r="AL472" s="13"/>
      <c r="AN472" s="27"/>
      <c r="AO472" s="27"/>
      <c r="AP472" s="27"/>
      <c r="AQ472" s="23"/>
      <c r="AV472" s="27"/>
      <c r="AW472" s="27"/>
      <c r="AX472" s="27"/>
      <c r="AY472" s="28"/>
      <c r="AZ472" s="28"/>
      <c r="BA472" s="20"/>
      <c r="BC472" s="27"/>
      <c r="BD472" s="27"/>
      <c r="BE472" s="27"/>
      <c r="BF472" s="27"/>
      <c r="BH472" s="13"/>
      <c r="BI472" s="13"/>
      <c r="BJ472" s="13"/>
    </row>
    <row r="473" spans="1:62" ht="12.75">
      <c r="A473" s="107"/>
      <c r="B473" s="108"/>
      <c r="C473" s="99" t="s">
        <v>1817</v>
      </c>
      <c r="D473" s="100" t="s">
        <v>1011</v>
      </c>
      <c r="E473" s="101">
        <v>38.863</v>
      </c>
      <c r="F473" s="132"/>
      <c r="G473" s="139"/>
      <c r="H473" s="110"/>
      <c r="I473" s="140"/>
      <c r="J473" s="213"/>
      <c r="K473" s="214"/>
      <c r="L473" s="150"/>
      <c r="Z473" s="27"/>
      <c r="AB473" s="27"/>
      <c r="AC473" s="27"/>
      <c r="AD473" s="27"/>
      <c r="AE473" s="27"/>
      <c r="AF473" s="27"/>
      <c r="AG473" s="27"/>
      <c r="AH473" s="27"/>
      <c r="AI473" s="20"/>
      <c r="AJ473" s="13"/>
      <c r="AK473" s="13"/>
      <c r="AL473" s="13"/>
      <c r="AN473" s="27"/>
      <c r="AO473" s="27"/>
      <c r="AP473" s="27"/>
      <c r="AQ473" s="23"/>
      <c r="AV473" s="27"/>
      <c r="AW473" s="27"/>
      <c r="AX473" s="27"/>
      <c r="AY473" s="28"/>
      <c r="AZ473" s="28"/>
      <c r="BA473" s="20"/>
      <c r="BC473" s="27"/>
      <c r="BD473" s="27"/>
      <c r="BE473" s="27"/>
      <c r="BF473" s="27"/>
      <c r="BH473" s="13"/>
      <c r="BI473" s="13"/>
      <c r="BJ473" s="13"/>
    </row>
    <row r="474" spans="1:62" ht="12.75">
      <c r="A474" s="107"/>
      <c r="B474" s="108"/>
      <c r="C474" s="99" t="s">
        <v>1820</v>
      </c>
      <c r="D474" s="100" t="s">
        <v>1011</v>
      </c>
      <c r="E474" s="101">
        <f>33.109+2.441+0.682</f>
        <v>36.232000000000006</v>
      </c>
      <c r="F474" s="132"/>
      <c r="G474" s="139"/>
      <c r="H474" s="110"/>
      <c r="I474" s="140"/>
      <c r="J474" s="213"/>
      <c r="K474" s="214"/>
      <c r="L474" s="150"/>
      <c r="Z474" s="27"/>
      <c r="AB474" s="27"/>
      <c r="AC474" s="27"/>
      <c r="AD474" s="27"/>
      <c r="AE474" s="27"/>
      <c r="AF474" s="27"/>
      <c r="AG474" s="27"/>
      <c r="AH474" s="27"/>
      <c r="AI474" s="20"/>
      <c r="AJ474" s="13"/>
      <c r="AK474" s="13"/>
      <c r="AL474" s="13"/>
      <c r="AN474" s="27"/>
      <c r="AO474" s="27"/>
      <c r="AP474" s="27"/>
      <c r="AQ474" s="23"/>
      <c r="AV474" s="27"/>
      <c r="AW474" s="27"/>
      <c r="AX474" s="27"/>
      <c r="AY474" s="28"/>
      <c r="AZ474" s="28"/>
      <c r="BA474" s="20"/>
      <c r="BC474" s="27"/>
      <c r="BD474" s="27"/>
      <c r="BE474" s="27"/>
      <c r="BF474" s="27"/>
      <c r="BH474" s="13"/>
      <c r="BI474" s="13"/>
      <c r="BJ474" s="13"/>
    </row>
    <row r="475" spans="1:62" ht="12.75">
      <c r="A475" s="107" t="s">
        <v>222</v>
      </c>
      <c r="B475" s="108" t="s">
        <v>546</v>
      </c>
      <c r="C475" s="109" t="s">
        <v>902</v>
      </c>
      <c r="D475" s="205" t="s">
        <v>1011</v>
      </c>
      <c r="E475" s="110">
        <v>2.615</v>
      </c>
      <c r="F475" s="132">
        <v>0</v>
      </c>
      <c r="G475" s="139">
        <f t="shared" si="248"/>
        <v>0</v>
      </c>
      <c r="H475" s="110">
        <f t="shared" si="249"/>
        <v>0</v>
      </c>
      <c r="I475" s="140">
        <f t="shared" si="250"/>
        <v>0</v>
      </c>
      <c r="J475" s="213">
        <v>0</v>
      </c>
      <c r="K475" s="214">
        <f t="shared" si="251"/>
        <v>0</v>
      </c>
      <c r="L475" s="150" t="s">
        <v>1039</v>
      </c>
      <c r="Z475" s="27">
        <f t="shared" si="252"/>
        <v>0</v>
      </c>
      <c r="AB475" s="27">
        <f t="shared" si="253"/>
        <v>0</v>
      </c>
      <c r="AC475" s="27">
        <f t="shared" si="254"/>
        <v>0</v>
      </c>
      <c r="AD475" s="27">
        <f t="shared" si="255"/>
        <v>0</v>
      </c>
      <c r="AE475" s="27">
        <f t="shared" si="256"/>
        <v>0</v>
      </c>
      <c r="AF475" s="27">
        <f t="shared" si="257"/>
        <v>0</v>
      </c>
      <c r="AG475" s="27">
        <f t="shared" si="258"/>
        <v>0</v>
      </c>
      <c r="AH475" s="27">
        <f t="shared" si="259"/>
        <v>0</v>
      </c>
      <c r="AI475" s="20"/>
      <c r="AJ475" s="13">
        <f t="shared" si="260"/>
        <v>0</v>
      </c>
      <c r="AK475" s="13">
        <f t="shared" si="261"/>
        <v>0</v>
      </c>
      <c r="AL475" s="13">
        <f t="shared" si="262"/>
        <v>0</v>
      </c>
      <c r="AN475" s="27">
        <v>21</v>
      </c>
      <c r="AO475" s="27">
        <f aca="true" t="shared" si="272" ref="AO475:AO486">F475*0</f>
        <v>0</v>
      </c>
      <c r="AP475" s="27">
        <f aca="true" t="shared" si="273" ref="AP475:AP486">F475*(1-0)</f>
        <v>0</v>
      </c>
      <c r="AQ475" s="23" t="s">
        <v>11</v>
      </c>
      <c r="AV475" s="27">
        <f t="shared" si="263"/>
        <v>0</v>
      </c>
      <c r="AW475" s="27">
        <f t="shared" si="264"/>
        <v>0</v>
      </c>
      <c r="AX475" s="27">
        <f t="shared" si="265"/>
        <v>0</v>
      </c>
      <c r="AY475" s="28" t="s">
        <v>1091</v>
      </c>
      <c r="AZ475" s="28" t="s">
        <v>1104</v>
      </c>
      <c r="BA475" s="20" t="s">
        <v>1106</v>
      </c>
      <c r="BC475" s="27">
        <f t="shared" si="266"/>
        <v>0</v>
      </c>
      <c r="BD475" s="27">
        <f t="shared" si="267"/>
        <v>0</v>
      </c>
      <c r="BE475" s="27">
        <v>0</v>
      </c>
      <c r="BF475" s="27">
        <f t="shared" si="268"/>
        <v>0</v>
      </c>
      <c r="BH475" s="13">
        <f t="shared" si="269"/>
        <v>0</v>
      </c>
      <c r="BI475" s="13">
        <f t="shared" si="270"/>
        <v>0</v>
      </c>
      <c r="BJ475" s="13">
        <f t="shared" si="271"/>
        <v>0</v>
      </c>
    </row>
    <row r="476" spans="1:62" ht="12.75">
      <c r="A476" s="107"/>
      <c r="B476" s="108"/>
      <c r="C476" s="99" t="s">
        <v>1818</v>
      </c>
      <c r="D476" s="100"/>
      <c r="E476" s="110"/>
      <c r="F476" s="132"/>
      <c r="G476" s="139"/>
      <c r="H476" s="110"/>
      <c r="I476" s="140"/>
      <c r="J476" s="213"/>
      <c r="K476" s="214"/>
      <c r="L476" s="150"/>
      <c r="Z476" s="27"/>
      <c r="AB476" s="27"/>
      <c r="AC476" s="27"/>
      <c r="AD476" s="27"/>
      <c r="AE476" s="27"/>
      <c r="AF476" s="27"/>
      <c r="AG476" s="27"/>
      <c r="AH476" s="27"/>
      <c r="AI476" s="20"/>
      <c r="AJ476" s="13"/>
      <c r="AK476" s="13"/>
      <c r="AL476" s="13"/>
      <c r="AN476" s="27"/>
      <c r="AO476" s="27"/>
      <c r="AP476" s="27"/>
      <c r="AQ476" s="23"/>
      <c r="AV476" s="27"/>
      <c r="AW476" s="27"/>
      <c r="AX476" s="27"/>
      <c r="AY476" s="28"/>
      <c r="AZ476" s="28"/>
      <c r="BA476" s="20"/>
      <c r="BC476" s="27"/>
      <c r="BD476" s="27"/>
      <c r="BE476" s="27"/>
      <c r="BF476" s="27"/>
      <c r="BH476" s="13"/>
      <c r="BI476" s="13"/>
      <c r="BJ476" s="13"/>
    </row>
    <row r="477" spans="1:62" ht="12.75">
      <c r="A477" s="107" t="s">
        <v>223</v>
      </c>
      <c r="B477" s="108" t="s">
        <v>547</v>
      </c>
      <c r="C477" s="109" t="s">
        <v>903</v>
      </c>
      <c r="D477" s="205" t="s">
        <v>1011</v>
      </c>
      <c r="E477" s="110">
        <f>+E478</f>
        <v>382.79</v>
      </c>
      <c r="F477" s="132">
        <v>0</v>
      </c>
      <c r="G477" s="139">
        <f t="shared" si="248"/>
        <v>0</v>
      </c>
      <c r="H477" s="110">
        <f t="shared" si="249"/>
        <v>0</v>
      </c>
      <c r="I477" s="140">
        <f t="shared" si="250"/>
        <v>0</v>
      </c>
      <c r="J477" s="213">
        <v>0</v>
      </c>
      <c r="K477" s="214">
        <f t="shared" si="251"/>
        <v>0</v>
      </c>
      <c r="L477" s="150" t="s">
        <v>1039</v>
      </c>
      <c r="Z477" s="27">
        <f t="shared" si="252"/>
        <v>0</v>
      </c>
      <c r="AB477" s="27">
        <f t="shared" si="253"/>
        <v>0</v>
      </c>
      <c r="AC477" s="27">
        <f t="shared" si="254"/>
        <v>0</v>
      </c>
      <c r="AD477" s="27">
        <f t="shared" si="255"/>
        <v>0</v>
      </c>
      <c r="AE477" s="27">
        <f t="shared" si="256"/>
        <v>0</v>
      </c>
      <c r="AF477" s="27">
        <f t="shared" si="257"/>
        <v>0</v>
      </c>
      <c r="AG477" s="27">
        <f t="shared" si="258"/>
        <v>0</v>
      </c>
      <c r="AH477" s="27">
        <f t="shared" si="259"/>
        <v>0</v>
      </c>
      <c r="AI477" s="20"/>
      <c r="AJ477" s="13">
        <f t="shared" si="260"/>
        <v>0</v>
      </c>
      <c r="AK477" s="13">
        <f t="shared" si="261"/>
        <v>0</v>
      </c>
      <c r="AL477" s="13">
        <f t="shared" si="262"/>
        <v>0</v>
      </c>
      <c r="AN477" s="27">
        <v>21</v>
      </c>
      <c r="AO477" s="27">
        <f t="shared" si="272"/>
        <v>0</v>
      </c>
      <c r="AP477" s="27">
        <f t="shared" si="273"/>
        <v>0</v>
      </c>
      <c r="AQ477" s="23" t="s">
        <v>11</v>
      </c>
      <c r="AV477" s="27">
        <f t="shared" si="263"/>
        <v>0</v>
      </c>
      <c r="AW477" s="27">
        <f t="shared" si="264"/>
        <v>0</v>
      </c>
      <c r="AX477" s="27">
        <f t="shared" si="265"/>
        <v>0</v>
      </c>
      <c r="AY477" s="28" t="s">
        <v>1091</v>
      </c>
      <c r="AZ477" s="28" t="s">
        <v>1104</v>
      </c>
      <c r="BA477" s="20" t="s">
        <v>1106</v>
      </c>
      <c r="BC477" s="27">
        <f t="shared" si="266"/>
        <v>0</v>
      </c>
      <c r="BD477" s="27">
        <f t="shared" si="267"/>
        <v>0</v>
      </c>
      <c r="BE477" s="27">
        <v>0</v>
      </c>
      <c r="BF477" s="27">
        <f t="shared" si="268"/>
        <v>0</v>
      </c>
      <c r="BH477" s="13">
        <f t="shared" si="269"/>
        <v>0</v>
      </c>
      <c r="BI477" s="13">
        <f t="shared" si="270"/>
        <v>0</v>
      </c>
      <c r="BJ477" s="13">
        <f t="shared" si="271"/>
        <v>0</v>
      </c>
    </row>
    <row r="478" spans="1:62" ht="12.75">
      <c r="A478" s="107"/>
      <c r="B478" s="108"/>
      <c r="C478" s="99" t="s">
        <v>1819</v>
      </c>
      <c r="D478" s="100" t="s">
        <v>1011</v>
      </c>
      <c r="E478" s="101">
        <f>76.558*5</f>
        <v>382.79</v>
      </c>
      <c r="F478" s="132"/>
      <c r="G478" s="139"/>
      <c r="H478" s="110"/>
      <c r="I478" s="140"/>
      <c r="J478" s="213"/>
      <c r="K478" s="214"/>
      <c r="L478" s="150"/>
      <c r="Z478" s="27"/>
      <c r="AB478" s="27"/>
      <c r="AC478" s="27"/>
      <c r="AD478" s="27"/>
      <c r="AE478" s="27"/>
      <c r="AF478" s="27"/>
      <c r="AG478" s="27"/>
      <c r="AH478" s="27"/>
      <c r="AI478" s="20"/>
      <c r="AJ478" s="13"/>
      <c r="AK478" s="13"/>
      <c r="AL478" s="13"/>
      <c r="AN478" s="27"/>
      <c r="AO478" s="27"/>
      <c r="AP478" s="27"/>
      <c r="AQ478" s="23"/>
      <c r="AV478" s="27"/>
      <c r="AW478" s="27"/>
      <c r="AX478" s="27"/>
      <c r="AY478" s="28"/>
      <c r="AZ478" s="28"/>
      <c r="BA478" s="20"/>
      <c r="BC478" s="27"/>
      <c r="BD478" s="27"/>
      <c r="BE478" s="27"/>
      <c r="BF478" s="27"/>
      <c r="BH478" s="13"/>
      <c r="BI478" s="13"/>
      <c r="BJ478" s="13"/>
    </row>
    <row r="479" spans="1:62" ht="12.75">
      <c r="A479" s="107" t="s">
        <v>224</v>
      </c>
      <c r="B479" s="108" t="s">
        <v>548</v>
      </c>
      <c r="C479" s="109" t="s">
        <v>904</v>
      </c>
      <c r="D479" s="205" t="s">
        <v>1011</v>
      </c>
      <c r="E479" s="110">
        <f>+E480</f>
        <v>35.550000000000004</v>
      </c>
      <c r="F479" s="132">
        <v>0</v>
      </c>
      <c r="G479" s="139">
        <f t="shared" si="248"/>
        <v>0</v>
      </c>
      <c r="H479" s="110">
        <f t="shared" si="249"/>
        <v>0</v>
      </c>
      <c r="I479" s="140">
        <f t="shared" si="250"/>
        <v>0</v>
      </c>
      <c r="J479" s="213">
        <v>0</v>
      </c>
      <c r="K479" s="214">
        <f t="shared" si="251"/>
        <v>0</v>
      </c>
      <c r="L479" s="150" t="s">
        <v>1039</v>
      </c>
      <c r="Z479" s="27">
        <f t="shared" si="252"/>
        <v>0</v>
      </c>
      <c r="AB479" s="27">
        <f t="shared" si="253"/>
        <v>0</v>
      </c>
      <c r="AC479" s="27">
        <f t="shared" si="254"/>
        <v>0</v>
      </c>
      <c r="AD479" s="27">
        <f t="shared" si="255"/>
        <v>0</v>
      </c>
      <c r="AE479" s="27">
        <f t="shared" si="256"/>
        <v>0</v>
      </c>
      <c r="AF479" s="27">
        <f t="shared" si="257"/>
        <v>0</v>
      </c>
      <c r="AG479" s="27">
        <f t="shared" si="258"/>
        <v>0</v>
      </c>
      <c r="AH479" s="27">
        <f t="shared" si="259"/>
        <v>0</v>
      </c>
      <c r="AI479" s="20"/>
      <c r="AJ479" s="13">
        <f t="shared" si="260"/>
        <v>0</v>
      </c>
      <c r="AK479" s="13">
        <f t="shared" si="261"/>
        <v>0</v>
      </c>
      <c r="AL479" s="13">
        <f t="shared" si="262"/>
        <v>0</v>
      </c>
      <c r="AN479" s="27">
        <v>21</v>
      </c>
      <c r="AO479" s="27">
        <f t="shared" si="272"/>
        <v>0</v>
      </c>
      <c r="AP479" s="27">
        <f t="shared" si="273"/>
        <v>0</v>
      </c>
      <c r="AQ479" s="23" t="s">
        <v>11</v>
      </c>
      <c r="AV479" s="27">
        <f t="shared" si="263"/>
        <v>0</v>
      </c>
      <c r="AW479" s="27">
        <f t="shared" si="264"/>
        <v>0</v>
      </c>
      <c r="AX479" s="27">
        <f t="shared" si="265"/>
        <v>0</v>
      </c>
      <c r="AY479" s="28" t="s">
        <v>1091</v>
      </c>
      <c r="AZ479" s="28" t="s">
        <v>1104</v>
      </c>
      <c r="BA479" s="20" t="s">
        <v>1106</v>
      </c>
      <c r="BC479" s="27">
        <f t="shared" si="266"/>
        <v>0</v>
      </c>
      <c r="BD479" s="27">
        <f t="shared" si="267"/>
        <v>0</v>
      </c>
      <c r="BE479" s="27">
        <v>0</v>
      </c>
      <c r="BF479" s="27">
        <f t="shared" si="268"/>
        <v>0</v>
      </c>
      <c r="BH479" s="13">
        <f t="shared" si="269"/>
        <v>0</v>
      </c>
      <c r="BI479" s="13">
        <f t="shared" si="270"/>
        <v>0</v>
      </c>
      <c r="BJ479" s="13">
        <f t="shared" si="271"/>
        <v>0</v>
      </c>
    </row>
    <row r="480" spans="1:62" ht="12.75">
      <c r="A480" s="107"/>
      <c r="B480" s="108"/>
      <c r="C480" s="99" t="s">
        <v>1821</v>
      </c>
      <c r="D480" s="100" t="s">
        <v>1011</v>
      </c>
      <c r="E480" s="101">
        <f>33.109+2.441</f>
        <v>35.550000000000004</v>
      </c>
      <c r="F480" s="132"/>
      <c r="G480" s="139"/>
      <c r="H480" s="110"/>
      <c r="I480" s="140"/>
      <c r="J480" s="213"/>
      <c r="K480" s="214"/>
      <c r="L480" s="150"/>
      <c r="Z480" s="27"/>
      <c r="AB480" s="27"/>
      <c r="AC480" s="27"/>
      <c r="AD480" s="27"/>
      <c r="AE480" s="27"/>
      <c r="AF480" s="27"/>
      <c r="AG480" s="27"/>
      <c r="AH480" s="27"/>
      <c r="AI480" s="20"/>
      <c r="AJ480" s="13"/>
      <c r="AK480" s="13"/>
      <c r="AL480" s="13"/>
      <c r="AN480" s="27"/>
      <c r="AO480" s="27"/>
      <c r="AP480" s="27"/>
      <c r="AQ480" s="23"/>
      <c r="AV480" s="27"/>
      <c r="AW480" s="27"/>
      <c r="AX480" s="27"/>
      <c r="AY480" s="28"/>
      <c r="AZ480" s="28"/>
      <c r="BA480" s="20"/>
      <c r="BC480" s="27"/>
      <c r="BD480" s="27"/>
      <c r="BE480" s="27"/>
      <c r="BF480" s="27"/>
      <c r="BH480" s="13"/>
      <c r="BI480" s="13"/>
      <c r="BJ480" s="13"/>
    </row>
    <row r="481" spans="1:62" ht="12.75">
      <c r="A481" s="107" t="s">
        <v>225</v>
      </c>
      <c r="B481" s="108" t="s">
        <v>549</v>
      </c>
      <c r="C481" s="109" t="s">
        <v>905</v>
      </c>
      <c r="D481" s="205" t="s">
        <v>1011</v>
      </c>
      <c r="E481" s="110">
        <f>+E482</f>
        <v>29.388</v>
      </c>
      <c r="F481" s="132">
        <v>0</v>
      </c>
      <c r="G481" s="139">
        <f t="shared" si="248"/>
        <v>0</v>
      </c>
      <c r="H481" s="110">
        <f t="shared" si="249"/>
        <v>0</v>
      </c>
      <c r="I481" s="140">
        <f t="shared" si="250"/>
        <v>0</v>
      </c>
      <c r="J481" s="213">
        <v>0</v>
      </c>
      <c r="K481" s="214">
        <f t="shared" si="251"/>
        <v>0</v>
      </c>
      <c r="L481" s="150" t="s">
        <v>1039</v>
      </c>
      <c r="Z481" s="27">
        <f t="shared" si="252"/>
        <v>0</v>
      </c>
      <c r="AB481" s="27">
        <f t="shared" si="253"/>
        <v>0</v>
      </c>
      <c r="AC481" s="27">
        <f t="shared" si="254"/>
        <v>0</v>
      </c>
      <c r="AD481" s="27">
        <f t="shared" si="255"/>
        <v>0</v>
      </c>
      <c r="AE481" s="27">
        <f t="shared" si="256"/>
        <v>0</v>
      </c>
      <c r="AF481" s="27">
        <f t="shared" si="257"/>
        <v>0</v>
      </c>
      <c r="AG481" s="27">
        <f t="shared" si="258"/>
        <v>0</v>
      </c>
      <c r="AH481" s="27">
        <f t="shared" si="259"/>
        <v>0</v>
      </c>
      <c r="AI481" s="20"/>
      <c r="AJ481" s="13">
        <f t="shared" si="260"/>
        <v>0</v>
      </c>
      <c r="AK481" s="13">
        <f t="shared" si="261"/>
        <v>0</v>
      </c>
      <c r="AL481" s="13">
        <f t="shared" si="262"/>
        <v>0</v>
      </c>
      <c r="AN481" s="27">
        <v>21</v>
      </c>
      <c r="AO481" s="27">
        <f t="shared" si="272"/>
        <v>0</v>
      </c>
      <c r="AP481" s="27">
        <f t="shared" si="273"/>
        <v>0</v>
      </c>
      <c r="AQ481" s="23" t="s">
        <v>11</v>
      </c>
      <c r="AV481" s="27">
        <f t="shared" si="263"/>
        <v>0</v>
      </c>
      <c r="AW481" s="27">
        <f t="shared" si="264"/>
        <v>0</v>
      </c>
      <c r="AX481" s="27">
        <f t="shared" si="265"/>
        <v>0</v>
      </c>
      <c r="AY481" s="28" t="s">
        <v>1091</v>
      </c>
      <c r="AZ481" s="28" t="s">
        <v>1104</v>
      </c>
      <c r="BA481" s="20" t="s">
        <v>1106</v>
      </c>
      <c r="BC481" s="27">
        <f t="shared" si="266"/>
        <v>0</v>
      </c>
      <c r="BD481" s="27">
        <f t="shared" si="267"/>
        <v>0</v>
      </c>
      <c r="BE481" s="27">
        <v>0</v>
      </c>
      <c r="BF481" s="27">
        <f t="shared" si="268"/>
        <v>0</v>
      </c>
      <c r="BH481" s="13">
        <f t="shared" si="269"/>
        <v>0</v>
      </c>
      <c r="BI481" s="13">
        <f t="shared" si="270"/>
        <v>0</v>
      </c>
      <c r="BJ481" s="13">
        <f t="shared" si="271"/>
        <v>0</v>
      </c>
    </row>
    <row r="482" spans="1:62" ht="25.5">
      <c r="A482" s="107"/>
      <c r="B482" s="108"/>
      <c r="C482" s="99" t="s">
        <v>1822</v>
      </c>
      <c r="D482" s="100" t="s">
        <v>1011</v>
      </c>
      <c r="E482" s="101">
        <f>+(15.695+10.35+3.343)</f>
        <v>29.388</v>
      </c>
      <c r="F482" s="132"/>
      <c r="G482" s="139"/>
      <c r="H482" s="110"/>
      <c r="I482" s="140"/>
      <c r="J482" s="213"/>
      <c r="K482" s="214"/>
      <c r="L482" s="150"/>
      <c r="Z482" s="27"/>
      <c r="AB482" s="27"/>
      <c r="AC482" s="27"/>
      <c r="AD482" s="27"/>
      <c r="AE482" s="27"/>
      <c r="AF482" s="27"/>
      <c r="AG482" s="27"/>
      <c r="AH482" s="27"/>
      <c r="AI482" s="20"/>
      <c r="AJ482" s="13"/>
      <c r="AK482" s="13"/>
      <c r="AL482" s="13"/>
      <c r="AN482" s="27"/>
      <c r="AO482" s="27"/>
      <c r="AP482" s="27"/>
      <c r="AQ482" s="23"/>
      <c r="AV482" s="27"/>
      <c r="AW482" s="27"/>
      <c r="AX482" s="27"/>
      <c r="AY482" s="28"/>
      <c r="AZ482" s="28"/>
      <c r="BA482" s="20"/>
      <c r="BC482" s="27"/>
      <c r="BD482" s="27"/>
      <c r="BE482" s="27"/>
      <c r="BF482" s="27"/>
      <c r="BH482" s="13"/>
      <c r="BI482" s="13"/>
      <c r="BJ482" s="13"/>
    </row>
    <row r="483" spans="1:62" ht="12.75">
      <c r="A483" s="107" t="s">
        <v>226</v>
      </c>
      <c r="B483" s="108" t="s">
        <v>550</v>
      </c>
      <c r="C483" s="109" t="s">
        <v>906</v>
      </c>
      <c r="D483" s="205" t="s">
        <v>1011</v>
      </c>
      <c r="E483" s="110">
        <f>+E484</f>
        <v>9.475</v>
      </c>
      <c r="F483" s="132">
        <v>0</v>
      </c>
      <c r="G483" s="139">
        <f t="shared" si="248"/>
        <v>0</v>
      </c>
      <c r="H483" s="110">
        <f t="shared" si="249"/>
        <v>0</v>
      </c>
      <c r="I483" s="140">
        <f t="shared" si="250"/>
        <v>0</v>
      </c>
      <c r="J483" s="213">
        <v>0</v>
      </c>
      <c r="K483" s="214">
        <f t="shared" si="251"/>
        <v>0</v>
      </c>
      <c r="L483" s="150" t="s">
        <v>1039</v>
      </c>
      <c r="Z483" s="27">
        <f t="shared" si="252"/>
        <v>0</v>
      </c>
      <c r="AB483" s="27">
        <f t="shared" si="253"/>
        <v>0</v>
      </c>
      <c r="AC483" s="27">
        <f t="shared" si="254"/>
        <v>0</v>
      </c>
      <c r="AD483" s="27">
        <f t="shared" si="255"/>
        <v>0</v>
      </c>
      <c r="AE483" s="27">
        <f t="shared" si="256"/>
        <v>0</v>
      </c>
      <c r="AF483" s="27">
        <f t="shared" si="257"/>
        <v>0</v>
      </c>
      <c r="AG483" s="27">
        <f t="shared" si="258"/>
        <v>0</v>
      </c>
      <c r="AH483" s="27">
        <f t="shared" si="259"/>
        <v>0</v>
      </c>
      <c r="AI483" s="20"/>
      <c r="AJ483" s="13">
        <f t="shared" si="260"/>
        <v>0</v>
      </c>
      <c r="AK483" s="13">
        <f t="shared" si="261"/>
        <v>0</v>
      </c>
      <c r="AL483" s="13">
        <f t="shared" si="262"/>
        <v>0</v>
      </c>
      <c r="AN483" s="27">
        <v>21</v>
      </c>
      <c r="AO483" s="27">
        <f t="shared" si="272"/>
        <v>0</v>
      </c>
      <c r="AP483" s="27">
        <f t="shared" si="273"/>
        <v>0</v>
      </c>
      <c r="AQ483" s="23" t="s">
        <v>11</v>
      </c>
      <c r="AV483" s="27">
        <f t="shared" si="263"/>
        <v>0</v>
      </c>
      <c r="AW483" s="27">
        <f t="shared" si="264"/>
        <v>0</v>
      </c>
      <c r="AX483" s="27">
        <f t="shared" si="265"/>
        <v>0</v>
      </c>
      <c r="AY483" s="28" t="s">
        <v>1091</v>
      </c>
      <c r="AZ483" s="28" t="s">
        <v>1104</v>
      </c>
      <c r="BA483" s="20" t="s">
        <v>1106</v>
      </c>
      <c r="BC483" s="27">
        <f t="shared" si="266"/>
        <v>0</v>
      </c>
      <c r="BD483" s="27">
        <f t="shared" si="267"/>
        <v>0</v>
      </c>
      <c r="BE483" s="27">
        <v>0</v>
      </c>
      <c r="BF483" s="27">
        <f t="shared" si="268"/>
        <v>0</v>
      </c>
      <c r="BH483" s="13">
        <f t="shared" si="269"/>
        <v>0</v>
      </c>
      <c r="BI483" s="13">
        <f t="shared" si="270"/>
        <v>0</v>
      </c>
      <c r="BJ483" s="13">
        <f t="shared" si="271"/>
        <v>0</v>
      </c>
    </row>
    <row r="484" spans="1:62" ht="12.75">
      <c r="A484" s="107"/>
      <c r="B484" s="108"/>
      <c r="C484" s="99" t="s">
        <v>1823</v>
      </c>
      <c r="D484" s="100" t="s">
        <v>1011</v>
      </c>
      <c r="E484" s="101">
        <f>+E70*2.5</f>
        <v>9.475</v>
      </c>
      <c r="F484" s="132"/>
      <c r="G484" s="139"/>
      <c r="H484" s="110"/>
      <c r="I484" s="140"/>
      <c r="J484" s="213"/>
      <c r="K484" s="214"/>
      <c r="L484" s="150"/>
      <c r="Z484" s="27"/>
      <c r="AB484" s="27"/>
      <c r="AC484" s="27"/>
      <c r="AD484" s="27"/>
      <c r="AE484" s="27"/>
      <c r="AF484" s="27"/>
      <c r="AG484" s="27"/>
      <c r="AH484" s="27"/>
      <c r="AI484" s="20"/>
      <c r="AJ484" s="13"/>
      <c r="AK484" s="13"/>
      <c r="AL484" s="13"/>
      <c r="AN484" s="27"/>
      <c r="AO484" s="27"/>
      <c r="AP484" s="27"/>
      <c r="AQ484" s="23"/>
      <c r="AV484" s="27"/>
      <c r="AW484" s="27"/>
      <c r="AX484" s="27"/>
      <c r="AY484" s="28"/>
      <c r="AZ484" s="28"/>
      <c r="BA484" s="20"/>
      <c r="BC484" s="27"/>
      <c r="BD484" s="27"/>
      <c r="BE484" s="27"/>
      <c r="BF484" s="27"/>
      <c r="BH484" s="13"/>
      <c r="BI484" s="13"/>
      <c r="BJ484" s="13"/>
    </row>
    <row r="485" spans="1:62" ht="12.75">
      <c r="A485" s="107" t="s">
        <v>227</v>
      </c>
      <c r="B485" s="108" t="s">
        <v>551</v>
      </c>
      <c r="C485" s="109" t="s">
        <v>907</v>
      </c>
      <c r="D485" s="205" t="s">
        <v>1011</v>
      </c>
      <c r="E485" s="110">
        <v>187.364</v>
      </c>
      <c r="F485" s="132">
        <v>0</v>
      </c>
      <c r="G485" s="139">
        <f t="shared" si="248"/>
        <v>0</v>
      </c>
      <c r="H485" s="110">
        <f t="shared" si="249"/>
        <v>0</v>
      </c>
      <c r="I485" s="140">
        <f t="shared" si="250"/>
        <v>0</v>
      </c>
      <c r="J485" s="213">
        <v>0</v>
      </c>
      <c r="K485" s="214">
        <f t="shared" si="251"/>
        <v>0</v>
      </c>
      <c r="L485" s="150" t="s">
        <v>1039</v>
      </c>
      <c r="Z485" s="27">
        <f t="shared" si="252"/>
        <v>0</v>
      </c>
      <c r="AB485" s="27">
        <f t="shared" si="253"/>
        <v>0</v>
      </c>
      <c r="AC485" s="27">
        <f t="shared" si="254"/>
        <v>0</v>
      </c>
      <c r="AD485" s="27">
        <f t="shared" si="255"/>
        <v>0</v>
      </c>
      <c r="AE485" s="27">
        <f t="shared" si="256"/>
        <v>0</v>
      </c>
      <c r="AF485" s="27">
        <f t="shared" si="257"/>
        <v>0</v>
      </c>
      <c r="AG485" s="27">
        <f t="shared" si="258"/>
        <v>0</v>
      </c>
      <c r="AH485" s="27">
        <f t="shared" si="259"/>
        <v>0</v>
      </c>
      <c r="AI485" s="20"/>
      <c r="AJ485" s="13">
        <f t="shared" si="260"/>
        <v>0</v>
      </c>
      <c r="AK485" s="13">
        <f t="shared" si="261"/>
        <v>0</v>
      </c>
      <c r="AL485" s="13">
        <f t="shared" si="262"/>
        <v>0</v>
      </c>
      <c r="AN485" s="27">
        <v>21</v>
      </c>
      <c r="AO485" s="27">
        <f t="shared" si="272"/>
        <v>0</v>
      </c>
      <c r="AP485" s="27">
        <f t="shared" si="273"/>
        <v>0</v>
      </c>
      <c r="AQ485" s="23" t="s">
        <v>11</v>
      </c>
      <c r="AV485" s="27">
        <f t="shared" si="263"/>
        <v>0</v>
      </c>
      <c r="AW485" s="27">
        <f t="shared" si="264"/>
        <v>0</v>
      </c>
      <c r="AX485" s="27">
        <f t="shared" si="265"/>
        <v>0</v>
      </c>
      <c r="AY485" s="28" t="s">
        <v>1091</v>
      </c>
      <c r="AZ485" s="28" t="s">
        <v>1104</v>
      </c>
      <c r="BA485" s="20" t="s">
        <v>1106</v>
      </c>
      <c r="BC485" s="27">
        <f t="shared" si="266"/>
        <v>0</v>
      </c>
      <c r="BD485" s="27">
        <f t="shared" si="267"/>
        <v>0</v>
      </c>
      <c r="BE485" s="27">
        <v>0</v>
      </c>
      <c r="BF485" s="27">
        <f t="shared" si="268"/>
        <v>0</v>
      </c>
      <c r="BH485" s="13">
        <f t="shared" si="269"/>
        <v>0</v>
      </c>
      <c r="BI485" s="13">
        <f t="shared" si="270"/>
        <v>0</v>
      </c>
      <c r="BJ485" s="13">
        <f t="shared" si="271"/>
        <v>0</v>
      </c>
    </row>
    <row r="486" spans="1:62" ht="12.75">
      <c r="A486" s="107" t="s">
        <v>228</v>
      </c>
      <c r="B486" s="108" t="s">
        <v>552</v>
      </c>
      <c r="C486" s="109" t="s">
        <v>908</v>
      </c>
      <c r="D486" s="205" t="s">
        <v>1011</v>
      </c>
      <c r="E486" s="110">
        <v>0.682</v>
      </c>
      <c r="F486" s="132">
        <v>0</v>
      </c>
      <c r="G486" s="139">
        <f t="shared" si="248"/>
        <v>0</v>
      </c>
      <c r="H486" s="110">
        <f t="shared" si="249"/>
        <v>0</v>
      </c>
      <c r="I486" s="140">
        <f t="shared" si="250"/>
        <v>0</v>
      </c>
      <c r="J486" s="213">
        <v>0</v>
      </c>
      <c r="K486" s="214">
        <f t="shared" si="251"/>
        <v>0</v>
      </c>
      <c r="L486" s="150" t="s">
        <v>1039</v>
      </c>
      <c r="Z486" s="27">
        <f t="shared" si="252"/>
        <v>0</v>
      </c>
      <c r="AB486" s="27">
        <f t="shared" si="253"/>
        <v>0</v>
      </c>
      <c r="AC486" s="27">
        <f t="shared" si="254"/>
        <v>0</v>
      </c>
      <c r="AD486" s="27">
        <f t="shared" si="255"/>
        <v>0</v>
      </c>
      <c r="AE486" s="27">
        <f t="shared" si="256"/>
        <v>0</v>
      </c>
      <c r="AF486" s="27">
        <f t="shared" si="257"/>
        <v>0</v>
      </c>
      <c r="AG486" s="27">
        <f t="shared" si="258"/>
        <v>0</v>
      </c>
      <c r="AH486" s="27">
        <f t="shared" si="259"/>
        <v>0</v>
      </c>
      <c r="AI486" s="20"/>
      <c r="AJ486" s="13">
        <f t="shared" si="260"/>
        <v>0</v>
      </c>
      <c r="AK486" s="13">
        <f t="shared" si="261"/>
        <v>0</v>
      </c>
      <c r="AL486" s="13">
        <f t="shared" si="262"/>
        <v>0</v>
      </c>
      <c r="AN486" s="27">
        <v>21</v>
      </c>
      <c r="AO486" s="27">
        <f t="shared" si="272"/>
        <v>0</v>
      </c>
      <c r="AP486" s="27">
        <f t="shared" si="273"/>
        <v>0</v>
      </c>
      <c r="AQ486" s="23" t="s">
        <v>11</v>
      </c>
      <c r="AV486" s="27">
        <f t="shared" si="263"/>
        <v>0</v>
      </c>
      <c r="AW486" s="27">
        <f t="shared" si="264"/>
        <v>0</v>
      </c>
      <c r="AX486" s="27">
        <f t="shared" si="265"/>
        <v>0</v>
      </c>
      <c r="AY486" s="28" t="s">
        <v>1091</v>
      </c>
      <c r="AZ486" s="28" t="s">
        <v>1104</v>
      </c>
      <c r="BA486" s="20" t="s">
        <v>1106</v>
      </c>
      <c r="BC486" s="27">
        <f t="shared" si="266"/>
        <v>0</v>
      </c>
      <c r="BD486" s="27">
        <f t="shared" si="267"/>
        <v>0</v>
      </c>
      <c r="BE486" s="27">
        <v>0</v>
      </c>
      <c r="BF486" s="27">
        <f t="shared" si="268"/>
        <v>0</v>
      </c>
      <c r="BH486" s="13">
        <f t="shared" si="269"/>
        <v>0</v>
      </c>
      <c r="BI486" s="13">
        <f t="shared" si="270"/>
        <v>0</v>
      </c>
      <c r="BJ486" s="13">
        <f t="shared" si="271"/>
        <v>0</v>
      </c>
    </row>
    <row r="487" spans="1:62" ht="12.75">
      <c r="A487" s="107"/>
      <c r="B487" s="108"/>
      <c r="C487" s="99" t="s">
        <v>1824</v>
      </c>
      <c r="D487" s="205"/>
      <c r="E487" s="110"/>
      <c r="F487" s="132"/>
      <c r="G487" s="139"/>
      <c r="H487" s="110"/>
      <c r="I487" s="140"/>
      <c r="J487" s="213"/>
      <c r="K487" s="214"/>
      <c r="L487" s="150"/>
      <c r="Z487" s="27"/>
      <c r="AB487" s="27"/>
      <c r="AC487" s="27"/>
      <c r="AD487" s="27"/>
      <c r="AE487" s="27"/>
      <c r="AF487" s="27"/>
      <c r="AG487" s="27"/>
      <c r="AH487" s="27"/>
      <c r="AI487" s="20"/>
      <c r="AJ487" s="13"/>
      <c r="AK487" s="13"/>
      <c r="AL487" s="13"/>
      <c r="AN487" s="27"/>
      <c r="AO487" s="27"/>
      <c r="AP487" s="27"/>
      <c r="AQ487" s="23"/>
      <c r="AV487" s="27"/>
      <c r="AW487" s="27"/>
      <c r="AX487" s="27"/>
      <c r="AY487" s="28"/>
      <c r="AZ487" s="28"/>
      <c r="BA487" s="20"/>
      <c r="BC487" s="27"/>
      <c r="BD487" s="27"/>
      <c r="BE487" s="27"/>
      <c r="BF487" s="27"/>
      <c r="BH487" s="13"/>
      <c r="BI487" s="13"/>
      <c r="BJ487" s="13"/>
    </row>
    <row r="488" spans="1:47" ht="12.75">
      <c r="A488" s="111"/>
      <c r="B488" s="112"/>
      <c r="C488" s="113" t="s">
        <v>909</v>
      </c>
      <c r="D488" s="206" t="s">
        <v>6</v>
      </c>
      <c r="E488" s="114" t="s">
        <v>6</v>
      </c>
      <c r="F488" s="133" t="s">
        <v>6</v>
      </c>
      <c r="G488" s="141">
        <f>SUM(G489:G602)</f>
        <v>0</v>
      </c>
      <c r="H488" s="115">
        <f>SUM(H489:H602)</f>
        <v>0</v>
      </c>
      <c r="I488" s="142">
        <f>SUM(I489:I602)</f>
        <v>0</v>
      </c>
      <c r="J488" s="215"/>
      <c r="K488" s="216">
        <f>SUM(K489:K602)</f>
        <v>7154.3072107596</v>
      </c>
      <c r="L488" s="151"/>
      <c r="AI488" s="20"/>
      <c r="AS488" s="29">
        <f>SUM(AJ489:AJ602)</f>
        <v>0</v>
      </c>
      <c r="AT488" s="29">
        <f>SUM(AK489:AK602)</f>
        <v>0</v>
      </c>
      <c r="AU488" s="29">
        <f>SUM(AL489:AL602)</f>
        <v>0</v>
      </c>
    </row>
    <row r="489" spans="1:62" ht="12.75">
      <c r="A489" s="123" t="s">
        <v>229</v>
      </c>
      <c r="B489" s="124" t="s">
        <v>553</v>
      </c>
      <c r="C489" s="125" t="s">
        <v>1788</v>
      </c>
      <c r="D489" s="209" t="s">
        <v>1007</v>
      </c>
      <c r="E489" s="126">
        <v>1</v>
      </c>
      <c r="F489" s="135">
        <v>0</v>
      </c>
      <c r="G489" s="145">
        <f aca="true" t="shared" si="274" ref="G489:G527">E489*AO489</f>
        <v>0</v>
      </c>
      <c r="H489" s="126">
        <f aca="true" t="shared" si="275" ref="H489:H527">E489*AP489</f>
        <v>0</v>
      </c>
      <c r="I489" s="146">
        <f aca="true" t="shared" si="276" ref="I489:I527">E489*F489</f>
        <v>0</v>
      </c>
      <c r="J489" s="219">
        <v>0.075</v>
      </c>
      <c r="K489" s="220">
        <f aca="true" t="shared" si="277" ref="K489:K527">E489*J489</f>
        <v>0.075</v>
      </c>
      <c r="L489" s="153"/>
      <c r="Z489" s="27">
        <f aca="true" t="shared" si="278" ref="Z489:Z527">IF(AQ489="5",BJ489,0)</f>
        <v>0</v>
      </c>
      <c r="AB489" s="27">
        <f aca="true" t="shared" si="279" ref="AB489:AB527">IF(AQ489="1",BH489,0)</f>
        <v>0</v>
      </c>
      <c r="AC489" s="27">
        <f aca="true" t="shared" si="280" ref="AC489:AC527">IF(AQ489="1",BI489,0)</f>
        <v>0</v>
      </c>
      <c r="AD489" s="27">
        <f aca="true" t="shared" si="281" ref="AD489:AD527">IF(AQ489="7",BH489,0)</f>
        <v>0</v>
      </c>
      <c r="AE489" s="27">
        <f aca="true" t="shared" si="282" ref="AE489:AE527">IF(AQ489="7",BI489,0)</f>
        <v>0</v>
      </c>
      <c r="AF489" s="27">
        <f aca="true" t="shared" si="283" ref="AF489:AF527">IF(AQ489="2",BH489,0)</f>
        <v>0</v>
      </c>
      <c r="AG489" s="27">
        <f aca="true" t="shared" si="284" ref="AG489:AG527">IF(AQ489="2",BI489,0)</f>
        <v>0</v>
      </c>
      <c r="AH489" s="27">
        <f aca="true" t="shared" si="285" ref="AH489:AH527">IF(AQ489="0",BJ489,0)</f>
        <v>0</v>
      </c>
      <c r="AI489" s="20"/>
      <c r="AJ489" s="14">
        <f aca="true" t="shared" si="286" ref="AJ489:AJ527">IF(AN489=0,I489,0)</f>
        <v>0</v>
      </c>
      <c r="AK489" s="14">
        <f aca="true" t="shared" si="287" ref="AK489:AK527">IF(AN489=15,I489,0)</f>
        <v>0</v>
      </c>
      <c r="AL489" s="14">
        <f aca="true" t="shared" si="288" ref="AL489:AL527">IF(AN489=21,I489,0)</f>
        <v>0</v>
      </c>
      <c r="AN489" s="27">
        <v>21</v>
      </c>
      <c r="AO489" s="27">
        <f aca="true" t="shared" si="289" ref="AO489:AO527">F489*1</f>
        <v>0</v>
      </c>
      <c r="AP489" s="27">
        <f aca="true" t="shared" si="290" ref="AP489:AP527">F489*(1-1)</f>
        <v>0</v>
      </c>
      <c r="AQ489" s="24" t="s">
        <v>1050</v>
      </c>
      <c r="AV489" s="27">
        <f aca="true" t="shared" si="291" ref="AV489:AV527">AW489+AX489</f>
        <v>0</v>
      </c>
      <c r="AW489" s="27">
        <f aca="true" t="shared" si="292" ref="AW489:AW527">E489*AO489</f>
        <v>0</v>
      </c>
      <c r="AX489" s="27">
        <f aca="true" t="shared" si="293" ref="AX489:AX527">E489*AP489</f>
        <v>0</v>
      </c>
      <c r="AY489" s="28" t="s">
        <v>1092</v>
      </c>
      <c r="AZ489" s="28" t="s">
        <v>1105</v>
      </c>
      <c r="BA489" s="20" t="s">
        <v>1106</v>
      </c>
      <c r="BC489" s="27">
        <f aca="true" t="shared" si="294" ref="BC489:BC527">AW489+AX489</f>
        <v>0</v>
      </c>
      <c r="BD489" s="27">
        <f aca="true" t="shared" si="295" ref="BD489:BD527">F489/(100-BE489)*100</f>
        <v>0</v>
      </c>
      <c r="BE489" s="27">
        <v>0</v>
      </c>
      <c r="BF489" s="27">
        <f aca="true" t="shared" si="296" ref="BF489:BF527">K489</f>
        <v>0.075</v>
      </c>
      <c r="BH489" s="14">
        <f aca="true" t="shared" si="297" ref="BH489:BH527">E489*AO489</f>
        <v>0</v>
      </c>
      <c r="BI489" s="14">
        <f aca="true" t="shared" si="298" ref="BI489:BI527">E489*AP489</f>
        <v>0</v>
      </c>
      <c r="BJ489" s="14">
        <f aca="true" t="shared" si="299" ref="BJ489:BJ527">E489*F489</f>
        <v>0</v>
      </c>
    </row>
    <row r="490" spans="1:62" ht="12.75">
      <c r="A490" s="123" t="s">
        <v>230</v>
      </c>
      <c r="B490" s="124" t="s">
        <v>554</v>
      </c>
      <c r="C490" s="125" t="s">
        <v>910</v>
      </c>
      <c r="D490" s="209" t="s">
        <v>1008</v>
      </c>
      <c r="E490" s="126">
        <v>3.5</v>
      </c>
      <c r="F490" s="135">
        <v>0</v>
      </c>
      <c r="G490" s="145">
        <f t="shared" si="274"/>
        <v>0</v>
      </c>
      <c r="H490" s="126">
        <f t="shared" si="275"/>
        <v>0</v>
      </c>
      <c r="I490" s="146">
        <f t="shared" si="276"/>
        <v>0</v>
      </c>
      <c r="J490" s="219">
        <v>0.00241</v>
      </c>
      <c r="K490" s="220">
        <f t="shared" si="277"/>
        <v>0.008435</v>
      </c>
      <c r="L490" s="153" t="s">
        <v>1039</v>
      </c>
      <c r="Z490" s="27">
        <f t="shared" si="278"/>
        <v>0</v>
      </c>
      <c r="AB490" s="27">
        <f t="shared" si="279"/>
        <v>0</v>
      </c>
      <c r="AC490" s="27">
        <f t="shared" si="280"/>
        <v>0</v>
      </c>
      <c r="AD490" s="27">
        <f t="shared" si="281"/>
        <v>0</v>
      </c>
      <c r="AE490" s="27">
        <f t="shared" si="282"/>
        <v>0</v>
      </c>
      <c r="AF490" s="27">
        <f t="shared" si="283"/>
        <v>0</v>
      </c>
      <c r="AG490" s="27">
        <f t="shared" si="284"/>
        <v>0</v>
      </c>
      <c r="AH490" s="27">
        <f t="shared" si="285"/>
        <v>0</v>
      </c>
      <c r="AI490" s="20"/>
      <c r="AJ490" s="14">
        <f t="shared" si="286"/>
        <v>0</v>
      </c>
      <c r="AK490" s="14">
        <f t="shared" si="287"/>
        <v>0</v>
      </c>
      <c r="AL490" s="14">
        <f t="shared" si="288"/>
        <v>0</v>
      </c>
      <c r="AN490" s="27">
        <v>21</v>
      </c>
      <c r="AO490" s="27">
        <f t="shared" si="289"/>
        <v>0</v>
      </c>
      <c r="AP490" s="27">
        <f t="shared" si="290"/>
        <v>0</v>
      </c>
      <c r="AQ490" s="24" t="s">
        <v>1050</v>
      </c>
      <c r="AV490" s="27">
        <f t="shared" si="291"/>
        <v>0</v>
      </c>
      <c r="AW490" s="27">
        <f t="shared" si="292"/>
        <v>0</v>
      </c>
      <c r="AX490" s="27">
        <f t="shared" si="293"/>
        <v>0</v>
      </c>
      <c r="AY490" s="28" t="s">
        <v>1092</v>
      </c>
      <c r="AZ490" s="28" t="s">
        <v>1105</v>
      </c>
      <c r="BA490" s="20" t="s">
        <v>1106</v>
      </c>
      <c r="BC490" s="27">
        <f t="shared" si="294"/>
        <v>0</v>
      </c>
      <c r="BD490" s="27">
        <f t="shared" si="295"/>
        <v>0</v>
      </c>
      <c r="BE490" s="27">
        <v>0</v>
      </c>
      <c r="BF490" s="27">
        <f t="shared" si="296"/>
        <v>0.008435</v>
      </c>
      <c r="BH490" s="14">
        <f t="shared" si="297"/>
        <v>0</v>
      </c>
      <c r="BI490" s="14">
        <f t="shared" si="298"/>
        <v>0</v>
      </c>
      <c r="BJ490" s="14">
        <f t="shared" si="299"/>
        <v>0</v>
      </c>
    </row>
    <row r="491" spans="1:62" ht="12.75">
      <c r="A491" s="123"/>
      <c r="B491" s="124"/>
      <c r="C491" s="99" t="s">
        <v>1825</v>
      </c>
      <c r="D491" s="209"/>
      <c r="E491" s="126"/>
      <c r="F491" s="135"/>
      <c r="G491" s="145"/>
      <c r="H491" s="126"/>
      <c r="I491" s="146"/>
      <c r="J491" s="219"/>
      <c r="K491" s="220"/>
      <c r="L491" s="153"/>
      <c r="Z491" s="27"/>
      <c r="AB491" s="27"/>
      <c r="AC491" s="27"/>
      <c r="AD491" s="27"/>
      <c r="AE491" s="27"/>
      <c r="AF491" s="27"/>
      <c r="AG491" s="27"/>
      <c r="AH491" s="27"/>
      <c r="AI491" s="20"/>
      <c r="AJ491" s="14"/>
      <c r="AK491" s="14"/>
      <c r="AL491" s="14"/>
      <c r="AN491" s="27"/>
      <c r="AO491" s="27"/>
      <c r="AP491" s="27"/>
      <c r="AQ491" s="24"/>
      <c r="AV491" s="27"/>
      <c r="AW491" s="27"/>
      <c r="AX491" s="27"/>
      <c r="AY491" s="28"/>
      <c r="AZ491" s="28"/>
      <c r="BA491" s="20"/>
      <c r="BC491" s="27"/>
      <c r="BD491" s="27"/>
      <c r="BE491" s="27"/>
      <c r="BF491" s="27"/>
      <c r="BH491" s="14"/>
      <c r="BI491" s="14"/>
      <c r="BJ491" s="14"/>
    </row>
    <row r="492" spans="1:62" ht="12.75">
      <c r="A492" s="123" t="s">
        <v>231</v>
      </c>
      <c r="B492" s="124" t="s">
        <v>555</v>
      </c>
      <c r="C492" s="125" t="s">
        <v>911</v>
      </c>
      <c r="D492" s="209" t="s">
        <v>1011</v>
      </c>
      <c r="E492" s="126">
        <v>0.048</v>
      </c>
      <c r="F492" s="135">
        <v>0</v>
      </c>
      <c r="G492" s="145">
        <f t="shared" si="274"/>
        <v>0</v>
      </c>
      <c r="H492" s="126">
        <f t="shared" si="275"/>
        <v>0</v>
      </c>
      <c r="I492" s="146">
        <f t="shared" si="276"/>
        <v>0</v>
      </c>
      <c r="J492" s="219">
        <v>1</v>
      </c>
      <c r="K492" s="220">
        <f t="shared" si="277"/>
        <v>0.048</v>
      </c>
      <c r="L492" s="153" t="s">
        <v>1039</v>
      </c>
      <c r="Z492" s="27">
        <f t="shared" si="278"/>
        <v>0</v>
      </c>
      <c r="AB492" s="27">
        <f t="shared" si="279"/>
        <v>0</v>
      </c>
      <c r="AC492" s="27">
        <f t="shared" si="280"/>
        <v>0</v>
      </c>
      <c r="AD492" s="27">
        <f t="shared" si="281"/>
        <v>0</v>
      </c>
      <c r="AE492" s="27">
        <f t="shared" si="282"/>
        <v>0</v>
      </c>
      <c r="AF492" s="27">
        <f t="shared" si="283"/>
        <v>0</v>
      </c>
      <c r="AG492" s="27">
        <f t="shared" si="284"/>
        <v>0</v>
      </c>
      <c r="AH492" s="27">
        <f t="shared" si="285"/>
        <v>0</v>
      </c>
      <c r="AI492" s="20"/>
      <c r="AJ492" s="14">
        <f t="shared" si="286"/>
        <v>0</v>
      </c>
      <c r="AK492" s="14">
        <f t="shared" si="287"/>
        <v>0</v>
      </c>
      <c r="AL492" s="14">
        <f t="shared" si="288"/>
        <v>0</v>
      </c>
      <c r="AN492" s="27">
        <v>21</v>
      </c>
      <c r="AO492" s="27">
        <f t="shared" si="289"/>
        <v>0</v>
      </c>
      <c r="AP492" s="27">
        <f t="shared" si="290"/>
        <v>0</v>
      </c>
      <c r="AQ492" s="24" t="s">
        <v>1050</v>
      </c>
      <c r="AV492" s="27">
        <f t="shared" si="291"/>
        <v>0</v>
      </c>
      <c r="AW492" s="27">
        <f t="shared" si="292"/>
        <v>0</v>
      </c>
      <c r="AX492" s="27">
        <f t="shared" si="293"/>
        <v>0</v>
      </c>
      <c r="AY492" s="28" t="s">
        <v>1092</v>
      </c>
      <c r="AZ492" s="28" t="s">
        <v>1105</v>
      </c>
      <c r="BA492" s="20" t="s">
        <v>1106</v>
      </c>
      <c r="BC492" s="27">
        <f t="shared" si="294"/>
        <v>0</v>
      </c>
      <c r="BD492" s="27">
        <f t="shared" si="295"/>
        <v>0</v>
      </c>
      <c r="BE492" s="27">
        <v>0</v>
      </c>
      <c r="BF492" s="27">
        <f t="shared" si="296"/>
        <v>0.048</v>
      </c>
      <c r="BH492" s="14">
        <f t="shared" si="297"/>
        <v>0</v>
      </c>
      <c r="BI492" s="14">
        <f t="shared" si="298"/>
        <v>0</v>
      </c>
      <c r="BJ492" s="14">
        <f t="shared" si="299"/>
        <v>0</v>
      </c>
    </row>
    <row r="493" spans="1:62" ht="12.75">
      <c r="A493" s="123"/>
      <c r="B493" s="124"/>
      <c r="C493" s="99" t="s">
        <v>1826</v>
      </c>
      <c r="D493" s="209"/>
      <c r="E493" s="126"/>
      <c r="F493" s="135"/>
      <c r="G493" s="145"/>
      <c r="H493" s="126"/>
      <c r="I493" s="146"/>
      <c r="J493" s="219"/>
      <c r="K493" s="220"/>
      <c r="L493" s="153"/>
      <c r="Z493" s="27"/>
      <c r="AB493" s="27"/>
      <c r="AC493" s="27"/>
      <c r="AD493" s="27"/>
      <c r="AE493" s="27"/>
      <c r="AF493" s="27"/>
      <c r="AG493" s="27"/>
      <c r="AH493" s="27"/>
      <c r="AI493" s="20"/>
      <c r="AJ493" s="14"/>
      <c r="AK493" s="14"/>
      <c r="AL493" s="14"/>
      <c r="AN493" s="27"/>
      <c r="AO493" s="27"/>
      <c r="AP493" s="27"/>
      <c r="AQ493" s="24"/>
      <c r="AV493" s="27"/>
      <c r="AW493" s="27"/>
      <c r="AX493" s="27"/>
      <c r="AY493" s="28"/>
      <c r="AZ493" s="28"/>
      <c r="BA493" s="20"/>
      <c r="BC493" s="27"/>
      <c r="BD493" s="27"/>
      <c r="BE493" s="27"/>
      <c r="BF493" s="27"/>
      <c r="BH493" s="14"/>
      <c r="BI493" s="14"/>
      <c r="BJ493" s="14"/>
    </row>
    <row r="494" spans="1:62" ht="12.75">
      <c r="A494" s="123" t="s">
        <v>232</v>
      </c>
      <c r="B494" s="124" t="s">
        <v>556</v>
      </c>
      <c r="C494" s="125" t="s">
        <v>912</v>
      </c>
      <c r="D494" s="209" t="s">
        <v>1007</v>
      </c>
      <c r="E494" s="126">
        <v>3</v>
      </c>
      <c r="F494" s="135">
        <v>0</v>
      </c>
      <c r="G494" s="145">
        <f t="shared" si="274"/>
        <v>0</v>
      </c>
      <c r="H494" s="126">
        <f t="shared" si="275"/>
        <v>0</v>
      </c>
      <c r="I494" s="146">
        <f t="shared" si="276"/>
        <v>0</v>
      </c>
      <c r="J494" s="219">
        <v>0</v>
      </c>
      <c r="K494" s="220">
        <f t="shared" si="277"/>
        <v>0</v>
      </c>
      <c r="L494" s="153" t="s">
        <v>1039</v>
      </c>
      <c r="Z494" s="27">
        <f t="shared" si="278"/>
        <v>0</v>
      </c>
      <c r="AB494" s="27">
        <f t="shared" si="279"/>
        <v>0</v>
      </c>
      <c r="AC494" s="27">
        <f t="shared" si="280"/>
        <v>0</v>
      </c>
      <c r="AD494" s="27">
        <f t="shared" si="281"/>
        <v>0</v>
      </c>
      <c r="AE494" s="27">
        <f t="shared" si="282"/>
        <v>0</v>
      </c>
      <c r="AF494" s="27">
        <f t="shared" si="283"/>
        <v>0</v>
      </c>
      <c r="AG494" s="27">
        <f t="shared" si="284"/>
        <v>0</v>
      </c>
      <c r="AH494" s="27">
        <f t="shared" si="285"/>
        <v>0</v>
      </c>
      <c r="AI494" s="20"/>
      <c r="AJ494" s="14">
        <f t="shared" si="286"/>
        <v>0</v>
      </c>
      <c r="AK494" s="14">
        <f t="shared" si="287"/>
        <v>0</v>
      </c>
      <c r="AL494" s="14">
        <f t="shared" si="288"/>
        <v>0</v>
      </c>
      <c r="AN494" s="27">
        <v>21</v>
      </c>
      <c r="AO494" s="27">
        <f t="shared" si="289"/>
        <v>0</v>
      </c>
      <c r="AP494" s="27">
        <f t="shared" si="290"/>
        <v>0</v>
      </c>
      <c r="AQ494" s="24" t="s">
        <v>1050</v>
      </c>
      <c r="AV494" s="27">
        <f t="shared" si="291"/>
        <v>0</v>
      </c>
      <c r="AW494" s="27">
        <f t="shared" si="292"/>
        <v>0</v>
      </c>
      <c r="AX494" s="27">
        <f t="shared" si="293"/>
        <v>0</v>
      </c>
      <c r="AY494" s="28" t="s">
        <v>1092</v>
      </c>
      <c r="AZ494" s="28" t="s">
        <v>1105</v>
      </c>
      <c r="BA494" s="20" t="s">
        <v>1106</v>
      </c>
      <c r="BC494" s="27">
        <f t="shared" si="294"/>
        <v>0</v>
      </c>
      <c r="BD494" s="27">
        <f t="shared" si="295"/>
        <v>0</v>
      </c>
      <c r="BE494" s="27">
        <v>0</v>
      </c>
      <c r="BF494" s="27">
        <f t="shared" si="296"/>
        <v>0</v>
      </c>
      <c r="BH494" s="14">
        <f t="shared" si="297"/>
        <v>0</v>
      </c>
      <c r="BI494" s="14">
        <f t="shared" si="298"/>
        <v>0</v>
      </c>
      <c r="BJ494" s="14">
        <f t="shared" si="299"/>
        <v>0</v>
      </c>
    </row>
    <row r="495" spans="1:62" ht="12.75">
      <c r="A495" s="123"/>
      <c r="B495" s="124"/>
      <c r="C495" s="99" t="s">
        <v>1777</v>
      </c>
      <c r="D495" s="209"/>
      <c r="E495" s="126"/>
      <c r="F495" s="135"/>
      <c r="G495" s="145"/>
      <c r="H495" s="126"/>
      <c r="I495" s="146"/>
      <c r="J495" s="219"/>
      <c r="K495" s="220"/>
      <c r="L495" s="153"/>
      <c r="Z495" s="27"/>
      <c r="AB495" s="27"/>
      <c r="AC495" s="27"/>
      <c r="AD495" s="27"/>
      <c r="AE495" s="27"/>
      <c r="AF495" s="27"/>
      <c r="AG495" s="27"/>
      <c r="AH495" s="27"/>
      <c r="AI495" s="20"/>
      <c r="AJ495" s="14"/>
      <c r="AK495" s="14"/>
      <c r="AL495" s="14"/>
      <c r="AN495" s="27"/>
      <c r="AO495" s="27"/>
      <c r="AP495" s="27"/>
      <c r="AQ495" s="24"/>
      <c r="AV495" s="27"/>
      <c r="AW495" s="27"/>
      <c r="AX495" s="27"/>
      <c r="AY495" s="28"/>
      <c r="AZ495" s="28"/>
      <c r="BA495" s="20"/>
      <c r="BC495" s="27"/>
      <c r="BD495" s="27"/>
      <c r="BE495" s="27"/>
      <c r="BF495" s="27"/>
      <c r="BH495" s="14"/>
      <c r="BI495" s="14"/>
      <c r="BJ495" s="14"/>
    </row>
    <row r="496" spans="1:62" ht="12.75">
      <c r="A496" s="123" t="s">
        <v>233</v>
      </c>
      <c r="B496" s="124" t="s">
        <v>557</v>
      </c>
      <c r="C496" s="125" t="s">
        <v>913</v>
      </c>
      <c r="D496" s="209" t="s">
        <v>1005</v>
      </c>
      <c r="E496" s="126">
        <v>663.432</v>
      </c>
      <c r="F496" s="135">
        <v>0</v>
      </c>
      <c r="G496" s="145">
        <f t="shared" si="274"/>
        <v>0</v>
      </c>
      <c r="H496" s="126">
        <f t="shared" si="275"/>
        <v>0</v>
      </c>
      <c r="I496" s="146">
        <f t="shared" si="276"/>
        <v>0</v>
      </c>
      <c r="J496" s="219">
        <v>0.00127</v>
      </c>
      <c r="K496" s="220">
        <f t="shared" si="277"/>
        <v>0.84255864</v>
      </c>
      <c r="L496" s="153" t="s">
        <v>1039</v>
      </c>
      <c r="Z496" s="27">
        <f t="shared" si="278"/>
        <v>0</v>
      </c>
      <c r="AB496" s="27">
        <f t="shared" si="279"/>
        <v>0</v>
      </c>
      <c r="AC496" s="27">
        <f t="shared" si="280"/>
        <v>0</v>
      </c>
      <c r="AD496" s="27">
        <f t="shared" si="281"/>
        <v>0</v>
      </c>
      <c r="AE496" s="27">
        <f t="shared" si="282"/>
        <v>0</v>
      </c>
      <c r="AF496" s="27">
        <f t="shared" si="283"/>
        <v>0</v>
      </c>
      <c r="AG496" s="27">
        <f t="shared" si="284"/>
        <v>0</v>
      </c>
      <c r="AH496" s="27">
        <f t="shared" si="285"/>
        <v>0</v>
      </c>
      <c r="AI496" s="20"/>
      <c r="AJ496" s="14">
        <f t="shared" si="286"/>
        <v>0</v>
      </c>
      <c r="AK496" s="14">
        <f t="shared" si="287"/>
        <v>0</v>
      </c>
      <c r="AL496" s="14">
        <f t="shared" si="288"/>
        <v>0</v>
      </c>
      <c r="AN496" s="27">
        <v>21</v>
      </c>
      <c r="AO496" s="27">
        <f t="shared" si="289"/>
        <v>0</v>
      </c>
      <c r="AP496" s="27">
        <f t="shared" si="290"/>
        <v>0</v>
      </c>
      <c r="AQ496" s="24" t="s">
        <v>1050</v>
      </c>
      <c r="AV496" s="27">
        <f t="shared" si="291"/>
        <v>0</v>
      </c>
      <c r="AW496" s="27">
        <f t="shared" si="292"/>
        <v>0</v>
      </c>
      <c r="AX496" s="27">
        <f t="shared" si="293"/>
        <v>0</v>
      </c>
      <c r="AY496" s="28" t="s">
        <v>1092</v>
      </c>
      <c r="AZ496" s="28" t="s">
        <v>1105</v>
      </c>
      <c r="BA496" s="20" t="s">
        <v>1106</v>
      </c>
      <c r="BC496" s="27">
        <f t="shared" si="294"/>
        <v>0</v>
      </c>
      <c r="BD496" s="27">
        <f t="shared" si="295"/>
        <v>0</v>
      </c>
      <c r="BE496" s="27">
        <v>0</v>
      </c>
      <c r="BF496" s="27">
        <f t="shared" si="296"/>
        <v>0.84255864</v>
      </c>
      <c r="BH496" s="14">
        <f t="shared" si="297"/>
        <v>0</v>
      </c>
      <c r="BI496" s="14">
        <f t="shared" si="298"/>
        <v>0</v>
      </c>
      <c r="BJ496" s="14">
        <f t="shared" si="299"/>
        <v>0</v>
      </c>
    </row>
    <row r="497" spans="1:62" ht="12.75">
      <c r="A497" s="123"/>
      <c r="B497" s="124"/>
      <c r="C497" s="99" t="s">
        <v>1827</v>
      </c>
      <c r="D497" s="209"/>
      <c r="E497" s="126"/>
      <c r="F497" s="135"/>
      <c r="G497" s="145"/>
      <c r="H497" s="126"/>
      <c r="I497" s="146"/>
      <c r="J497" s="219"/>
      <c r="K497" s="220"/>
      <c r="L497" s="153"/>
      <c r="Z497" s="27"/>
      <c r="AB497" s="27"/>
      <c r="AC497" s="27"/>
      <c r="AD497" s="27"/>
      <c r="AE497" s="27"/>
      <c r="AF497" s="27"/>
      <c r="AG497" s="27"/>
      <c r="AH497" s="27"/>
      <c r="AI497" s="20"/>
      <c r="AJ497" s="14"/>
      <c r="AK497" s="14"/>
      <c r="AL497" s="14"/>
      <c r="AN497" s="27"/>
      <c r="AO497" s="27"/>
      <c r="AP497" s="27"/>
      <c r="AQ497" s="24"/>
      <c r="AV497" s="27"/>
      <c r="AW497" s="27"/>
      <c r="AX497" s="27"/>
      <c r="AY497" s="28"/>
      <c r="AZ497" s="28"/>
      <c r="BA497" s="20"/>
      <c r="BC497" s="27"/>
      <c r="BD497" s="27"/>
      <c r="BE497" s="27"/>
      <c r="BF497" s="27"/>
      <c r="BH497" s="14"/>
      <c r="BI497" s="14"/>
      <c r="BJ497" s="14"/>
    </row>
    <row r="498" spans="1:62" ht="12.75">
      <c r="A498" s="123" t="s">
        <v>234</v>
      </c>
      <c r="B498" s="124" t="s">
        <v>558</v>
      </c>
      <c r="C498" s="125" t="s">
        <v>914</v>
      </c>
      <c r="D498" s="209" t="s">
        <v>1007</v>
      </c>
      <c r="E498" s="126">
        <v>3</v>
      </c>
      <c r="F498" s="135">
        <v>0</v>
      </c>
      <c r="G498" s="145">
        <f t="shared" si="274"/>
        <v>0</v>
      </c>
      <c r="H498" s="126">
        <f t="shared" si="275"/>
        <v>0</v>
      </c>
      <c r="I498" s="146">
        <f t="shared" si="276"/>
        <v>0</v>
      </c>
      <c r="J498" s="219">
        <v>0.0017</v>
      </c>
      <c r="K498" s="220">
        <f t="shared" si="277"/>
        <v>0.0050999999999999995</v>
      </c>
      <c r="L498" s="153" t="s">
        <v>1039</v>
      </c>
      <c r="Z498" s="27">
        <f t="shared" si="278"/>
        <v>0</v>
      </c>
      <c r="AB498" s="27">
        <f t="shared" si="279"/>
        <v>0</v>
      </c>
      <c r="AC498" s="27">
        <f t="shared" si="280"/>
        <v>0</v>
      </c>
      <c r="AD498" s="27">
        <f t="shared" si="281"/>
        <v>0</v>
      </c>
      <c r="AE498" s="27">
        <f t="shared" si="282"/>
        <v>0</v>
      </c>
      <c r="AF498" s="27">
        <f t="shared" si="283"/>
        <v>0</v>
      </c>
      <c r="AG498" s="27">
        <f t="shared" si="284"/>
        <v>0</v>
      </c>
      <c r="AH498" s="27">
        <f t="shared" si="285"/>
        <v>0</v>
      </c>
      <c r="AI498" s="20"/>
      <c r="AJ498" s="14">
        <f t="shared" si="286"/>
        <v>0</v>
      </c>
      <c r="AK498" s="14">
        <f t="shared" si="287"/>
        <v>0</v>
      </c>
      <c r="AL498" s="14">
        <f t="shared" si="288"/>
        <v>0</v>
      </c>
      <c r="AN498" s="27">
        <v>21</v>
      </c>
      <c r="AO498" s="27">
        <f t="shared" si="289"/>
        <v>0</v>
      </c>
      <c r="AP498" s="27">
        <f t="shared" si="290"/>
        <v>0</v>
      </c>
      <c r="AQ498" s="24" t="s">
        <v>1050</v>
      </c>
      <c r="AV498" s="27">
        <f t="shared" si="291"/>
        <v>0</v>
      </c>
      <c r="AW498" s="27">
        <f t="shared" si="292"/>
        <v>0</v>
      </c>
      <c r="AX498" s="27">
        <f t="shared" si="293"/>
        <v>0</v>
      </c>
      <c r="AY498" s="28" t="s">
        <v>1092</v>
      </c>
      <c r="AZ498" s="28" t="s">
        <v>1105</v>
      </c>
      <c r="BA498" s="20" t="s">
        <v>1106</v>
      </c>
      <c r="BC498" s="27">
        <f t="shared" si="294"/>
        <v>0</v>
      </c>
      <c r="BD498" s="27">
        <f t="shared" si="295"/>
        <v>0</v>
      </c>
      <c r="BE498" s="27">
        <v>0</v>
      </c>
      <c r="BF498" s="27">
        <f t="shared" si="296"/>
        <v>0.0050999999999999995</v>
      </c>
      <c r="BH498" s="14">
        <f t="shared" si="297"/>
        <v>0</v>
      </c>
      <c r="BI498" s="14">
        <f t="shared" si="298"/>
        <v>0</v>
      </c>
      <c r="BJ498" s="14">
        <f t="shared" si="299"/>
        <v>0</v>
      </c>
    </row>
    <row r="499" spans="1:62" ht="12.75">
      <c r="A499" s="123" t="s">
        <v>235</v>
      </c>
      <c r="B499" s="124" t="s">
        <v>559</v>
      </c>
      <c r="C499" s="125" t="s">
        <v>915</v>
      </c>
      <c r="D499" s="209" t="s">
        <v>1007</v>
      </c>
      <c r="E499" s="126">
        <v>1</v>
      </c>
      <c r="F499" s="135">
        <v>0</v>
      </c>
      <c r="G499" s="145">
        <f t="shared" si="274"/>
        <v>0</v>
      </c>
      <c r="H499" s="126">
        <f t="shared" si="275"/>
        <v>0</v>
      </c>
      <c r="I499" s="146">
        <f t="shared" si="276"/>
        <v>0</v>
      </c>
      <c r="J499" s="219">
        <v>0.0046</v>
      </c>
      <c r="K499" s="220">
        <f t="shared" si="277"/>
        <v>0.0046</v>
      </c>
      <c r="L499" s="153" t="s">
        <v>1039</v>
      </c>
      <c r="Z499" s="27">
        <f t="shared" si="278"/>
        <v>0</v>
      </c>
      <c r="AB499" s="27">
        <f t="shared" si="279"/>
        <v>0</v>
      </c>
      <c r="AC499" s="27">
        <f t="shared" si="280"/>
        <v>0</v>
      </c>
      <c r="AD499" s="27">
        <f t="shared" si="281"/>
        <v>0</v>
      </c>
      <c r="AE499" s="27">
        <f t="shared" si="282"/>
        <v>0</v>
      </c>
      <c r="AF499" s="27">
        <f t="shared" si="283"/>
        <v>0</v>
      </c>
      <c r="AG499" s="27">
        <f t="shared" si="284"/>
        <v>0</v>
      </c>
      <c r="AH499" s="27">
        <f t="shared" si="285"/>
        <v>0</v>
      </c>
      <c r="AI499" s="20"/>
      <c r="AJ499" s="14">
        <f t="shared" si="286"/>
        <v>0</v>
      </c>
      <c r="AK499" s="14">
        <f t="shared" si="287"/>
        <v>0</v>
      </c>
      <c r="AL499" s="14">
        <f t="shared" si="288"/>
        <v>0</v>
      </c>
      <c r="AN499" s="27">
        <v>21</v>
      </c>
      <c r="AO499" s="27">
        <f t="shared" si="289"/>
        <v>0</v>
      </c>
      <c r="AP499" s="27">
        <f t="shared" si="290"/>
        <v>0</v>
      </c>
      <c r="AQ499" s="24" t="s">
        <v>1050</v>
      </c>
      <c r="AV499" s="27">
        <f t="shared" si="291"/>
        <v>0</v>
      </c>
      <c r="AW499" s="27">
        <f t="shared" si="292"/>
        <v>0</v>
      </c>
      <c r="AX499" s="27">
        <f t="shared" si="293"/>
        <v>0</v>
      </c>
      <c r="AY499" s="28" t="s">
        <v>1092</v>
      </c>
      <c r="AZ499" s="28" t="s">
        <v>1105</v>
      </c>
      <c r="BA499" s="20" t="s">
        <v>1106</v>
      </c>
      <c r="BC499" s="27">
        <f t="shared" si="294"/>
        <v>0</v>
      </c>
      <c r="BD499" s="27">
        <f t="shared" si="295"/>
        <v>0</v>
      </c>
      <c r="BE499" s="27">
        <v>0</v>
      </c>
      <c r="BF499" s="27">
        <f t="shared" si="296"/>
        <v>0.0046</v>
      </c>
      <c r="BH499" s="14">
        <f t="shared" si="297"/>
        <v>0</v>
      </c>
      <c r="BI499" s="14">
        <f t="shared" si="298"/>
        <v>0</v>
      </c>
      <c r="BJ499" s="14">
        <f t="shared" si="299"/>
        <v>0</v>
      </c>
    </row>
    <row r="500" spans="1:62" ht="12.75">
      <c r="A500" s="123" t="s">
        <v>236</v>
      </c>
      <c r="B500" s="124" t="s">
        <v>560</v>
      </c>
      <c r="C500" s="125" t="s">
        <v>916</v>
      </c>
      <c r="D500" s="209" t="s">
        <v>1007</v>
      </c>
      <c r="E500" s="126">
        <v>1</v>
      </c>
      <c r="F500" s="135">
        <v>0</v>
      </c>
      <c r="G500" s="145">
        <f t="shared" si="274"/>
        <v>0</v>
      </c>
      <c r="H500" s="126">
        <f t="shared" si="275"/>
        <v>0</v>
      </c>
      <c r="I500" s="146">
        <f t="shared" si="276"/>
        <v>0</v>
      </c>
      <c r="J500" s="219">
        <v>0.0058</v>
      </c>
      <c r="K500" s="220">
        <f t="shared" si="277"/>
        <v>0.0058</v>
      </c>
      <c r="L500" s="153" t="s">
        <v>1039</v>
      </c>
      <c r="Z500" s="27">
        <f t="shared" si="278"/>
        <v>0</v>
      </c>
      <c r="AB500" s="27">
        <f t="shared" si="279"/>
        <v>0</v>
      </c>
      <c r="AC500" s="27">
        <f t="shared" si="280"/>
        <v>0</v>
      </c>
      <c r="AD500" s="27">
        <f t="shared" si="281"/>
        <v>0</v>
      </c>
      <c r="AE500" s="27">
        <f t="shared" si="282"/>
        <v>0</v>
      </c>
      <c r="AF500" s="27">
        <f t="shared" si="283"/>
        <v>0</v>
      </c>
      <c r="AG500" s="27">
        <f t="shared" si="284"/>
        <v>0</v>
      </c>
      <c r="AH500" s="27">
        <f t="shared" si="285"/>
        <v>0</v>
      </c>
      <c r="AI500" s="20"/>
      <c r="AJ500" s="14">
        <f t="shared" si="286"/>
        <v>0</v>
      </c>
      <c r="AK500" s="14">
        <f t="shared" si="287"/>
        <v>0</v>
      </c>
      <c r="AL500" s="14">
        <f t="shared" si="288"/>
        <v>0</v>
      </c>
      <c r="AN500" s="27">
        <v>21</v>
      </c>
      <c r="AO500" s="27">
        <f t="shared" si="289"/>
        <v>0</v>
      </c>
      <c r="AP500" s="27">
        <f t="shared" si="290"/>
        <v>0</v>
      </c>
      <c r="AQ500" s="24" t="s">
        <v>1050</v>
      </c>
      <c r="AV500" s="27">
        <f t="shared" si="291"/>
        <v>0</v>
      </c>
      <c r="AW500" s="27">
        <f t="shared" si="292"/>
        <v>0</v>
      </c>
      <c r="AX500" s="27">
        <f t="shared" si="293"/>
        <v>0</v>
      </c>
      <c r="AY500" s="28" t="s">
        <v>1092</v>
      </c>
      <c r="AZ500" s="28" t="s">
        <v>1105</v>
      </c>
      <c r="BA500" s="20" t="s">
        <v>1106</v>
      </c>
      <c r="BC500" s="27">
        <f t="shared" si="294"/>
        <v>0</v>
      </c>
      <c r="BD500" s="27">
        <f t="shared" si="295"/>
        <v>0</v>
      </c>
      <c r="BE500" s="27">
        <v>0</v>
      </c>
      <c r="BF500" s="27">
        <f t="shared" si="296"/>
        <v>0.0058</v>
      </c>
      <c r="BH500" s="14">
        <f t="shared" si="297"/>
        <v>0</v>
      </c>
      <c r="BI500" s="14">
        <f t="shared" si="298"/>
        <v>0</v>
      </c>
      <c r="BJ500" s="14">
        <f t="shared" si="299"/>
        <v>0</v>
      </c>
    </row>
    <row r="501" spans="1:62" ht="12.75">
      <c r="A501" s="123" t="s">
        <v>237</v>
      </c>
      <c r="B501" s="124" t="s">
        <v>561</v>
      </c>
      <c r="C501" s="125" t="s">
        <v>917</v>
      </c>
      <c r="D501" s="209" t="s">
        <v>1007</v>
      </c>
      <c r="E501" s="126">
        <v>1</v>
      </c>
      <c r="F501" s="135">
        <v>0</v>
      </c>
      <c r="G501" s="145">
        <f t="shared" si="274"/>
        <v>0</v>
      </c>
      <c r="H501" s="126">
        <f t="shared" si="275"/>
        <v>0</v>
      </c>
      <c r="I501" s="146">
        <f t="shared" si="276"/>
        <v>0</v>
      </c>
      <c r="J501" s="219">
        <v>0.0291</v>
      </c>
      <c r="K501" s="220">
        <f t="shared" si="277"/>
        <v>0.0291</v>
      </c>
      <c r="L501" s="153" t="s">
        <v>1039</v>
      </c>
      <c r="Z501" s="27">
        <f t="shared" si="278"/>
        <v>0</v>
      </c>
      <c r="AB501" s="27">
        <f t="shared" si="279"/>
        <v>0</v>
      </c>
      <c r="AC501" s="27">
        <f t="shared" si="280"/>
        <v>0</v>
      </c>
      <c r="AD501" s="27">
        <f t="shared" si="281"/>
        <v>0</v>
      </c>
      <c r="AE501" s="27">
        <f t="shared" si="282"/>
        <v>0</v>
      </c>
      <c r="AF501" s="27">
        <f t="shared" si="283"/>
        <v>0</v>
      </c>
      <c r="AG501" s="27">
        <f t="shared" si="284"/>
        <v>0</v>
      </c>
      <c r="AH501" s="27">
        <f t="shared" si="285"/>
        <v>0</v>
      </c>
      <c r="AI501" s="20"/>
      <c r="AJ501" s="14">
        <f t="shared" si="286"/>
        <v>0</v>
      </c>
      <c r="AK501" s="14">
        <f t="shared" si="287"/>
        <v>0</v>
      </c>
      <c r="AL501" s="14">
        <f t="shared" si="288"/>
        <v>0</v>
      </c>
      <c r="AN501" s="27">
        <v>21</v>
      </c>
      <c r="AO501" s="27">
        <f t="shared" si="289"/>
        <v>0</v>
      </c>
      <c r="AP501" s="27">
        <f t="shared" si="290"/>
        <v>0</v>
      </c>
      <c r="AQ501" s="24" t="s">
        <v>1050</v>
      </c>
      <c r="AV501" s="27">
        <f t="shared" si="291"/>
        <v>0</v>
      </c>
      <c r="AW501" s="27">
        <f t="shared" si="292"/>
        <v>0</v>
      </c>
      <c r="AX501" s="27">
        <f t="shared" si="293"/>
        <v>0</v>
      </c>
      <c r="AY501" s="28" t="s">
        <v>1092</v>
      </c>
      <c r="AZ501" s="28" t="s">
        <v>1105</v>
      </c>
      <c r="BA501" s="20" t="s">
        <v>1106</v>
      </c>
      <c r="BC501" s="27">
        <f t="shared" si="294"/>
        <v>0</v>
      </c>
      <c r="BD501" s="27">
        <f t="shared" si="295"/>
        <v>0</v>
      </c>
      <c r="BE501" s="27">
        <v>0</v>
      </c>
      <c r="BF501" s="27">
        <f t="shared" si="296"/>
        <v>0.0291</v>
      </c>
      <c r="BH501" s="14">
        <f t="shared" si="297"/>
        <v>0</v>
      </c>
      <c r="BI501" s="14">
        <f t="shared" si="298"/>
        <v>0</v>
      </c>
      <c r="BJ501" s="14">
        <f t="shared" si="299"/>
        <v>0</v>
      </c>
    </row>
    <row r="502" spans="1:62" ht="12.75">
      <c r="A502" s="123" t="s">
        <v>238</v>
      </c>
      <c r="B502" s="124" t="s">
        <v>562</v>
      </c>
      <c r="C502" s="125" t="s">
        <v>918</v>
      </c>
      <c r="D502" s="209" t="s">
        <v>1007</v>
      </c>
      <c r="E502" s="126">
        <v>6</v>
      </c>
      <c r="F502" s="135">
        <v>0</v>
      </c>
      <c r="G502" s="145">
        <f t="shared" si="274"/>
        <v>0</v>
      </c>
      <c r="H502" s="126">
        <f t="shared" si="275"/>
        <v>0</v>
      </c>
      <c r="I502" s="146">
        <f t="shared" si="276"/>
        <v>0</v>
      </c>
      <c r="J502" s="219">
        <v>0.0031</v>
      </c>
      <c r="K502" s="220">
        <f t="shared" si="277"/>
        <v>0.0186</v>
      </c>
      <c r="L502" s="153" t="s">
        <v>1039</v>
      </c>
      <c r="Z502" s="27">
        <f t="shared" si="278"/>
        <v>0</v>
      </c>
      <c r="AB502" s="27">
        <f t="shared" si="279"/>
        <v>0</v>
      </c>
      <c r="AC502" s="27">
        <f t="shared" si="280"/>
        <v>0</v>
      </c>
      <c r="AD502" s="27">
        <f t="shared" si="281"/>
        <v>0</v>
      </c>
      <c r="AE502" s="27">
        <f t="shared" si="282"/>
        <v>0</v>
      </c>
      <c r="AF502" s="27">
        <f t="shared" si="283"/>
        <v>0</v>
      </c>
      <c r="AG502" s="27">
        <f t="shared" si="284"/>
        <v>0</v>
      </c>
      <c r="AH502" s="27">
        <f t="shared" si="285"/>
        <v>0</v>
      </c>
      <c r="AI502" s="20"/>
      <c r="AJ502" s="14">
        <f t="shared" si="286"/>
        <v>0</v>
      </c>
      <c r="AK502" s="14">
        <f t="shared" si="287"/>
        <v>0</v>
      </c>
      <c r="AL502" s="14">
        <f t="shared" si="288"/>
        <v>0</v>
      </c>
      <c r="AN502" s="27">
        <v>21</v>
      </c>
      <c r="AO502" s="27">
        <f t="shared" si="289"/>
        <v>0</v>
      </c>
      <c r="AP502" s="27">
        <f t="shared" si="290"/>
        <v>0</v>
      </c>
      <c r="AQ502" s="24" t="s">
        <v>1050</v>
      </c>
      <c r="AV502" s="27">
        <f t="shared" si="291"/>
        <v>0</v>
      </c>
      <c r="AW502" s="27">
        <f t="shared" si="292"/>
        <v>0</v>
      </c>
      <c r="AX502" s="27">
        <f t="shared" si="293"/>
        <v>0</v>
      </c>
      <c r="AY502" s="28" t="s">
        <v>1092</v>
      </c>
      <c r="AZ502" s="28" t="s">
        <v>1105</v>
      </c>
      <c r="BA502" s="20" t="s">
        <v>1106</v>
      </c>
      <c r="BC502" s="27">
        <f t="shared" si="294"/>
        <v>0</v>
      </c>
      <c r="BD502" s="27">
        <f t="shared" si="295"/>
        <v>0</v>
      </c>
      <c r="BE502" s="27">
        <v>0</v>
      </c>
      <c r="BF502" s="27">
        <f t="shared" si="296"/>
        <v>0.0186</v>
      </c>
      <c r="BH502" s="14">
        <f t="shared" si="297"/>
        <v>0</v>
      </c>
      <c r="BI502" s="14">
        <f t="shared" si="298"/>
        <v>0</v>
      </c>
      <c r="BJ502" s="14">
        <f t="shared" si="299"/>
        <v>0</v>
      </c>
    </row>
    <row r="503" spans="1:62" ht="12.75">
      <c r="A503" s="123" t="s">
        <v>239</v>
      </c>
      <c r="B503" s="124" t="s">
        <v>563</v>
      </c>
      <c r="C503" s="125" t="s">
        <v>919</v>
      </c>
      <c r="D503" s="209" t="s">
        <v>1007</v>
      </c>
      <c r="E503" s="126">
        <v>13</v>
      </c>
      <c r="F503" s="135">
        <v>0</v>
      </c>
      <c r="G503" s="145">
        <f t="shared" si="274"/>
        <v>0</v>
      </c>
      <c r="H503" s="126">
        <f t="shared" si="275"/>
        <v>0</v>
      </c>
      <c r="I503" s="146">
        <f t="shared" si="276"/>
        <v>0</v>
      </c>
      <c r="J503" s="219">
        <v>0.0063</v>
      </c>
      <c r="K503" s="220">
        <f t="shared" si="277"/>
        <v>0.0819</v>
      </c>
      <c r="L503" s="153" t="s">
        <v>1039</v>
      </c>
      <c r="Z503" s="27">
        <f t="shared" si="278"/>
        <v>0</v>
      </c>
      <c r="AB503" s="27">
        <f t="shared" si="279"/>
        <v>0</v>
      </c>
      <c r="AC503" s="27">
        <f t="shared" si="280"/>
        <v>0</v>
      </c>
      <c r="AD503" s="27">
        <f t="shared" si="281"/>
        <v>0</v>
      </c>
      <c r="AE503" s="27">
        <f t="shared" si="282"/>
        <v>0</v>
      </c>
      <c r="AF503" s="27">
        <f t="shared" si="283"/>
        <v>0</v>
      </c>
      <c r="AG503" s="27">
        <f t="shared" si="284"/>
        <v>0</v>
      </c>
      <c r="AH503" s="27">
        <f t="shared" si="285"/>
        <v>0</v>
      </c>
      <c r="AI503" s="20"/>
      <c r="AJ503" s="14">
        <f t="shared" si="286"/>
        <v>0</v>
      </c>
      <c r="AK503" s="14">
        <f t="shared" si="287"/>
        <v>0</v>
      </c>
      <c r="AL503" s="14">
        <f t="shared" si="288"/>
        <v>0</v>
      </c>
      <c r="AN503" s="27">
        <v>21</v>
      </c>
      <c r="AO503" s="27">
        <f t="shared" si="289"/>
        <v>0</v>
      </c>
      <c r="AP503" s="27">
        <f t="shared" si="290"/>
        <v>0</v>
      </c>
      <c r="AQ503" s="24" t="s">
        <v>1050</v>
      </c>
      <c r="AV503" s="27">
        <f t="shared" si="291"/>
        <v>0</v>
      </c>
      <c r="AW503" s="27">
        <f t="shared" si="292"/>
        <v>0</v>
      </c>
      <c r="AX503" s="27">
        <f t="shared" si="293"/>
        <v>0</v>
      </c>
      <c r="AY503" s="28" t="s">
        <v>1092</v>
      </c>
      <c r="AZ503" s="28" t="s">
        <v>1105</v>
      </c>
      <c r="BA503" s="20" t="s">
        <v>1106</v>
      </c>
      <c r="BC503" s="27">
        <f t="shared" si="294"/>
        <v>0</v>
      </c>
      <c r="BD503" s="27">
        <f t="shared" si="295"/>
        <v>0</v>
      </c>
      <c r="BE503" s="27">
        <v>0</v>
      </c>
      <c r="BF503" s="27">
        <f t="shared" si="296"/>
        <v>0.0819</v>
      </c>
      <c r="BH503" s="14">
        <f t="shared" si="297"/>
        <v>0</v>
      </c>
      <c r="BI503" s="14">
        <f t="shared" si="298"/>
        <v>0</v>
      </c>
      <c r="BJ503" s="14">
        <f t="shared" si="299"/>
        <v>0</v>
      </c>
    </row>
    <row r="504" spans="1:62" ht="12.75">
      <c r="A504" s="123" t="s">
        <v>240</v>
      </c>
      <c r="B504" s="124" t="s">
        <v>564</v>
      </c>
      <c r="C504" s="125" t="s">
        <v>920</v>
      </c>
      <c r="D504" s="209" t="s">
        <v>1007</v>
      </c>
      <c r="E504" s="126">
        <v>8</v>
      </c>
      <c r="F504" s="135">
        <v>0</v>
      </c>
      <c r="G504" s="145">
        <f t="shared" si="274"/>
        <v>0</v>
      </c>
      <c r="H504" s="126">
        <f t="shared" si="275"/>
        <v>0</v>
      </c>
      <c r="I504" s="146">
        <f t="shared" si="276"/>
        <v>0</v>
      </c>
      <c r="J504" s="219">
        <v>0.0096</v>
      </c>
      <c r="K504" s="220">
        <f t="shared" si="277"/>
        <v>0.0768</v>
      </c>
      <c r="L504" s="153"/>
      <c r="Z504" s="27">
        <f t="shared" si="278"/>
        <v>0</v>
      </c>
      <c r="AB504" s="27">
        <f t="shared" si="279"/>
        <v>0</v>
      </c>
      <c r="AC504" s="27">
        <f t="shared" si="280"/>
        <v>0</v>
      </c>
      <c r="AD504" s="27">
        <f t="shared" si="281"/>
        <v>0</v>
      </c>
      <c r="AE504" s="27">
        <f t="shared" si="282"/>
        <v>0</v>
      </c>
      <c r="AF504" s="27">
        <f t="shared" si="283"/>
        <v>0</v>
      </c>
      <c r="AG504" s="27">
        <f t="shared" si="284"/>
        <v>0</v>
      </c>
      <c r="AH504" s="27">
        <f t="shared" si="285"/>
        <v>0</v>
      </c>
      <c r="AI504" s="20"/>
      <c r="AJ504" s="14">
        <f t="shared" si="286"/>
        <v>0</v>
      </c>
      <c r="AK504" s="14">
        <f t="shared" si="287"/>
        <v>0</v>
      </c>
      <c r="AL504" s="14">
        <f t="shared" si="288"/>
        <v>0</v>
      </c>
      <c r="AN504" s="27">
        <v>21</v>
      </c>
      <c r="AO504" s="27">
        <f t="shared" si="289"/>
        <v>0</v>
      </c>
      <c r="AP504" s="27">
        <f t="shared" si="290"/>
        <v>0</v>
      </c>
      <c r="AQ504" s="24" t="s">
        <v>1050</v>
      </c>
      <c r="AV504" s="27">
        <f t="shared" si="291"/>
        <v>0</v>
      </c>
      <c r="AW504" s="27">
        <f t="shared" si="292"/>
        <v>0</v>
      </c>
      <c r="AX504" s="27">
        <f t="shared" si="293"/>
        <v>0</v>
      </c>
      <c r="AY504" s="28" t="s">
        <v>1092</v>
      </c>
      <c r="AZ504" s="28" t="s">
        <v>1105</v>
      </c>
      <c r="BA504" s="20" t="s">
        <v>1106</v>
      </c>
      <c r="BC504" s="27">
        <f t="shared" si="294"/>
        <v>0</v>
      </c>
      <c r="BD504" s="27">
        <f t="shared" si="295"/>
        <v>0</v>
      </c>
      <c r="BE504" s="27">
        <v>0</v>
      </c>
      <c r="BF504" s="27">
        <f t="shared" si="296"/>
        <v>0.0768</v>
      </c>
      <c r="BH504" s="14">
        <f t="shared" si="297"/>
        <v>0</v>
      </c>
      <c r="BI504" s="14">
        <f t="shared" si="298"/>
        <v>0</v>
      </c>
      <c r="BJ504" s="14">
        <f t="shared" si="299"/>
        <v>0</v>
      </c>
    </row>
    <row r="505" spans="1:62" ht="12.75">
      <c r="A505" s="123" t="s">
        <v>241</v>
      </c>
      <c r="B505" s="124" t="s">
        <v>565</v>
      </c>
      <c r="C505" s="125" t="s">
        <v>921</v>
      </c>
      <c r="D505" s="209" t="s">
        <v>1007</v>
      </c>
      <c r="E505" s="126">
        <v>7</v>
      </c>
      <c r="F505" s="135">
        <v>0</v>
      </c>
      <c r="G505" s="145">
        <f t="shared" si="274"/>
        <v>0</v>
      </c>
      <c r="H505" s="126">
        <f t="shared" si="275"/>
        <v>0</v>
      </c>
      <c r="I505" s="146">
        <f t="shared" si="276"/>
        <v>0</v>
      </c>
      <c r="J505" s="219">
        <v>0.014</v>
      </c>
      <c r="K505" s="220">
        <f t="shared" si="277"/>
        <v>0.098</v>
      </c>
      <c r="L505" s="153"/>
      <c r="Z505" s="27">
        <f t="shared" si="278"/>
        <v>0</v>
      </c>
      <c r="AB505" s="27">
        <f t="shared" si="279"/>
        <v>0</v>
      </c>
      <c r="AC505" s="27">
        <f t="shared" si="280"/>
        <v>0</v>
      </c>
      <c r="AD505" s="27">
        <f t="shared" si="281"/>
        <v>0</v>
      </c>
      <c r="AE505" s="27">
        <f t="shared" si="282"/>
        <v>0</v>
      </c>
      <c r="AF505" s="27">
        <f t="shared" si="283"/>
        <v>0</v>
      </c>
      <c r="AG505" s="27">
        <f t="shared" si="284"/>
        <v>0</v>
      </c>
      <c r="AH505" s="27">
        <f t="shared" si="285"/>
        <v>0</v>
      </c>
      <c r="AI505" s="20"/>
      <c r="AJ505" s="14">
        <f t="shared" si="286"/>
        <v>0</v>
      </c>
      <c r="AK505" s="14">
        <f t="shared" si="287"/>
        <v>0</v>
      </c>
      <c r="AL505" s="14">
        <f t="shared" si="288"/>
        <v>0</v>
      </c>
      <c r="AN505" s="27">
        <v>21</v>
      </c>
      <c r="AO505" s="27">
        <f t="shared" si="289"/>
        <v>0</v>
      </c>
      <c r="AP505" s="27">
        <f t="shared" si="290"/>
        <v>0</v>
      </c>
      <c r="AQ505" s="24" t="s">
        <v>1050</v>
      </c>
      <c r="AV505" s="27">
        <f t="shared" si="291"/>
        <v>0</v>
      </c>
      <c r="AW505" s="27">
        <f t="shared" si="292"/>
        <v>0</v>
      </c>
      <c r="AX505" s="27">
        <f t="shared" si="293"/>
        <v>0</v>
      </c>
      <c r="AY505" s="28" t="s">
        <v>1092</v>
      </c>
      <c r="AZ505" s="28" t="s">
        <v>1105</v>
      </c>
      <c r="BA505" s="20" t="s">
        <v>1106</v>
      </c>
      <c r="BC505" s="27">
        <f t="shared" si="294"/>
        <v>0</v>
      </c>
      <c r="BD505" s="27">
        <f t="shared" si="295"/>
        <v>0</v>
      </c>
      <c r="BE505" s="27">
        <v>0</v>
      </c>
      <c r="BF505" s="27">
        <f t="shared" si="296"/>
        <v>0.098</v>
      </c>
      <c r="BH505" s="14">
        <f t="shared" si="297"/>
        <v>0</v>
      </c>
      <c r="BI505" s="14">
        <f t="shared" si="298"/>
        <v>0</v>
      </c>
      <c r="BJ505" s="14">
        <f t="shared" si="299"/>
        <v>0</v>
      </c>
    </row>
    <row r="506" spans="1:62" ht="12.75">
      <c r="A506" s="123" t="s">
        <v>242</v>
      </c>
      <c r="B506" s="124" t="s">
        <v>566</v>
      </c>
      <c r="C506" s="125" t="s">
        <v>922</v>
      </c>
      <c r="D506" s="209" t="s">
        <v>1007</v>
      </c>
      <c r="E506" s="126">
        <v>37</v>
      </c>
      <c r="F506" s="135">
        <v>0</v>
      </c>
      <c r="G506" s="145">
        <f t="shared" si="274"/>
        <v>0</v>
      </c>
      <c r="H506" s="126">
        <f t="shared" si="275"/>
        <v>0</v>
      </c>
      <c r="I506" s="146">
        <f t="shared" si="276"/>
        <v>0</v>
      </c>
      <c r="J506" s="219">
        <v>0.066</v>
      </c>
      <c r="K506" s="220">
        <f t="shared" si="277"/>
        <v>2.442</v>
      </c>
      <c r="L506" s="153"/>
      <c r="Z506" s="27">
        <f t="shared" si="278"/>
        <v>0</v>
      </c>
      <c r="AB506" s="27">
        <f t="shared" si="279"/>
        <v>0</v>
      </c>
      <c r="AC506" s="27">
        <f t="shared" si="280"/>
        <v>0</v>
      </c>
      <c r="AD506" s="27">
        <f t="shared" si="281"/>
        <v>0</v>
      </c>
      <c r="AE506" s="27">
        <f t="shared" si="282"/>
        <v>0</v>
      </c>
      <c r="AF506" s="27">
        <f t="shared" si="283"/>
        <v>0</v>
      </c>
      <c r="AG506" s="27">
        <f t="shared" si="284"/>
        <v>0</v>
      </c>
      <c r="AH506" s="27">
        <f t="shared" si="285"/>
        <v>0</v>
      </c>
      <c r="AI506" s="20"/>
      <c r="AJ506" s="14">
        <f t="shared" si="286"/>
        <v>0</v>
      </c>
      <c r="AK506" s="14">
        <f t="shared" si="287"/>
        <v>0</v>
      </c>
      <c r="AL506" s="14">
        <f t="shared" si="288"/>
        <v>0</v>
      </c>
      <c r="AN506" s="27">
        <v>21</v>
      </c>
      <c r="AO506" s="27">
        <f t="shared" si="289"/>
        <v>0</v>
      </c>
      <c r="AP506" s="27">
        <f t="shared" si="290"/>
        <v>0</v>
      </c>
      <c r="AQ506" s="24" t="s">
        <v>1050</v>
      </c>
      <c r="AV506" s="27">
        <f t="shared" si="291"/>
        <v>0</v>
      </c>
      <c r="AW506" s="27">
        <f t="shared" si="292"/>
        <v>0</v>
      </c>
      <c r="AX506" s="27">
        <f t="shared" si="293"/>
        <v>0</v>
      </c>
      <c r="AY506" s="28" t="s">
        <v>1092</v>
      </c>
      <c r="AZ506" s="28" t="s">
        <v>1105</v>
      </c>
      <c r="BA506" s="20" t="s">
        <v>1106</v>
      </c>
      <c r="BC506" s="27">
        <f t="shared" si="294"/>
        <v>0</v>
      </c>
      <c r="BD506" s="27">
        <f t="shared" si="295"/>
        <v>0</v>
      </c>
      <c r="BE506" s="27">
        <v>0</v>
      </c>
      <c r="BF506" s="27">
        <f t="shared" si="296"/>
        <v>2.442</v>
      </c>
      <c r="BH506" s="14">
        <f t="shared" si="297"/>
        <v>0</v>
      </c>
      <c r="BI506" s="14">
        <f t="shared" si="298"/>
        <v>0</v>
      </c>
      <c r="BJ506" s="14">
        <f t="shared" si="299"/>
        <v>0</v>
      </c>
    </row>
    <row r="507" spans="1:62" ht="12.75">
      <c r="A507" s="123" t="s">
        <v>243</v>
      </c>
      <c r="B507" s="124" t="s">
        <v>567</v>
      </c>
      <c r="C507" s="125" t="s">
        <v>923</v>
      </c>
      <c r="D507" s="209" t="s">
        <v>1007</v>
      </c>
      <c r="E507" s="126">
        <v>3</v>
      </c>
      <c r="F507" s="135">
        <v>0</v>
      </c>
      <c r="G507" s="145">
        <f t="shared" si="274"/>
        <v>0</v>
      </c>
      <c r="H507" s="126">
        <f t="shared" si="275"/>
        <v>0</v>
      </c>
      <c r="I507" s="146">
        <f t="shared" si="276"/>
        <v>0</v>
      </c>
      <c r="J507" s="219">
        <v>0.0047</v>
      </c>
      <c r="K507" s="220">
        <f t="shared" si="277"/>
        <v>0.014100000000000001</v>
      </c>
      <c r="L507" s="153"/>
      <c r="Z507" s="27">
        <f t="shared" si="278"/>
        <v>0</v>
      </c>
      <c r="AB507" s="27">
        <f t="shared" si="279"/>
        <v>0</v>
      </c>
      <c r="AC507" s="27">
        <f t="shared" si="280"/>
        <v>0</v>
      </c>
      <c r="AD507" s="27">
        <f t="shared" si="281"/>
        <v>0</v>
      </c>
      <c r="AE507" s="27">
        <f t="shared" si="282"/>
        <v>0</v>
      </c>
      <c r="AF507" s="27">
        <f t="shared" si="283"/>
        <v>0</v>
      </c>
      <c r="AG507" s="27">
        <f t="shared" si="284"/>
        <v>0</v>
      </c>
      <c r="AH507" s="27">
        <f t="shared" si="285"/>
        <v>0</v>
      </c>
      <c r="AI507" s="20"/>
      <c r="AJ507" s="14">
        <f t="shared" si="286"/>
        <v>0</v>
      </c>
      <c r="AK507" s="14">
        <f t="shared" si="287"/>
        <v>0</v>
      </c>
      <c r="AL507" s="14">
        <f t="shared" si="288"/>
        <v>0</v>
      </c>
      <c r="AN507" s="27">
        <v>21</v>
      </c>
      <c r="AO507" s="27">
        <f t="shared" si="289"/>
        <v>0</v>
      </c>
      <c r="AP507" s="27">
        <f t="shared" si="290"/>
        <v>0</v>
      </c>
      <c r="AQ507" s="24" t="s">
        <v>1050</v>
      </c>
      <c r="AV507" s="27">
        <f t="shared" si="291"/>
        <v>0</v>
      </c>
      <c r="AW507" s="27">
        <f t="shared" si="292"/>
        <v>0</v>
      </c>
      <c r="AX507" s="27">
        <f t="shared" si="293"/>
        <v>0</v>
      </c>
      <c r="AY507" s="28" t="s">
        <v>1092</v>
      </c>
      <c r="AZ507" s="28" t="s">
        <v>1105</v>
      </c>
      <c r="BA507" s="20" t="s">
        <v>1106</v>
      </c>
      <c r="BC507" s="27">
        <f t="shared" si="294"/>
        <v>0</v>
      </c>
      <c r="BD507" s="27">
        <f t="shared" si="295"/>
        <v>0</v>
      </c>
      <c r="BE507" s="27">
        <v>0</v>
      </c>
      <c r="BF507" s="27">
        <f t="shared" si="296"/>
        <v>0.014100000000000001</v>
      </c>
      <c r="BH507" s="14">
        <f t="shared" si="297"/>
        <v>0</v>
      </c>
      <c r="BI507" s="14">
        <f t="shared" si="298"/>
        <v>0</v>
      </c>
      <c r="BJ507" s="14">
        <f t="shared" si="299"/>
        <v>0</v>
      </c>
    </row>
    <row r="508" spans="1:62" ht="25.5">
      <c r="A508" s="123" t="s">
        <v>244</v>
      </c>
      <c r="B508" s="124" t="s">
        <v>568</v>
      </c>
      <c r="C508" s="125" t="s">
        <v>924</v>
      </c>
      <c r="D508" s="209" t="s">
        <v>1007</v>
      </c>
      <c r="E508" s="126">
        <v>6</v>
      </c>
      <c r="F508" s="135">
        <v>0</v>
      </c>
      <c r="G508" s="145">
        <f t="shared" si="274"/>
        <v>0</v>
      </c>
      <c r="H508" s="126">
        <f t="shared" si="275"/>
        <v>0</v>
      </c>
      <c r="I508" s="146">
        <f t="shared" si="276"/>
        <v>0</v>
      </c>
      <c r="J508" s="219">
        <v>0.313</v>
      </c>
      <c r="K508" s="220">
        <f t="shared" si="277"/>
        <v>1.8780000000000001</v>
      </c>
      <c r="L508" s="153"/>
      <c r="Z508" s="27">
        <f t="shared" si="278"/>
        <v>0</v>
      </c>
      <c r="AB508" s="27">
        <f t="shared" si="279"/>
        <v>0</v>
      </c>
      <c r="AC508" s="27">
        <f t="shared" si="280"/>
        <v>0</v>
      </c>
      <c r="AD508" s="27">
        <f t="shared" si="281"/>
        <v>0</v>
      </c>
      <c r="AE508" s="27">
        <f t="shared" si="282"/>
        <v>0</v>
      </c>
      <c r="AF508" s="27">
        <f t="shared" si="283"/>
        <v>0</v>
      </c>
      <c r="AG508" s="27">
        <f t="shared" si="284"/>
        <v>0</v>
      </c>
      <c r="AH508" s="27">
        <f t="shared" si="285"/>
        <v>0</v>
      </c>
      <c r="AI508" s="20"/>
      <c r="AJ508" s="14">
        <f t="shared" si="286"/>
        <v>0</v>
      </c>
      <c r="AK508" s="14">
        <f t="shared" si="287"/>
        <v>0</v>
      </c>
      <c r="AL508" s="14">
        <f t="shared" si="288"/>
        <v>0</v>
      </c>
      <c r="AN508" s="27">
        <v>21</v>
      </c>
      <c r="AO508" s="27">
        <f t="shared" si="289"/>
        <v>0</v>
      </c>
      <c r="AP508" s="27">
        <f t="shared" si="290"/>
        <v>0</v>
      </c>
      <c r="AQ508" s="24" t="s">
        <v>1050</v>
      </c>
      <c r="AV508" s="27">
        <f t="shared" si="291"/>
        <v>0</v>
      </c>
      <c r="AW508" s="27">
        <f t="shared" si="292"/>
        <v>0</v>
      </c>
      <c r="AX508" s="27">
        <f t="shared" si="293"/>
        <v>0</v>
      </c>
      <c r="AY508" s="28" t="s">
        <v>1092</v>
      </c>
      <c r="AZ508" s="28" t="s">
        <v>1105</v>
      </c>
      <c r="BA508" s="20" t="s">
        <v>1106</v>
      </c>
      <c r="BC508" s="27">
        <f t="shared" si="294"/>
        <v>0</v>
      </c>
      <c r="BD508" s="27">
        <f t="shared" si="295"/>
        <v>0</v>
      </c>
      <c r="BE508" s="27">
        <v>0</v>
      </c>
      <c r="BF508" s="27">
        <f t="shared" si="296"/>
        <v>1.8780000000000001</v>
      </c>
      <c r="BH508" s="14">
        <f t="shared" si="297"/>
        <v>0</v>
      </c>
      <c r="BI508" s="14">
        <f t="shared" si="298"/>
        <v>0</v>
      </c>
      <c r="BJ508" s="14">
        <f t="shared" si="299"/>
        <v>0</v>
      </c>
    </row>
    <row r="509" spans="1:62" ht="12.75">
      <c r="A509" s="123" t="s">
        <v>245</v>
      </c>
      <c r="B509" s="124" t="s">
        <v>569</v>
      </c>
      <c r="C509" s="125" t="s">
        <v>925</v>
      </c>
      <c r="D509" s="209" t="s">
        <v>1007</v>
      </c>
      <c r="E509" s="126">
        <v>2</v>
      </c>
      <c r="F509" s="135">
        <v>0</v>
      </c>
      <c r="G509" s="145">
        <f t="shared" si="274"/>
        <v>0</v>
      </c>
      <c r="H509" s="126">
        <f t="shared" si="275"/>
        <v>0</v>
      </c>
      <c r="I509" s="146">
        <f t="shared" si="276"/>
        <v>0</v>
      </c>
      <c r="J509" s="219">
        <v>0.0006</v>
      </c>
      <c r="K509" s="220">
        <f t="shared" si="277"/>
        <v>0.0012</v>
      </c>
      <c r="L509" s="153"/>
      <c r="Z509" s="27">
        <f t="shared" si="278"/>
        <v>0</v>
      </c>
      <c r="AB509" s="27">
        <f t="shared" si="279"/>
        <v>0</v>
      </c>
      <c r="AC509" s="27">
        <f t="shared" si="280"/>
        <v>0</v>
      </c>
      <c r="AD509" s="27">
        <f t="shared" si="281"/>
        <v>0</v>
      </c>
      <c r="AE509" s="27">
        <f t="shared" si="282"/>
        <v>0</v>
      </c>
      <c r="AF509" s="27">
        <f t="shared" si="283"/>
        <v>0</v>
      </c>
      <c r="AG509" s="27">
        <f t="shared" si="284"/>
        <v>0</v>
      </c>
      <c r="AH509" s="27">
        <f t="shared" si="285"/>
        <v>0</v>
      </c>
      <c r="AI509" s="20"/>
      <c r="AJ509" s="14">
        <f t="shared" si="286"/>
        <v>0</v>
      </c>
      <c r="AK509" s="14">
        <f t="shared" si="287"/>
        <v>0</v>
      </c>
      <c r="AL509" s="14">
        <f t="shared" si="288"/>
        <v>0</v>
      </c>
      <c r="AN509" s="27">
        <v>21</v>
      </c>
      <c r="AO509" s="27">
        <f t="shared" si="289"/>
        <v>0</v>
      </c>
      <c r="AP509" s="27">
        <f t="shared" si="290"/>
        <v>0</v>
      </c>
      <c r="AQ509" s="24" t="s">
        <v>1050</v>
      </c>
      <c r="AV509" s="27">
        <f t="shared" si="291"/>
        <v>0</v>
      </c>
      <c r="AW509" s="27">
        <f t="shared" si="292"/>
        <v>0</v>
      </c>
      <c r="AX509" s="27">
        <f t="shared" si="293"/>
        <v>0</v>
      </c>
      <c r="AY509" s="28" t="s">
        <v>1092</v>
      </c>
      <c r="AZ509" s="28" t="s">
        <v>1105</v>
      </c>
      <c r="BA509" s="20" t="s">
        <v>1106</v>
      </c>
      <c r="BC509" s="27">
        <f t="shared" si="294"/>
        <v>0</v>
      </c>
      <c r="BD509" s="27">
        <f t="shared" si="295"/>
        <v>0</v>
      </c>
      <c r="BE509" s="27">
        <v>0</v>
      </c>
      <c r="BF509" s="27">
        <f t="shared" si="296"/>
        <v>0.0012</v>
      </c>
      <c r="BH509" s="14">
        <f t="shared" si="297"/>
        <v>0</v>
      </c>
      <c r="BI509" s="14">
        <f t="shared" si="298"/>
        <v>0</v>
      </c>
      <c r="BJ509" s="14">
        <f t="shared" si="299"/>
        <v>0</v>
      </c>
    </row>
    <row r="510" spans="1:62" ht="25.5">
      <c r="A510" s="123"/>
      <c r="B510" s="124"/>
      <c r="C510" s="99" t="s">
        <v>1844</v>
      </c>
      <c r="D510" s="209"/>
      <c r="E510" s="126"/>
      <c r="F510" s="135"/>
      <c r="G510" s="145"/>
      <c r="H510" s="126"/>
      <c r="I510" s="146"/>
      <c r="J510" s="219"/>
      <c r="K510" s="220"/>
      <c r="L510" s="153"/>
      <c r="Z510" s="27"/>
      <c r="AB510" s="27"/>
      <c r="AC510" s="27"/>
      <c r="AD510" s="27"/>
      <c r="AE510" s="27"/>
      <c r="AF510" s="27"/>
      <c r="AG510" s="27"/>
      <c r="AH510" s="27"/>
      <c r="AI510" s="20"/>
      <c r="AJ510" s="14"/>
      <c r="AK510" s="14"/>
      <c r="AL510" s="14"/>
      <c r="AN510" s="27"/>
      <c r="AO510" s="27"/>
      <c r="AP510" s="27"/>
      <c r="AQ510" s="24"/>
      <c r="AV510" s="27"/>
      <c r="AW510" s="27"/>
      <c r="AX510" s="27"/>
      <c r="AY510" s="28"/>
      <c r="AZ510" s="28"/>
      <c r="BA510" s="20"/>
      <c r="BC510" s="27"/>
      <c r="BD510" s="27"/>
      <c r="BE510" s="27"/>
      <c r="BF510" s="27"/>
      <c r="BH510" s="14"/>
      <c r="BI510" s="14"/>
      <c r="BJ510" s="14"/>
    </row>
    <row r="511" spans="1:62" ht="12.75">
      <c r="A511" s="123" t="s">
        <v>246</v>
      </c>
      <c r="B511" s="124" t="s">
        <v>570</v>
      </c>
      <c r="C511" s="125" t="s">
        <v>926</v>
      </c>
      <c r="D511" s="209" t="s">
        <v>1007</v>
      </c>
      <c r="E511" s="126">
        <v>1</v>
      </c>
      <c r="F511" s="135">
        <v>0</v>
      </c>
      <c r="G511" s="145">
        <f t="shared" si="274"/>
        <v>0</v>
      </c>
      <c r="H511" s="126">
        <f t="shared" si="275"/>
        <v>0</v>
      </c>
      <c r="I511" s="146">
        <f t="shared" si="276"/>
        <v>0</v>
      </c>
      <c r="J511" s="219">
        <v>0.0011</v>
      </c>
      <c r="K511" s="220">
        <f t="shared" si="277"/>
        <v>0.0011</v>
      </c>
      <c r="L511" s="153"/>
      <c r="Z511" s="27">
        <f t="shared" si="278"/>
        <v>0</v>
      </c>
      <c r="AB511" s="27">
        <f t="shared" si="279"/>
        <v>0</v>
      </c>
      <c r="AC511" s="27">
        <f t="shared" si="280"/>
        <v>0</v>
      </c>
      <c r="AD511" s="27">
        <f t="shared" si="281"/>
        <v>0</v>
      </c>
      <c r="AE511" s="27">
        <f t="shared" si="282"/>
        <v>0</v>
      </c>
      <c r="AF511" s="27">
        <f t="shared" si="283"/>
        <v>0</v>
      </c>
      <c r="AG511" s="27">
        <f t="shared" si="284"/>
        <v>0</v>
      </c>
      <c r="AH511" s="27">
        <f t="shared" si="285"/>
        <v>0</v>
      </c>
      <c r="AI511" s="20"/>
      <c r="AJ511" s="14">
        <f t="shared" si="286"/>
        <v>0</v>
      </c>
      <c r="AK511" s="14">
        <f t="shared" si="287"/>
        <v>0</v>
      </c>
      <c r="AL511" s="14">
        <f t="shared" si="288"/>
        <v>0</v>
      </c>
      <c r="AN511" s="27">
        <v>21</v>
      </c>
      <c r="AO511" s="27">
        <f t="shared" si="289"/>
        <v>0</v>
      </c>
      <c r="AP511" s="27">
        <f t="shared" si="290"/>
        <v>0</v>
      </c>
      <c r="AQ511" s="24" t="s">
        <v>1050</v>
      </c>
      <c r="AV511" s="27">
        <f t="shared" si="291"/>
        <v>0</v>
      </c>
      <c r="AW511" s="27">
        <f t="shared" si="292"/>
        <v>0</v>
      </c>
      <c r="AX511" s="27">
        <f t="shared" si="293"/>
        <v>0</v>
      </c>
      <c r="AY511" s="28" t="s">
        <v>1092</v>
      </c>
      <c r="AZ511" s="28" t="s">
        <v>1105</v>
      </c>
      <c r="BA511" s="20" t="s">
        <v>1106</v>
      </c>
      <c r="BC511" s="27">
        <f t="shared" si="294"/>
        <v>0</v>
      </c>
      <c r="BD511" s="27">
        <f t="shared" si="295"/>
        <v>0</v>
      </c>
      <c r="BE511" s="27">
        <v>0</v>
      </c>
      <c r="BF511" s="27">
        <f t="shared" si="296"/>
        <v>0.0011</v>
      </c>
      <c r="BH511" s="14">
        <f t="shared" si="297"/>
        <v>0</v>
      </c>
      <c r="BI511" s="14">
        <f t="shared" si="298"/>
        <v>0</v>
      </c>
      <c r="BJ511" s="14">
        <f t="shared" si="299"/>
        <v>0</v>
      </c>
    </row>
    <row r="512" spans="1:62" ht="12.75">
      <c r="A512" s="123"/>
      <c r="B512" s="124"/>
      <c r="C512" s="99" t="s">
        <v>1843</v>
      </c>
      <c r="D512" s="209"/>
      <c r="E512" s="126"/>
      <c r="F512" s="135"/>
      <c r="G512" s="145"/>
      <c r="H512" s="126"/>
      <c r="I512" s="146"/>
      <c r="J512" s="219"/>
      <c r="K512" s="220"/>
      <c r="L512" s="153"/>
      <c r="Z512" s="27"/>
      <c r="AB512" s="27"/>
      <c r="AC512" s="27"/>
      <c r="AD512" s="27"/>
      <c r="AE512" s="27"/>
      <c r="AF512" s="27"/>
      <c r="AG512" s="27"/>
      <c r="AH512" s="27"/>
      <c r="AI512" s="20"/>
      <c r="AJ512" s="14"/>
      <c r="AK512" s="14"/>
      <c r="AL512" s="14"/>
      <c r="AN512" s="27"/>
      <c r="AO512" s="27"/>
      <c r="AP512" s="27"/>
      <c r="AQ512" s="24"/>
      <c r="AV512" s="27"/>
      <c r="AW512" s="27"/>
      <c r="AX512" s="27"/>
      <c r="AY512" s="28"/>
      <c r="AZ512" s="28"/>
      <c r="BA512" s="20"/>
      <c r="BC512" s="27"/>
      <c r="BD512" s="27"/>
      <c r="BE512" s="27"/>
      <c r="BF512" s="27"/>
      <c r="BH512" s="14"/>
      <c r="BI512" s="14"/>
      <c r="BJ512" s="14"/>
    </row>
    <row r="513" spans="1:62" ht="12.75">
      <c r="A513" s="123" t="s">
        <v>247</v>
      </c>
      <c r="B513" s="124" t="s">
        <v>571</v>
      </c>
      <c r="C513" s="125" t="s">
        <v>927</v>
      </c>
      <c r="D513" s="209" t="s">
        <v>1008</v>
      </c>
      <c r="E513" s="126">
        <v>0.3</v>
      </c>
      <c r="F513" s="135">
        <v>0</v>
      </c>
      <c r="G513" s="145">
        <f t="shared" si="274"/>
        <v>0</v>
      </c>
      <c r="H513" s="126">
        <f t="shared" si="275"/>
        <v>0</v>
      </c>
      <c r="I513" s="146">
        <f t="shared" si="276"/>
        <v>0</v>
      </c>
      <c r="J513" s="219">
        <v>0.00212</v>
      </c>
      <c r="K513" s="220">
        <f t="shared" si="277"/>
        <v>0.000636</v>
      </c>
      <c r="L513" s="153"/>
      <c r="Z513" s="27">
        <f t="shared" si="278"/>
        <v>0</v>
      </c>
      <c r="AB513" s="27">
        <f t="shared" si="279"/>
        <v>0</v>
      </c>
      <c r="AC513" s="27">
        <f t="shared" si="280"/>
        <v>0</v>
      </c>
      <c r="AD513" s="27">
        <f t="shared" si="281"/>
        <v>0</v>
      </c>
      <c r="AE513" s="27">
        <f t="shared" si="282"/>
        <v>0</v>
      </c>
      <c r="AF513" s="27">
        <f t="shared" si="283"/>
        <v>0</v>
      </c>
      <c r="AG513" s="27">
        <f t="shared" si="284"/>
        <v>0</v>
      </c>
      <c r="AH513" s="27">
        <f t="shared" si="285"/>
        <v>0</v>
      </c>
      <c r="AI513" s="20"/>
      <c r="AJ513" s="14">
        <f t="shared" si="286"/>
        <v>0</v>
      </c>
      <c r="AK513" s="14">
        <f t="shared" si="287"/>
        <v>0</v>
      </c>
      <c r="AL513" s="14">
        <f t="shared" si="288"/>
        <v>0</v>
      </c>
      <c r="AN513" s="27">
        <v>21</v>
      </c>
      <c r="AO513" s="27">
        <f t="shared" si="289"/>
        <v>0</v>
      </c>
      <c r="AP513" s="27">
        <f t="shared" si="290"/>
        <v>0</v>
      </c>
      <c r="AQ513" s="24" t="s">
        <v>1050</v>
      </c>
      <c r="AV513" s="27">
        <f t="shared" si="291"/>
        <v>0</v>
      </c>
      <c r="AW513" s="27">
        <f t="shared" si="292"/>
        <v>0</v>
      </c>
      <c r="AX513" s="27">
        <f t="shared" si="293"/>
        <v>0</v>
      </c>
      <c r="AY513" s="28" t="s">
        <v>1092</v>
      </c>
      <c r="AZ513" s="28" t="s">
        <v>1105</v>
      </c>
      <c r="BA513" s="20" t="s">
        <v>1106</v>
      </c>
      <c r="BC513" s="27">
        <f t="shared" si="294"/>
        <v>0</v>
      </c>
      <c r="BD513" s="27">
        <f t="shared" si="295"/>
        <v>0</v>
      </c>
      <c r="BE513" s="27">
        <v>0</v>
      </c>
      <c r="BF513" s="27">
        <f t="shared" si="296"/>
        <v>0.000636</v>
      </c>
      <c r="BH513" s="14">
        <f t="shared" si="297"/>
        <v>0</v>
      </c>
      <c r="BI513" s="14">
        <f t="shared" si="298"/>
        <v>0</v>
      </c>
      <c r="BJ513" s="14">
        <f t="shared" si="299"/>
        <v>0</v>
      </c>
    </row>
    <row r="514" spans="1:62" ht="12.75">
      <c r="A514" s="123" t="s">
        <v>248</v>
      </c>
      <c r="B514" s="124" t="s">
        <v>572</v>
      </c>
      <c r="C514" s="125" t="s">
        <v>928</v>
      </c>
      <c r="D514" s="209" t="s">
        <v>1007</v>
      </c>
      <c r="E514" s="126">
        <v>1</v>
      </c>
      <c r="F514" s="135">
        <v>0</v>
      </c>
      <c r="G514" s="145">
        <f t="shared" si="274"/>
        <v>0</v>
      </c>
      <c r="H514" s="126">
        <f t="shared" si="275"/>
        <v>0</v>
      </c>
      <c r="I514" s="146">
        <f t="shared" si="276"/>
        <v>0</v>
      </c>
      <c r="J514" s="219">
        <v>0.035</v>
      </c>
      <c r="K514" s="220">
        <f t="shared" si="277"/>
        <v>0.035</v>
      </c>
      <c r="L514" s="153"/>
      <c r="Z514" s="27">
        <f t="shared" si="278"/>
        <v>0</v>
      </c>
      <c r="AB514" s="27">
        <f t="shared" si="279"/>
        <v>0</v>
      </c>
      <c r="AC514" s="27">
        <f t="shared" si="280"/>
        <v>0</v>
      </c>
      <c r="AD514" s="27">
        <f t="shared" si="281"/>
        <v>0</v>
      </c>
      <c r="AE514" s="27">
        <f t="shared" si="282"/>
        <v>0</v>
      </c>
      <c r="AF514" s="27">
        <f t="shared" si="283"/>
        <v>0</v>
      </c>
      <c r="AG514" s="27">
        <f t="shared" si="284"/>
        <v>0</v>
      </c>
      <c r="AH514" s="27">
        <f t="shared" si="285"/>
        <v>0</v>
      </c>
      <c r="AI514" s="20"/>
      <c r="AJ514" s="14">
        <f t="shared" si="286"/>
        <v>0</v>
      </c>
      <c r="AK514" s="14">
        <f t="shared" si="287"/>
        <v>0</v>
      </c>
      <c r="AL514" s="14">
        <f t="shared" si="288"/>
        <v>0</v>
      </c>
      <c r="AN514" s="27">
        <v>21</v>
      </c>
      <c r="AO514" s="27">
        <f t="shared" si="289"/>
        <v>0</v>
      </c>
      <c r="AP514" s="27">
        <f t="shared" si="290"/>
        <v>0</v>
      </c>
      <c r="AQ514" s="24" t="s">
        <v>1050</v>
      </c>
      <c r="AV514" s="27">
        <f t="shared" si="291"/>
        <v>0</v>
      </c>
      <c r="AW514" s="27">
        <f t="shared" si="292"/>
        <v>0</v>
      </c>
      <c r="AX514" s="27">
        <f t="shared" si="293"/>
        <v>0</v>
      </c>
      <c r="AY514" s="28" t="s">
        <v>1092</v>
      </c>
      <c r="AZ514" s="28" t="s">
        <v>1105</v>
      </c>
      <c r="BA514" s="20" t="s">
        <v>1106</v>
      </c>
      <c r="BC514" s="27">
        <f t="shared" si="294"/>
        <v>0</v>
      </c>
      <c r="BD514" s="27">
        <f t="shared" si="295"/>
        <v>0</v>
      </c>
      <c r="BE514" s="27">
        <v>0</v>
      </c>
      <c r="BF514" s="27">
        <f t="shared" si="296"/>
        <v>0.035</v>
      </c>
      <c r="BH514" s="14">
        <f t="shared" si="297"/>
        <v>0</v>
      </c>
      <c r="BI514" s="14">
        <f t="shared" si="298"/>
        <v>0</v>
      </c>
      <c r="BJ514" s="14">
        <f t="shared" si="299"/>
        <v>0</v>
      </c>
    </row>
    <row r="515" spans="1:62" ht="12.75">
      <c r="A515" s="123" t="s">
        <v>249</v>
      </c>
      <c r="B515" s="124" t="s">
        <v>573</v>
      </c>
      <c r="C515" s="125" t="s">
        <v>929</v>
      </c>
      <c r="D515" s="209" t="s">
        <v>1007</v>
      </c>
      <c r="E515" s="126">
        <v>3</v>
      </c>
      <c r="F515" s="135">
        <v>0</v>
      </c>
      <c r="G515" s="145">
        <f t="shared" si="274"/>
        <v>0</v>
      </c>
      <c r="H515" s="126">
        <f t="shared" si="275"/>
        <v>0</v>
      </c>
      <c r="I515" s="146">
        <f t="shared" si="276"/>
        <v>0</v>
      </c>
      <c r="J515" s="219">
        <v>0.135</v>
      </c>
      <c r="K515" s="220">
        <f t="shared" si="277"/>
        <v>0.405</v>
      </c>
      <c r="L515" s="153"/>
      <c r="Z515" s="27">
        <f t="shared" si="278"/>
        <v>0</v>
      </c>
      <c r="AB515" s="27">
        <f t="shared" si="279"/>
        <v>0</v>
      </c>
      <c r="AC515" s="27">
        <f t="shared" si="280"/>
        <v>0</v>
      </c>
      <c r="AD515" s="27">
        <f t="shared" si="281"/>
        <v>0</v>
      </c>
      <c r="AE515" s="27">
        <f t="shared" si="282"/>
        <v>0</v>
      </c>
      <c r="AF515" s="27">
        <f t="shared" si="283"/>
        <v>0</v>
      </c>
      <c r="AG515" s="27">
        <f t="shared" si="284"/>
        <v>0</v>
      </c>
      <c r="AH515" s="27">
        <f t="shared" si="285"/>
        <v>0</v>
      </c>
      <c r="AI515" s="20"/>
      <c r="AJ515" s="14">
        <f t="shared" si="286"/>
        <v>0</v>
      </c>
      <c r="AK515" s="14">
        <f t="shared" si="287"/>
        <v>0</v>
      </c>
      <c r="AL515" s="14">
        <f t="shared" si="288"/>
        <v>0</v>
      </c>
      <c r="AN515" s="27">
        <v>21</v>
      </c>
      <c r="AO515" s="27">
        <f t="shared" si="289"/>
        <v>0</v>
      </c>
      <c r="AP515" s="27">
        <f t="shared" si="290"/>
        <v>0</v>
      </c>
      <c r="AQ515" s="24" t="s">
        <v>1050</v>
      </c>
      <c r="AV515" s="27">
        <f t="shared" si="291"/>
        <v>0</v>
      </c>
      <c r="AW515" s="27">
        <f t="shared" si="292"/>
        <v>0</v>
      </c>
      <c r="AX515" s="27">
        <f t="shared" si="293"/>
        <v>0</v>
      </c>
      <c r="AY515" s="28" t="s">
        <v>1092</v>
      </c>
      <c r="AZ515" s="28" t="s">
        <v>1105</v>
      </c>
      <c r="BA515" s="20" t="s">
        <v>1106</v>
      </c>
      <c r="BC515" s="27">
        <f t="shared" si="294"/>
        <v>0</v>
      </c>
      <c r="BD515" s="27">
        <f t="shared" si="295"/>
        <v>0</v>
      </c>
      <c r="BE515" s="27">
        <v>0</v>
      </c>
      <c r="BF515" s="27">
        <f t="shared" si="296"/>
        <v>0.405</v>
      </c>
      <c r="BH515" s="14">
        <f t="shared" si="297"/>
        <v>0</v>
      </c>
      <c r="BI515" s="14">
        <f t="shared" si="298"/>
        <v>0</v>
      </c>
      <c r="BJ515" s="14">
        <f t="shared" si="299"/>
        <v>0</v>
      </c>
    </row>
    <row r="516" spans="1:62" ht="12.75">
      <c r="A516" s="123" t="s">
        <v>250</v>
      </c>
      <c r="B516" s="124" t="s">
        <v>574</v>
      </c>
      <c r="C516" s="125" t="s">
        <v>930</v>
      </c>
      <c r="D516" s="209" t="s">
        <v>1007</v>
      </c>
      <c r="E516" s="126">
        <v>36</v>
      </c>
      <c r="F516" s="135">
        <v>0</v>
      </c>
      <c r="G516" s="145">
        <f t="shared" si="274"/>
        <v>0</v>
      </c>
      <c r="H516" s="126">
        <f t="shared" si="275"/>
        <v>0</v>
      </c>
      <c r="I516" s="146">
        <f t="shared" si="276"/>
        <v>0</v>
      </c>
      <c r="J516" s="219">
        <v>0.27</v>
      </c>
      <c r="K516" s="220">
        <f t="shared" si="277"/>
        <v>9.72</v>
      </c>
      <c r="L516" s="153"/>
      <c r="Z516" s="27">
        <f t="shared" si="278"/>
        <v>0</v>
      </c>
      <c r="AB516" s="27">
        <f t="shared" si="279"/>
        <v>0</v>
      </c>
      <c r="AC516" s="27">
        <f t="shared" si="280"/>
        <v>0</v>
      </c>
      <c r="AD516" s="27">
        <f t="shared" si="281"/>
        <v>0</v>
      </c>
      <c r="AE516" s="27">
        <f t="shared" si="282"/>
        <v>0</v>
      </c>
      <c r="AF516" s="27">
        <f t="shared" si="283"/>
        <v>0</v>
      </c>
      <c r="AG516" s="27">
        <f t="shared" si="284"/>
        <v>0</v>
      </c>
      <c r="AH516" s="27">
        <f t="shared" si="285"/>
        <v>0</v>
      </c>
      <c r="AI516" s="20"/>
      <c r="AJ516" s="14">
        <f t="shared" si="286"/>
        <v>0</v>
      </c>
      <c r="AK516" s="14">
        <f t="shared" si="287"/>
        <v>0</v>
      </c>
      <c r="AL516" s="14">
        <f t="shared" si="288"/>
        <v>0</v>
      </c>
      <c r="AN516" s="27">
        <v>21</v>
      </c>
      <c r="AO516" s="27">
        <f t="shared" si="289"/>
        <v>0</v>
      </c>
      <c r="AP516" s="27">
        <f t="shared" si="290"/>
        <v>0</v>
      </c>
      <c r="AQ516" s="24" t="s">
        <v>1050</v>
      </c>
      <c r="AV516" s="27">
        <f t="shared" si="291"/>
        <v>0</v>
      </c>
      <c r="AW516" s="27">
        <f t="shared" si="292"/>
        <v>0</v>
      </c>
      <c r="AX516" s="27">
        <f t="shared" si="293"/>
        <v>0</v>
      </c>
      <c r="AY516" s="28" t="s">
        <v>1092</v>
      </c>
      <c r="AZ516" s="28" t="s">
        <v>1105</v>
      </c>
      <c r="BA516" s="20" t="s">
        <v>1106</v>
      </c>
      <c r="BC516" s="27">
        <f t="shared" si="294"/>
        <v>0</v>
      </c>
      <c r="BD516" s="27">
        <f t="shared" si="295"/>
        <v>0</v>
      </c>
      <c r="BE516" s="27">
        <v>0</v>
      </c>
      <c r="BF516" s="27">
        <f t="shared" si="296"/>
        <v>9.72</v>
      </c>
      <c r="BH516" s="14">
        <f t="shared" si="297"/>
        <v>0</v>
      </c>
      <c r="BI516" s="14">
        <f t="shared" si="298"/>
        <v>0</v>
      </c>
      <c r="BJ516" s="14">
        <f t="shared" si="299"/>
        <v>0</v>
      </c>
    </row>
    <row r="517" spans="1:62" ht="12.75">
      <c r="A517" s="123" t="s">
        <v>251</v>
      </c>
      <c r="B517" s="124" t="s">
        <v>575</v>
      </c>
      <c r="C517" s="125" t="s">
        <v>931</v>
      </c>
      <c r="D517" s="209" t="s">
        <v>1007</v>
      </c>
      <c r="E517" s="126">
        <v>1</v>
      </c>
      <c r="F517" s="135">
        <v>0</v>
      </c>
      <c r="G517" s="145">
        <f t="shared" si="274"/>
        <v>0</v>
      </c>
      <c r="H517" s="126">
        <f t="shared" si="275"/>
        <v>0</v>
      </c>
      <c r="I517" s="146">
        <f t="shared" si="276"/>
        <v>0</v>
      </c>
      <c r="J517" s="219">
        <v>0.015</v>
      </c>
      <c r="K517" s="220">
        <f t="shared" si="277"/>
        <v>0.015</v>
      </c>
      <c r="L517" s="153"/>
      <c r="Z517" s="27">
        <f t="shared" si="278"/>
        <v>0</v>
      </c>
      <c r="AB517" s="27">
        <f t="shared" si="279"/>
        <v>0</v>
      </c>
      <c r="AC517" s="27">
        <f t="shared" si="280"/>
        <v>0</v>
      </c>
      <c r="AD517" s="27">
        <f t="shared" si="281"/>
        <v>0</v>
      </c>
      <c r="AE517" s="27">
        <f t="shared" si="282"/>
        <v>0</v>
      </c>
      <c r="AF517" s="27">
        <f t="shared" si="283"/>
        <v>0</v>
      </c>
      <c r="AG517" s="27">
        <f t="shared" si="284"/>
        <v>0</v>
      </c>
      <c r="AH517" s="27">
        <f t="shared" si="285"/>
        <v>0</v>
      </c>
      <c r="AI517" s="20"/>
      <c r="AJ517" s="14">
        <f t="shared" si="286"/>
        <v>0</v>
      </c>
      <c r="AK517" s="14">
        <f t="shared" si="287"/>
        <v>0</v>
      </c>
      <c r="AL517" s="14">
        <f t="shared" si="288"/>
        <v>0</v>
      </c>
      <c r="AN517" s="27">
        <v>21</v>
      </c>
      <c r="AO517" s="27">
        <f t="shared" si="289"/>
        <v>0</v>
      </c>
      <c r="AP517" s="27">
        <f t="shared" si="290"/>
        <v>0</v>
      </c>
      <c r="AQ517" s="24" t="s">
        <v>1050</v>
      </c>
      <c r="AV517" s="27">
        <f t="shared" si="291"/>
        <v>0</v>
      </c>
      <c r="AW517" s="27">
        <f t="shared" si="292"/>
        <v>0</v>
      </c>
      <c r="AX517" s="27">
        <f t="shared" si="293"/>
        <v>0</v>
      </c>
      <c r="AY517" s="28" t="s">
        <v>1092</v>
      </c>
      <c r="AZ517" s="28" t="s">
        <v>1105</v>
      </c>
      <c r="BA517" s="20" t="s">
        <v>1106</v>
      </c>
      <c r="BC517" s="27">
        <f t="shared" si="294"/>
        <v>0</v>
      </c>
      <c r="BD517" s="27">
        <f t="shared" si="295"/>
        <v>0</v>
      </c>
      <c r="BE517" s="27">
        <v>0</v>
      </c>
      <c r="BF517" s="27">
        <f t="shared" si="296"/>
        <v>0.015</v>
      </c>
      <c r="BH517" s="14">
        <f t="shared" si="297"/>
        <v>0</v>
      </c>
      <c r="BI517" s="14">
        <f t="shared" si="298"/>
        <v>0</v>
      </c>
      <c r="BJ517" s="14">
        <f t="shared" si="299"/>
        <v>0</v>
      </c>
    </row>
    <row r="518" spans="1:62" ht="12.75">
      <c r="A518" s="123"/>
      <c r="B518" s="124"/>
      <c r="C518" s="99" t="s">
        <v>1845</v>
      </c>
      <c r="D518" s="209"/>
      <c r="E518" s="126"/>
      <c r="F518" s="135"/>
      <c r="G518" s="145"/>
      <c r="H518" s="126"/>
      <c r="I518" s="146"/>
      <c r="J518" s="219"/>
      <c r="K518" s="220"/>
      <c r="L518" s="153"/>
      <c r="Z518" s="27"/>
      <c r="AB518" s="27"/>
      <c r="AC518" s="27"/>
      <c r="AD518" s="27"/>
      <c r="AE518" s="27"/>
      <c r="AF518" s="27"/>
      <c r="AG518" s="27"/>
      <c r="AH518" s="27"/>
      <c r="AI518" s="20"/>
      <c r="AJ518" s="14"/>
      <c r="AK518" s="14"/>
      <c r="AL518" s="14"/>
      <c r="AN518" s="27"/>
      <c r="AO518" s="27"/>
      <c r="AP518" s="27"/>
      <c r="AQ518" s="24"/>
      <c r="AV518" s="27"/>
      <c r="AW518" s="27"/>
      <c r="AX518" s="27"/>
      <c r="AY518" s="28"/>
      <c r="AZ518" s="28"/>
      <c r="BA518" s="20"/>
      <c r="BC518" s="27"/>
      <c r="BD518" s="27"/>
      <c r="BE518" s="27"/>
      <c r="BF518" s="27"/>
      <c r="BH518" s="14"/>
      <c r="BI518" s="14"/>
      <c r="BJ518" s="14"/>
    </row>
    <row r="519" spans="1:62" ht="12.75">
      <c r="A519" s="123" t="s">
        <v>252</v>
      </c>
      <c r="B519" s="124" t="s">
        <v>576</v>
      </c>
      <c r="C519" s="125" t="s">
        <v>932</v>
      </c>
      <c r="D519" s="209" t="s">
        <v>1007</v>
      </c>
      <c r="E519" s="126">
        <v>3</v>
      </c>
      <c r="F519" s="135">
        <v>0</v>
      </c>
      <c r="G519" s="145">
        <f t="shared" si="274"/>
        <v>0</v>
      </c>
      <c r="H519" s="126">
        <f t="shared" si="275"/>
        <v>0</v>
      </c>
      <c r="I519" s="146">
        <f t="shared" si="276"/>
        <v>0</v>
      </c>
      <c r="J519" s="219">
        <v>0.055</v>
      </c>
      <c r="K519" s="220">
        <f t="shared" si="277"/>
        <v>0.165</v>
      </c>
      <c r="L519" s="153"/>
      <c r="Z519" s="27">
        <f t="shared" si="278"/>
        <v>0</v>
      </c>
      <c r="AB519" s="27">
        <f t="shared" si="279"/>
        <v>0</v>
      </c>
      <c r="AC519" s="27">
        <f t="shared" si="280"/>
        <v>0</v>
      </c>
      <c r="AD519" s="27">
        <f t="shared" si="281"/>
        <v>0</v>
      </c>
      <c r="AE519" s="27">
        <f t="shared" si="282"/>
        <v>0</v>
      </c>
      <c r="AF519" s="27">
        <f t="shared" si="283"/>
        <v>0</v>
      </c>
      <c r="AG519" s="27">
        <f t="shared" si="284"/>
        <v>0</v>
      </c>
      <c r="AH519" s="27">
        <f t="shared" si="285"/>
        <v>0</v>
      </c>
      <c r="AI519" s="20"/>
      <c r="AJ519" s="14">
        <f t="shared" si="286"/>
        <v>0</v>
      </c>
      <c r="AK519" s="14">
        <f t="shared" si="287"/>
        <v>0</v>
      </c>
      <c r="AL519" s="14">
        <f t="shared" si="288"/>
        <v>0</v>
      </c>
      <c r="AN519" s="27">
        <v>21</v>
      </c>
      <c r="AO519" s="27">
        <f t="shared" si="289"/>
        <v>0</v>
      </c>
      <c r="AP519" s="27">
        <f t="shared" si="290"/>
        <v>0</v>
      </c>
      <c r="AQ519" s="24" t="s">
        <v>1050</v>
      </c>
      <c r="AV519" s="27">
        <f t="shared" si="291"/>
        <v>0</v>
      </c>
      <c r="AW519" s="27">
        <f t="shared" si="292"/>
        <v>0</v>
      </c>
      <c r="AX519" s="27">
        <f t="shared" si="293"/>
        <v>0</v>
      </c>
      <c r="AY519" s="28" t="s">
        <v>1092</v>
      </c>
      <c r="AZ519" s="28" t="s">
        <v>1105</v>
      </c>
      <c r="BA519" s="20" t="s">
        <v>1106</v>
      </c>
      <c r="BC519" s="27">
        <f t="shared" si="294"/>
        <v>0</v>
      </c>
      <c r="BD519" s="27">
        <f t="shared" si="295"/>
        <v>0</v>
      </c>
      <c r="BE519" s="27">
        <v>0</v>
      </c>
      <c r="BF519" s="27">
        <f t="shared" si="296"/>
        <v>0.165</v>
      </c>
      <c r="BH519" s="14">
        <f t="shared" si="297"/>
        <v>0</v>
      </c>
      <c r="BI519" s="14">
        <f t="shared" si="298"/>
        <v>0</v>
      </c>
      <c r="BJ519" s="14">
        <f t="shared" si="299"/>
        <v>0</v>
      </c>
    </row>
    <row r="520" spans="1:62" ht="12.75">
      <c r="A520" s="123" t="s">
        <v>253</v>
      </c>
      <c r="B520" s="124" t="s">
        <v>577</v>
      </c>
      <c r="C520" s="125" t="s">
        <v>933</v>
      </c>
      <c r="D520" s="209" t="s">
        <v>1007</v>
      </c>
      <c r="E520" s="126">
        <v>2</v>
      </c>
      <c r="F520" s="135">
        <v>0</v>
      </c>
      <c r="G520" s="145">
        <f t="shared" si="274"/>
        <v>0</v>
      </c>
      <c r="H520" s="126">
        <f t="shared" si="275"/>
        <v>0</v>
      </c>
      <c r="I520" s="146">
        <f t="shared" si="276"/>
        <v>0</v>
      </c>
      <c r="J520" s="219">
        <v>0.0126</v>
      </c>
      <c r="K520" s="220">
        <f t="shared" si="277"/>
        <v>0.0252</v>
      </c>
      <c r="L520" s="153"/>
      <c r="Z520" s="27">
        <f t="shared" si="278"/>
        <v>0</v>
      </c>
      <c r="AB520" s="27">
        <f t="shared" si="279"/>
        <v>0</v>
      </c>
      <c r="AC520" s="27">
        <f t="shared" si="280"/>
        <v>0</v>
      </c>
      <c r="AD520" s="27">
        <f t="shared" si="281"/>
        <v>0</v>
      </c>
      <c r="AE520" s="27">
        <f t="shared" si="282"/>
        <v>0</v>
      </c>
      <c r="AF520" s="27">
        <f t="shared" si="283"/>
        <v>0</v>
      </c>
      <c r="AG520" s="27">
        <f t="shared" si="284"/>
        <v>0</v>
      </c>
      <c r="AH520" s="27">
        <f t="shared" si="285"/>
        <v>0</v>
      </c>
      <c r="AI520" s="20"/>
      <c r="AJ520" s="14">
        <f t="shared" si="286"/>
        <v>0</v>
      </c>
      <c r="AK520" s="14">
        <f t="shared" si="287"/>
        <v>0</v>
      </c>
      <c r="AL520" s="14">
        <f t="shared" si="288"/>
        <v>0</v>
      </c>
      <c r="AN520" s="27">
        <v>21</v>
      </c>
      <c r="AO520" s="27">
        <f t="shared" si="289"/>
        <v>0</v>
      </c>
      <c r="AP520" s="27">
        <f t="shared" si="290"/>
        <v>0</v>
      </c>
      <c r="AQ520" s="24" t="s">
        <v>1050</v>
      </c>
      <c r="AV520" s="27">
        <f t="shared" si="291"/>
        <v>0</v>
      </c>
      <c r="AW520" s="27">
        <f t="shared" si="292"/>
        <v>0</v>
      </c>
      <c r="AX520" s="27">
        <f t="shared" si="293"/>
        <v>0</v>
      </c>
      <c r="AY520" s="28" t="s">
        <v>1092</v>
      </c>
      <c r="AZ520" s="28" t="s">
        <v>1105</v>
      </c>
      <c r="BA520" s="20" t="s">
        <v>1106</v>
      </c>
      <c r="BC520" s="27">
        <f t="shared" si="294"/>
        <v>0</v>
      </c>
      <c r="BD520" s="27">
        <f t="shared" si="295"/>
        <v>0</v>
      </c>
      <c r="BE520" s="27">
        <v>0</v>
      </c>
      <c r="BF520" s="27">
        <f t="shared" si="296"/>
        <v>0.0252</v>
      </c>
      <c r="BH520" s="14">
        <f t="shared" si="297"/>
        <v>0</v>
      </c>
      <c r="BI520" s="14">
        <f t="shared" si="298"/>
        <v>0</v>
      </c>
      <c r="BJ520" s="14">
        <f t="shared" si="299"/>
        <v>0</v>
      </c>
    </row>
    <row r="521" spans="1:62" ht="12.75">
      <c r="A521" s="123" t="s">
        <v>254</v>
      </c>
      <c r="B521" s="124" t="s">
        <v>578</v>
      </c>
      <c r="C521" s="125" t="s">
        <v>934</v>
      </c>
      <c r="D521" s="209" t="s">
        <v>1007</v>
      </c>
      <c r="E521" s="126">
        <v>1</v>
      </c>
      <c r="F521" s="135">
        <v>0</v>
      </c>
      <c r="G521" s="145">
        <f t="shared" si="274"/>
        <v>0</v>
      </c>
      <c r="H521" s="126">
        <f t="shared" si="275"/>
        <v>0</v>
      </c>
      <c r="I521" s="146">
        <f t="shared" si="276"/>
        <v>0</v>
      </c>
      <c r="J521" s="219">
        <v>0.00152</v>
      </c>
      <c r="K521" s="220">
        <f t="shared" si="277"/>
        <v>0.00152</v>
      </c>
      <c r="L521" s="153"/>
      <c r="Z521" s="27">
        <f t="shared" si="278"/>
        <v>0</v>
      </c>
      <c r="AB521" s="27">
        <f t="shared" si="279"/>
        <v>0</v>
      </c>
      <c r="AC521" s="27">
        <f t="shared" si="280"/>
        <v>0</v>
      </c>
      <c r="AD521" s="27">
        <f t="shared" si="281"/>
        <v>0</v>
      </c>
      <c r="AE521" s="27">
        <f t="shared" si="282"/>
        <v>0</v>
      </c>
      <c r="AF521" s="27">
        <f t="shared" si="283"/>
        <v>0</v>
      </c>
      <c r="AG521" s="27">
        <f t="shared" si="284"/>
        <v>0</v>
      </c>
      <c r="AH521" s="27">
        <f t="shared" si="285"/>
        <v>0</v>
      </c>
      <c r="AI521" s="20"/>
      <c r="AJ521" s="14">
        <f t="shared" si="286"/>
        <v>0</v>
      </c>
      <c r="AK521" s="14">
        <f t="shared" si="287"/>
        <v>0</v>
      </c>
      <c r="AL521" s="14">
        <f t="shared" si="288"/>
        <v>0</v>
      </c>
      <c r="AN521" s="27">
        <v>21</v>
      </c>
      <c r="AO521" s="27">
        <f t="shared" si="289"/>
        <v>0</v>
      </c>
      <c r="AP521" s="27">
        <f t="shared" si="290"/>
        <v>0</v>
      </c>
      <c r="AQ521" s="24" t="s">
        <v>1050</v>
      </c>
      <c r="AV521" s="27">
        <f t="shared" si="291"/>
        <v>0</v>
      </c>
      <c r="AW521" s="27">
        <f t="shared" si="292"/>
        <v>0</v>
      </c>
      <c r="AX521" s="27">
        <f t="shared" si="293"/>
        <v>0</v>
      </c>
      <c r="AY521" s="28" t="s">
        <v>1092</v>
      </c>
      <c r="AZ521" s="28" t="s">
        <v>1105</v>
      </c>
      <c r="BA521" s="20" t="s">
        <v>1106</v>
      </c>
      <c r="BC521" s="27">
        <f t="shared" si="294"/>
        <v>0</v>
      </c>
      <c r="BD521" s="27">
        <f t="shared" si="295"/>
        <v>0</v>
      </c>
      <c r="BE521" s="27">
        <v>0</v>
      </c>
      <c r="BF521" s="27">
        <f t="shared" si="296"/>
        <v>0.00152</v>
      </c>
      <c r="BH521" s="14">
        <f t="shared" si="297"/>
        <v>0</v>
      </c>
      <c r="BI521" s="14">
        <f t="shared" si="298"/>
        <v>0</v>
      </c>
      <c r="BJ521" s="14">
        <f t="shared" si="299"/>
        <v>0</v>
      </c>
    </row>
    <row r="522" spans="1:62" ht="12.75">
      <c r="A522" s="123" t="s">
        <v>255</v>
      </c>
      <c r="B522" s="124" t="s">
        <v>579</v>
      </c>
      <c r="C522" s="125" t="s">
        <v>935</v>
      </c>
      <c r="D522" s="209" t="s">
        <v>1007</v>
      </c>
      <c r="E522" s="126">
        <v>61</v>
      </c>
      <c r="F522" s="135">
        <v>0</v>
      </c>
      <c r="G522" s="145">
        <f t="shared" si="274"/>
        <v>0</v>
      </c>
      <c r="H522" s="126">
        <f t="shared" si="275"/>
        <v>0</v>
      </c>
      <c r="I522" s="146">
        <f t="shared" si="276"/>
        <v>0</v>
      </c>
      <c r="J522" s="219">
        <v>0.174</v>
      </c>
      <c r="K522" s="220">
        <f t="shared" si="277"/>
        <v>10.613999999999999</v>
      </c>
      <c r="L522" s="153"/>
      <c r="Z522" s="27">
        <f t="shared" si="278"/>
        <v>0</v>
      </c>
      <c r="AB522" s="27">
        <f t="shared" si="279"/>
        <v>0</v>
      </c>
      <c r="AC522" s="27">
        <f t="shared" si="280"/>
        <v>0</v>
      </c>
      <c r="AD522" s="27">
        <f t="shared" si="281"/>
        <v>0</v>
      </c>
      <c r="AE522" s="27">
        <f t="shared" si="282"/>
        <v>0</v>
      </c>
      <c r="AF522" s="27">
        <f t="shared" si="283"/>
        <v>0</v>
      </c>
      <c r="AG522" s="27">
        <f t="shared" si="284"/>
        <v>0</v>
      </c>
      <c r="AH522" s="27">
        <f t="shared" si="285"/>
        <v>0</v>
      </c>
      <c r="AI522" s="20"/>
      <c r="AJ522" s="14">
        <f t="shared" si="286"/>
        <v>0</v>
      </c>
      <c r="AK522" s="14">
        <f t="shared" si="287"/>
        <v>0</v>
      </c>
      <c r="AL522" s="14">
        <f t="shared" si="288"/>
        <v>0</v>
      </c>
      <c r="AN522" s="27">
        <v>21</v>
      </c>
      <c r="AO522" s="27">
        <f t="shared" si="289"/>
        <v>0</v>
      </c>
      <c r="AP522" s="27">
        <f t="shared" si="290"/>
        <v>0</v>
      </c>
      <c r="AQ522" s="24" t="s">
        <v>1050</v>
      </c>
      <c r="AV522" s="27">
        <f t="shared" si="291"/>
        <v>0</v>
      </c>
      <c r="AW522" s="27">
        <f t="shared" si="292"/>
        <v>0</v>
      </c>
      <c r="AX522" s="27">
        <f t="shared" si="293"/>
        <v>0</v>
      </c>
      <c r="AY522" s="28" t="s">
        <v>1092</v>
      </c>
      <c r="AZ522" s="28" t="s">
        <v>1105</v>
      </c>
      <c r="BA522" s="20" t="s">
        <v>1106</v>
      </c>
      <c r="BC522" s="27">
        <f t="shared" si="294"/>
        <v>0</v>
      </c>
      <c r="BD522" s="27">
        <f t="shared" si="295"/>
        <v>0</v>
      </c>
      <c r="BE522" s="27">
        <v>0</v>
      </c>
      <c r="BF522" s="27">
        <f t="shared" si="296"/>
        <v>10.613999999999999</v>
      </c>
      <c r="BH522" s="14">
        <f t="shared" si="297"/>
        <v>0</v>
      </c>
      <c r="BI522" s="14">
        <f t="shared" si="298"/>
        <v>0</v>
      </c>
      <c r="BJ522" s="14">
        <f t="shared" si="299"/>
        <v>0</v>
      </c>
    </row>
    <row r="523" spans="1:62" ht="12.75">
      <c r="A523" s="123" t="s">
        <v>256</v>
      </c>
      <c r="B523" s="124" t="s">
        <v>580</v>
      </c>
      <c r="C523" s="125" t="s">
        <v>936</v>
      </c>
      <c r="D523" s="209" t="s">
        <v>1007</v>
      </c>
      <c r="E523" s="126">
        <v>46</v>
      </c>
      <c r="F523" s="135">
        <v>0</v>
      </c>
      <c r="G523" s="145">
        <f t="shared" si="274"/>
        <v>0</v>
      </c>
      <c r="H523" s="126">
        <f t="shared" si="275"/>
        <v>0</v>
      </c>
      <c r="I523" s="146">
        <f t="shared" si="276"/>
        <v>0</v>
      </c>
      <c r="J523" s="219">
        <v>0.11</v>
      </c>
      <c r="K523" s="220">
        <f t="shared" si="277"/>
        <v>5.06</v>
      </c>
      <c r="L523" s="153"/>
      <c r="Z523" s="27">
        <f t="shared" si="278"/>
        <v>0</v>
      </c>
      <c r="AB523" s="27">
        <f t="shared" si="279"/>
        <v>0</v>
      </c>
      <c r="AC523" s="27">
        <f t="shared" si="280"/>
        <v>0</v>
      </c>
      <c r="AD523" s="27">
        <f t="shared" si="281"/>
        <v>0</v>
      </c>
      <c r="AE523" s="27">
        <f t="shared" si="282"/>
        <v>0</v>
      </c>
      <c r="AF523" s="27">
        <f t="shared" si="283"/>
        <v>0</v>
      </c>
      <c r="AG523" s="27">
        <f t="shared" si="284"/>
        <v>0</v>
      </c>
      <c r="AH523" s="27">
        <f t="shared" si="285"/>
        <v>0</v>
      </c>
      <c r="AI523" s="20"/>
      <c r="AJ523" s="14">
        <f t="shared" si="286"/>
        <v>0</v>
      </c>
      <c r="AK523" s="14">
        <f t="shared" si="287"/>
        <v>0</v>
      </c>
      <c r="AL523" s="14">
        <f t="shared" si="288"/>
        <v>0</v>
      </c>
      <c r="AN523" s="27">
        <v>21</v>
      </c>
      <c r="AO523" s="27">
        <f t="shared" si="289"/>
        <v>0</v>
      </c>
      <c r="AP523" s="27">
        <f t="shared" si="290"/>
        <v>0</v>
      </c>
      <c r="AQ523" s="24" t="s">
        <v>1050</v>
      </c>
      <c r="AV523" s="27">
        <f t="shared" si="291"/>
        <v>0</v>
      </c>
      <c r="AW523" s="27">
        <f t="shared" si="292"/>
        <v>0</v>
      </c>
      <c r="AX523" s="27">
        <f t="shared" si="293"/>
        <v>0</v>
      </c>
      <c r="AY523" s="28" t="s">
        <v>1092</v>
      </c>
      <c r="AZ523" s="28" t="s">
        <v>1105</v>
      </c>
      <c r="BA523" s="20" t="s">
        <v>1106</v>
      </c>
      <c r="BC523" s="27">
        <f t="shared" si="294"/>
        <v>0</v>
      </c>
      <c r="BD523" s="27">
        <f t="shared" si="295"/>
        <v>0</v>
      </c>
      <c r="BE523" s="27">
        <v>0</v>
      </c>
      <c r="BF523" s="27">
        <f t="shared" si="296"/>
        <v>5.06</v>
      </c>
      <c r="BH523" s="14">
        <f t="shared" si="297"/>
        <v>0</v>
      </c>
      <c r="BI523" s="14">
        <f t="shared" si="298"/>
        <v>0</v>
      </c>
      <c r="BJ523" s="14">
        <f t="shared" si="299"/>
        <v>0</v>
      </c>
    </row>
    <row r="524" spans="1:62" ht="12.75">
      <c r="A524" s="123" t="s">
        <v>257</v>
      </c>
      <c r="B524" s="124" t="s">
        <v>581</v>
      </c>
      <c r="C524" s="125" t="s">
        <v>937</v>
      </c>
      <c r="D524" s="209" t="s">
        <v>1007</v>
      </c>
      <c r="E524" s="126">
        <v>1</v>
      </c>
      <c r="F524" s="135">
        <v>0</v>
      </c>
      <c r="G524" s="145">
        <f t="shared" si="274"/>
        <v>0</v>
      </c>
      <c r="H524" s="126">
        <f t="shared" si="275"/>
        <v>0</v>
      </c>
      <c r="I524" s="146">
        <f t="shared" si="276"/>
        <v>0</v>
      </c>
      <c r="J524" s="219">
        <v>0.0049</v>
      </c>
      <c r="K524" s="220">
        <f t="shared" si="277"/>
        <v>0.0049</v>
      </c>
      <c r="L524" s="153"/>
      <c r="Z524" s="27">
        <f t="shared" si="278"/>
        <v>0</v>
      </c>
      <c r="AB524" s="27">
        <f t="shared" si="279"/>
        <v>0</v>
      </c>
      <c r="AC524" s="27">
        <f t="shared" si="280"/>
        <v>0</v>
      </c>
      <c r="AD524" s="27">
        <f t="shared" si="281"/>
        <v>0</v>
      </c>
      <c r="AE524" s="27">
        <f t="shared" si="282"/>
        <v>0</v>
      </c>
      <c r="AF524" s="27">
        <f t="shared" si="283"/>
        <v>0</v>
      </c>
      <c r="AG524" s="27">
        <f t="shared" si="284"/>
        <v>0</v>
      </c>
      <c r="AH524" s="27">
        <f t="shared" si="285"/>
        <v>0</v>
      </c>
      <c r="AI524" s="20"/>
      <c r="AJ524" s="14">
        <f t="shared" si="286"/>
        <v>0</v>
      </c>
      <c r="AK524" s="14">
        <f t="shared" si="287"/>
        <v>0</v>
      </c>
      <c r="AL524" s="14">
        <f t="shared" si="288"/>
        <v>0</v>
      </c>
      <c r="AN524" s="27">
        <v>21</v>
      </c>
      <c r="AO524" s="27">
        <f t="shared" si="289"/>
        <v>0</v>
      </c>
      <c r="AP524" s="27">
        <f t="shared" si="290"/>
        <v>0</v>
      </c>
      <c r="AQ524" s="24" t="s">
        <v>1050</v>
      </c>
      <c r="AV524" s="27">
        <f t="shared" si="291"/>
        <v>0</v>
      </c>
      <c r="AW524" s="27">
        <f t="shared" si="292"/>
        <v>0</v>
      </c>
      <c r="AX524" s="27">
        <f t="shared" si="293"/>
        <v>0</v>
      </c>
      <c r="AY524" s="28" t="s">
        <v>1092</v>
      </c>
      <c r="AZ524" s="28" t="s">
        <v>1105</v>
      </c>
      <c r="BA524" s="20" t="s">
        <v>1106</v>
      </c>
      <c r="BC524" s="27">
        <f t="shared" si="294"/>
        <v>0</v>
      </c>
      <c r="BD524" s="27">
        <f t="shared" si="295"/>
        <v>0</v>
      </c>
      <c r="BE524" s="27">
        <v>0</v>
      </c>
      <c r="BF524" s="27">
        <f t="shared" si="296"/>
        <v>0.0049</v>
      </c>
      <c r="BH524" s="14">
        <f t="shared" si="297"/>
        <v>0</v>
      </c>
      <c r="BI524" s="14">
        <f t="shared" si="298"/>
        <v>0</v>
      </c>
      <c r="BJ524" s="14">
        <f t="shared" si="299"/>
        <v>0</v>
      </c>
    </row>
    <row r="525" spans="1:62" ht="12.75">
      <c r="A525" s="123" t="s">
        <v>258</v>
      </c>
      <c r="B525" s="124" t="s">
        <v>582</v>
      </c>
      <c r="C525" s="125" t="s">
        <v>938</v>
      </c>
      <c r="D525" s="209" t="s">
        <v>1007</v>
      </c>
      <c r="E525" s="126">
        <v>6</v>
      </c>
      <c r="F525" s="135">
        <v>0</v>
      </c>
      <c r="G525" s="145">
        <f t="shared" si="274"/>
        <v>0</v>
      </c>
      <c r="H525" s="126">
        <f t="shared" si="275"/>
        <v>0</v>
      </c>
      <c r="I525" s="146">
        <f t="shared" si="276"/>
        <v>0</v>
      </c>
      <c r="J525" s="219">
        <v>0.0031</v>
      </c>
      <c r="K525" s="220">
        <f t="shared" si="277"/>
        <v>0.0186</v>
      </c>
      <c r="L525" s="153"/>
      <c r="Z525" s="27">
        <f t="shared" si="278"/>
        <v>0</v>
      </c>
      <c r="AB525" s="27">
        <f t="shared" si="279"/>
        <v>0</v>
      </c>
      <c r="AC525" s="27">
        <f t="shared" si="280"/>
        <v>0</v>
      </c>
      <c r="AD525" s="27">
        <f t="shared" si="281"/>
        <v>0</v>
      </c>
      <c r="AE525" s="27">
        <f t="shared" si="282"/>
        <v>0</v>
      </c>
      <c r="AF525" s="27">
        <f t="shared" si="283"/>
        <v>0</v>
      </c>
      <c r="AG525" s="27">
        <f t="shared" si="284"/>
        <v>0</v>
      </c>
      <c r="AH525" s="27">
        <f t="shared" si="285"/>
        <v>0</v>
      </c>
      <c r="AI525" s="20"/>
      <c r="AJ525" s="14">
        <f t="shared" si="286"/>
        <v>0</v>
      </c>
      <c r="AK525" s="14">
        <f t="shared" si="287"/>
        <v>0</v>
      </c>
      <c r="AL525" s="14">
        <f t="shared" si="288"/>
        <v>0</v>
      </c>
      <c r="AN525" s="27">
        <v>21</v>
      </c>
      <c r="AO525" s="27">
        <f t="shared" si="289"/>
        <v>0</v>
      </c>
      <c r="AP525" s="27">
        <f t="shared" si="290"/>
        <v>0</v>
      </c>
      <c r="AQ525" s="24" t="s">
        <v>1050</v>
      </c>
      <c r="AV525" s="27">
        <f t="shared" si="291"/>
        <v>0</v>
      </c>
      <c r="AW525" s="27">
        <f t="shared" si="292"/>
        <v>0</v>
      </c>
      <c r="AX525" s="27">
        <f t="shared" si="293"/>
        <v>0</v>
      </c>
      <c r="AY525" s="28" t="s">
        <v>1092</v>
      </c>
      <c r="AZ525" s="28" t="s">
        <v>1105</v>
      </c>
      <c r="BA525" s="20" t="s">
        <v>1106</v>
      </c>
      <c r="BC525" s="27">
        <f t="shared" si="294"/>
        <v>0</v>
      </c>
      <c r="BD525" s="27">
        <f t="shared" si="295"/>
        <v>0</v>
      </c>
      <c r="BE525" s="27">
        <v>0</v>
      </c>
      <c r="BF525" s="27">
        <f t="shared" si="296"/>
        <v>0.0186</v>
      </c>
      <c r="BH525" s="14">
        <f t="shared" si="297"/>
        <v>0</v>
      </c>
      <c r="BI525" s="14">
        <f t="shared" si="298"/>
        <v>0</v>
      </c>
      <c r="BJ525" s="14">
        <f t="shared" si="299"/>
        <v>0</v>
      </c>
    </row>
    <row r="526" spans="1:62" ht="12.75">
      <c r="A526" s="123" t="s">
        <v>259</v>
      </c>
      <c r="B526" s="124" t="s">
        <v>583</v>
      </c>
      <c r="C526" s="125" t="s">
        <v>939</v>
      </c>
      <c r="D526" s="209" t="s">
        <v>1018</v>
      </c>
      <c r="E526" s="126">
        <v>13</v>
      </c>
      <c r="F526" s="135">
        <v>0</v>
      </c>
      <c r="G526" s="145">
        <f t="shared" si="274"/>
        <v>0</v>
      </c>
      <c r="H526" s="126">
        <f t="shared" si="275"/>
        <v>0</v>
      </c>
      <c r="I526" s="146">
        <f t="shared" si="276"/>
        <v>0</v>
      </c>
      <c r="J526" s="219">
        <v>0.0063</v>
      </c>
      <c r="K526" s="220">
        <f t="shared" si="277"/>
        <v>0.0819</v>
      </c>
      <c r="L526" s="153"/>
      <c r="Z526" s="27">
        <f t="shared" si="278"/>
        <v>0</v>
      </c>
      <c r="AB526" s="27">
        <f t="shared" si="279"/>
        <v>0</v>
      </c>
      <c r="AC526" s="27">
        <f t="shared" si="280"/>
        <v>0</v>
      </c>
      <c r="AD526" s="27">
        <f t="shared" si="281"/>
        <v>0</v>
      </c>
      <c r="AE526" s="27">
        <f t="shared" si="282"/>
        <v>0</v>
      </c>
      <c r="AF526" s="27">
        <f t="shared" si="283"/>
        <v>0</v>
      </c>
      <c r="AG526" s="27">
        <f t="shared" si="284"/>
        <v>0</v>
      </c>
      <c r="AH526" s="27">
        <f t="shared" si="285"/>
        <v>0</v>
      </c>
      <c r="AI526" s="20"/>
      <c r="AJ526" s="14">
        <f t="shared" si="286"/>
        <v>0</v>
      </c>
      <c r="AK526" s="14">
        <f t="shared" si="287"/>
        <v>0</v>
      </c>
      <c r="AL526" s="14">
        <f t="shared" si="288"/>
        <v>0</v>
      </c>
      <c r="AN526" s="27">
        <v>21</v>
      </c>
      <c r="AO526" s="27">
        <f t="shared" si="289"/>
        <v>0</v>
      </c>
      <c r="AP526" s="27">
        <f t="shared" si="290"/>
        <v>0</v>
      </c>
      <c r="AQ526" s="24" t="s">
        <v>1050</v>
      </c>
      <c r="AV526" s="27">
        <f t="shared" si="291"/>
        <v>0</v>
      </c>
      <c r="AW526" s="27">
        <f t="shared" si="292"/>
        <v>0</v>
      </c>
      <c r="AX526" s="27">
        <f t="shared" si="293"/>
        <v>0</v>
      </c>
      <c r="AY526" s="28" t="s">
        <v>1092</v>
      </c>
      <c r="AZ526" s="28" t="s">
        <v>1105</v>
      </c>
      <c r="BA526" s="20" t="s">
        <v>1106</v>
      </c>
      <c r="BC526" s="27">
        <f t="shared" si="294"/>
        <v>0</v>
      </c>
      <c r="BD526" s="27">
        <f t="shared" si="295"/>
        <v>0</v>
      </c>
      <c r="BE526" s="27">
        <v>0</v>
      </c>
      <c r="BF526" s="27">
        <f t="shared" si="296"/>
        <v>0.0819</v>
      </c>
      <c r="BH526" s="14">
        <f t="shared" si="297"/>
        <v>0</v>
      </c>
      <c r="BI526" s="14">
        <f t="shared" si="298"/>
        <v>0</v>
      </c>
      <c r="BJ526" s="14">
        <f t="shared" si="299"/>
        <v>0</v>
      </c>
    </row>
    <row r="527" spans="1:62" ht="12.75">
      <c r="A527" s="123" t="s">
        <v>260</v>
      </c>
      <c r="B527" s="124" t="s">
        <v>584</v>
      </c>
      <c r="C527" s="125" t="s">
        <v>940</v>
      </c>
      <c r="D527" s="209" t="s">
        <v>1007</v>
      </c>
      <c r="E527" s="126">
        <v>1</v>
      </c>
      <c r="F527" s="135">
        <v>0</v>
      </c>
      <c r="G527" s="145">
        <f t="shared" si="274"/>
        <v>0</v>
      </c>
      <c r="H527" s="126">
        <f t="shared" si="275"/>
        <v>0</v>
      </c>
      <c r="I527" s="146">
        <f t="shared" si="276"/>
        <v>0</v>
      </c>
      <c r="J527" s="219">
        <v>0.033</v>
      </c>
      <c r="K527" s="220">
        <f t="shared" si="277"/>
        <v>0.033</v>
      </c>
      <c r="L527" s="153"/>
      <c r="Z527" s="27">
        <f t="shared" si="278"/>
        <v>0</v>
      </c>
      <c r="AB527" s="27">
        <f t="shared" si="279"/>
        <v>0</v>
      </c>
      <c r="AC527" s="27">
        <f t="shared" si="280"/>
        <v>0</v>
      </c>
      <c r="AD527" s="27">
        <f t="shared" si="281"/>
        <v>0</v>
      </c>
      <c r="AE527" s="27">
        <f t="shared" si="282"/>
        <v>0</v>
      </c>
      <c r="AF527" s="27">
        <f t="shared" si="283"/>
        <v>0</v>
      </c>
      <c r="AG527" s="27">
        <f t="shared" si="284"/>
        <v>0</v>
      </c>
      <c r="AH527" s="27">
        <f t="shared" si="285"/>
        <v>0</v>
      </c>
      <c r="AI527" s="20"/>
      <c r="AJ527" s="14">
        <f t="shared" si="286"/>
        <v>0</v>
      </c>
      <c r="AK527" s="14">
        <f t="shared" si="287"/>
        <v>0</v>
      </c>
      <c r="AL527" s="14">
        <f t="shared" si="288"/>
        <v>0</v>
      </c>
      <c r="AN527" s="27">
        <v>21</v>
      </c>
      <c r="AO527" s="27">
        <f t="shared" si="289"/>
        <v>0</v>
      </c>
      <c r="AP527" s="27">
        <f t="shared" si="290"/>
        <v>0</v>
      </c>
      <c r="AQ527" s="24" t="s">
        <v>1050</v>
      </c>
      <c r="AV527" s="27">
        <f t="shared" si="291"/>
        <v>0</v>
      </c>
      <c r="AW527" s="27">
        <f t="shared" si="292"/>
        <v>0</v>
      </c>
      <c r="AX527" s="27">
        <f t="shared" si="293"/>
        <v>0</v>
      </c>
      <c r="AY527" s="28" t="s">
        <v>1092</v>
      </c>
      <c r="AZ527" s="28" t="s">
        <v>1105</v>
      </c>
      <c r="BA527" s="20" t="s">
        <v>1106</v>
      </c>
      <c r="BC527" s="27">
        <f t="shared" si="294"/>
        <v>0</v>
      </c>
      <c r="BD527" s="27">
        <f t="shared" si="295"/>
        <v>0</v>
      </c>
      <c r="BE527" s="27">
        <v>0</v>
      </c>
      <c r="BF527" s="27">
        <f t="shared" si="296"/>
        <v>0.033</v>
      </c>
      <c r="BH527" s="14">
        <f t="shared" si="297"/>
        <v>0</v>
      </c>
      <c r="BI527" s="14">
        <f t="shared" si="298"/>
        <v>0</v>
      </c>
      <c r="BJ527" s="14">
        <f t="shared" si="299"/>
        <v>0</v>
      </c>
    </row>
    <row r="528" spans="1:62" ht="12.75">
      <c r="A528" s="123" t="s">
        <v>261</v>
      </c>
      <c r="B528" s="124" t="s">
        <v>585</v>
      </c>
      <c r="C528" s="125" t="s">
        <v>941</v>
      </c>
      <c r="D528" s="209" t="s">
        <v>1007</v>
      </c>
      <c r="E528" s="126">
        <v>7</v>
      </c>
      <c r="F528" s="135">
        <v>0</v>
      </c>
      <c r="G528" s="145">
        <f aca="true" t="shared" si="300" ref="G528:G571">E528*AO528</f>
        <v>0</v>
      </c>
      <c r="H528" s="126">
        <f aca="true" t="shared" si="301" ref="H528:H571">E528*AP528</f>
        <v>0</v>
      </c>
      <c r="I528" s="146">
        <f aca="true" t="shared" si="302" ref="I528:I571">E528*F528</f>
        <v>0</v>
      </c>
      <c r="J528" s="219">
        <v>0.0096</v>
      </c>
      <c r="K528" s="220">
        <f aca="true" t="shared" si="303" ref="K528:K571">E528*J528</f>
        <v>0.0672</v>
      </c>
      <c r="L528" s="153"/>
      <c r="Z528" s="27">
        <f aca="true" t="shared" si="304" ref="Z528:Z571">IF(AQ528="5",BJ528,0)</f>
        <v>0</v>
      </c>
      <c r="AB528" s="27">
        <f aca="true" t="shared" si="305" ref="AB528:AB571">IF(AQ528="1",BH528,0)</f>
        <v>0</v>
      </c>
      <c r="AC528" s="27">
        <f aca="true" t="shared" si="306" ref="AC528:AC571">IF(AQ528="1",BI528,0)</f>
        <v>0</v>
      </c>
      <c r="AD528" s="27">
        <f aca="true" t="shared" si="307" ref="AD528:AD571">IF(AQ528="7",BH528,0)</f>
        <v>0</v>
      </c>
      <c r="AE528" s="27">
        <f aca="true" t="shared" si="308" ref="AE528:AE571">IF(AQ528="7",BI528,0)</f>
        <v>0</v>
      </c>
      <c r="AF528" s="27">
        <f aca="true" t="shared" si="309" ref="AF528:AF571">IF(AQ528="2",BH528,0)</f>
        <v>0</v>
      </c>
      <c r="AG528" s="27">
        <f aca="true" t="shared" si="310" ref="AG528:AG571">IF(AQ528="2",BI528,0)</f>
        <v>0</v>
      </c>
      <c r="AH528" s="27">
        <f aca="true" t="shared" si="311" ref="AH528:AH571">IF(AQ528="0",BJ528,0)</f>
        <v>0</v>
      </c>
      <c r="AI528" s="20"/>
      <c r="AJ528" s="14">
        <f aca="true" t="shared" si="312" ref="AJ528:AJ571">IF(AN528=0,I528,0)</f>
        <v>0</v>
      </c>
      <c r="AK528" s="14">
        <f aca="true" t="shared" si="313" ref="AK528:AK571">IF(AN528=15,I528,0)</f>
        <v>0</v>
      </c>
      <c r="AL528" s="14">
        <f aca="true" t="shared" si="314" ref="AL528:AL571">IF(AN528=21,I528,0)</f>
        <v>0</v>
      </c>
      <c r="AN528" s="27">
        <v>21</v>
      </c>
      <c r="AO528" s="27">
        <f aca="true" t="shared" si="315" ref="AO528:AO571">F528*1</f>
        <v>0</v>
      </c>
      <c r="AP528" s="27">
        <f aca="true" t="shared" si="316" ref="AP528:AP571">F528*(1-1)</f>
        <v>0</v>
      </c>
      <c r="AQ528" s="24" t="s">
        <v>1050</v>
      </c>
      <c r="AV528" s="27">
        <f aca="true" t="shared" si="317" ref="AV528:AV571">AW528+AX528</f>
        <v>0</v>
      </c>
      <c r="AW528" s="27">
        <f aca="true" t="shared" si="318" ref="AW528:AW571">E528*AO528</f>
        <v>0</v>
      </c>
      <c r="AX528" s="27">
        <f aca="true" t="shared" si="319" ref="AX528:AX571">E528*AP528</f>
        <v>0</v>
      </c>
      <c r="AY528" s="28" t="s">
        <v>1092</v>
      </c>
      <c r="AZ528" s="28" t="s">
        <v>1105</v>
      </c>
      <c r="BA528" s="20" t="s">
        <v>1106</v>
      </c>
      <c r="BC528" s="27">
        <f aca="true" t="shared" si="320" ref="BC528:BC571">AW528+AX528</f>
        <v>0</v>
      </c>
      <c r="BD528" s="27">
        <f aca="true" t="shared" si="321" ref="BD528:BD571">F528/(100-BE528)*100</f>
        <v>0</v>
      </c>
      <c r="BE528" s="27">
        <v>0</v>
      </c>
      <c r="BF528" s="27">
        <f aca="true" t="shared" si="322" ref="BF528:BF571">K528</f>
        <v>0.0672</v>
      </c>
      <c r="BH528" s="14">
        <f aca="true" t="shared" si="323" ref="BH528:BH571">E528*AO528</f>
        <v>0</v>
      </c>
      <c r="BI528" s="14">
        <f aca="true" t="shared" si="324" ref="BI528:BI571">E528*AP528</f>
        <v>0</v>
      </c>
      <c r="BJ528" s="14">
        <f aca="true" t="shared" si="325" ref="BJ528:BJ571">E528*F528</f>
        <v>0</v>
      </c>
    </row>
    <row r="529" spans="1:62" ht="12.75">
      <c r="A529" s="123" t="s">
        <v>262</v>
      </c>
      <c r="B529" s="124" t="s">
        <v>586</v>
      </c>
      <c r="C529" s="125" t="s">
        <v>942</v>
      </c>
      <c r="D529" s="209" t="s">
        <v>1007</v>
      </c>
      <c r="E529" s="126">
        <v>7</v>
      </c>
      <c r="F529" s="135">
        <v>0</v>
      </c>
      <c r="G529" s="145">
        <f t="shared" si="300"/>
        <v>0</v>
      </c>
      <c r="H529" s="126">
        <f t="shared" si="301"/>
        <v>0</v>
      </c>
      <c r="I529" s="146">
        <f t="shared" si="302"/>
        <v>0</v>
      </c>
      <c r="J529" s="219">
        <v>0.014</v>
      </c>
      <c r="K529" s="220">
        <f t="shared" si="303"/>
        <v>0.098</v>
      </c>
      <c r="L529" s="153"/>
      <c r="Z529" s="27">
        <f t="shared" si="304"/>
        <v>0</v>
      </c>
      <c r="AB529" s="27">
        <f t="shared" si="305"/>
        <v>0</v>
      </c>
      <c r="AC529" s="27">
        <f t="shared" si="306"/>
        <v>0</v>
      </c>
      <c r="AD529" s="27">
        <f t="shared" si="307"/>
        <v>0</v>
      </c>
      <c r="AE529" s="27">
        <f t="shared" si="308"/>
        <v>0</v>
      </c>
      <c r="AF529" s="27">
        <f t="shared" si="309"/>
        <v>0</v>
      </c>
      <c r="AG529" s="27">
        <f t="shared" si="310"/>
        <v>0</v>
      </c>
      <c r="AH529" s="27">
        <f t="shared" si="311"/>
        <v>0</v>
      </c>
      <c r="AI529" s="20"/>
      <c r="AJ529" s="14">
        <f t="shared" si="312"/>
        <v>0</v>
      </c>
      <c r="AK529" s="14">
        <f t="shared" si="313"/>
        <v>0</v>
      </c>
      <c r="AL529" s="14">
        <f t="shared" si="314"/>
        <v>0</v>
      </c>
      <c r="AN529" s="27">
        <v>21</v>
      </c>
      <c r="AO529" s="27">
        <f t="shared" si="315"/>
        <v>0</v>
      </c>
      <c r="AP529" s="27">
        <f t="shared" si="316"/>
        <v>0</v>
      </c>
      <c r="AQ529" s="24" t="s">
        <v>1050</v>
      </c>
      <c r="AV529" s="27">
        <f t="shared" si="317"/>
        <v>0</v>
      </c>
      <c r="AW529" s="27">
        <f t="shared" si="318"/>
        <v>0</v>
      </c>
      <c r="AX529" s="27">
        <f t="shared" si="319"/>
        <v>0</v>
      </c>
      <c r="AY529" s="28" t="s">
        <v>1092</v>
      </c>
      <c r="AZ529" s="28" t="s">
        <v>1105</v>
      </c>
      <c r="BA529" s="20" t="s">
        <v>1106</v>
      </c>
      <c r="BC529" s="27">
        <f t="shared" si="320"/>
        <v>0</v>
      </c>
      <c r="BD529" s="27">
        <f t="shared" si="321"/>
        <v>0</v>
      </c>
      <c r="BE529" s="27">
        <v>0</v>
      </c>
      <c r="BF529" s="27">
        <f t="shared" si="322"/>
        <v>0.098</v>
      </c>
      <c r="BH529" s="14">
        <f t="shared" si="323"/>
        <v>0</v>
      </c>
      <c r="BI529" s="14">
        <f t="shared" si="324"/>
        <v>0</v>
      </c>
      <c r="BJ529" s="14">
        <f t="shared" si="325"/>
        <v>0</v>
      </c>
    </row>
    <row r="530" spans="1:62" ht="25.5">
      <c r="A530" s="123" t="s">
        <v>263</v>
      </c>
      <c r="B530" s="124" t="s">
        <v>587</v>
      </c>
      <c r="C530" s="125" t="s">
        <v>943</v>
      </c>
      <c r="D530" s="209" t="s">
        <v>1007</v>
      </c>
      <c r="E530" s="126">
        <v>1</v>
      </c>
      <c r="F530" s="135">
        <v>0</v>
      </c>
      <c r="G530" s="145">
        <f t="shared" si="300"/>
        <v>0</v>
      </c>
      <c r="H530" s="126">
        <f t="shared" si="301"/>
        <v>0</v>
      </c>
      <c r="I530" s="146">
        <f t="shared" si="302"/>
        <v>0</v>
      </c>
      <c r="J530" s="219">
        <v>0.02</v>
      </c>
      <c r="K530" s="220">
        <f t="shared" si="303"/>
        <v>0.02</v>
      </c>
      <c r="L530" s="153"/>
      <c r="Z530" s="27">
        <f t="shared" si="304"/>
        <v>0</v>
      </c>
      <c r="AB530" s="27">
        <f t="shared" si="305"/>
        <v>0</v>
      </c>
      <c r="AC530" s="27">
        <f t="shared" si="306"/>
        <v>0</v>
      </c>
      <c r="AD530" s="27">
        <f t="shared" si="307"/>
        <v>0</v>
      </c>
      <c r="AE530" s="27">
        <f t="shared" si="308"/>
        <v>0</v>
      </c>
      <c r="AF530" s="27">
        <f t="shared" si="309"/>
        <v>0</v>
      </c>
      <c r="AG530" s="27">
        <f t="shared" si="310"/>
        <v>0</v>
      </c>
      <c r="AH530" s="27">
        <f t="shared" si="311"/>
        <v>0</v>
      </c>
      <c r="AI530" s="20"/>
      <c r="AJ530" s="14">
        <f t="shared" si="312"/>
        <v>0</v>
      </c>
      <c r="AK530" s="14">
        <f t="shared" si="313"/>
        <v>0</v>
      </c>
      <c r="AL530" s="14">
        <f t="shared" si="314"/>
        <v>0</v>
      </c>
      <c r="AN530" s="27">
        <v>21</v>
      </c>
      <c r="AO530" s="27">
        <f t="shared" si="315"/>
        <v>0</v>
      </c>
      <c r="AP530" s="27">
        <f t="shared" si="316"/>
        <v>0</v>
      </c>
      <c r="AQ530" s="24" t="s">
        <v>1050</v>
      </c>
      <c r="AV530" s="27">
        <f t="shared" si="317"/>
        <v>0</v>
      </c>
      <c r="AW530" s="27">
        <f t="shared" si="318"/>
        <v>0</v>
      </c>
      <c r="AX530" s="27">
        <f t="shared" si="319"/>
        <v>0</v>
      </c>
      <c r="AY530" s="28" t="s">
        <v>1092</v>
      </c>
      <c r="AZ530" s="28" t="s">
        <v>1105</v>
      </c>
      <c r="BA530" s="20" t="s">
        <v>1106</v>
      </c>
      <c r="BC530" s="27">
        <f t="shared" si="320"/>
        <v>0</v>
      </c>
      <c r="BD530" s="27">
        <f t="shared" si="321"/>
        <v>0</v>
      </c>
      <c r="BE530" s="27">
        <v>0</v>
      </c>
      <c r="BF530" s="27">
        <f t="shared" si="322"/>
        <v>0.02</v>
      </c>
      <c r="BH530" s="14">
        <f t="shared" si="323"/>
        <v>0</v>
      </c>
      <c r="BI530" s="14">
        <f t="shared" si="324"/>
        <v>0</v>
      </c>
      <c r="BJ530" s="14">
        <f t="shared" si="325"/>
        <v>0</v>
      </c>
    </row>
    <row r="531" spans="1:62" ht="25.5">
      <c r="A531" s="123" t="s">
        <v>264</v>
      </c>
      <c r="B531" s="124" t="s">
        <v>588</v>
      </c>
      <c r="C531" s="125" t="s">
        <v>944</v>
      </c>
      <c r="D531" s="209" t="s">
        <v>1007</v>
      </c>
      <c r="E531" s="126">
        <v>1</v>
      </c>
      <c r="F531" s="135">
        <v>0</v>
      </c>
      <c r="G531" s="145">
        <f t="shared" si="300"/>
        <v>0</v>
      </c>
      <c r="H531" s="126">
        <f t="shared" si="301"/>
        <v>0</v>
      </c>
      <c r="I531" s="146">
        <f t="shared" si="302"/>
        <v>0</v>
      </c>
      <c r="J531" s="219">
        <v>0.025</v>
      </c>
      <c r="K531" s="220">
        <f t="shared" si="303"/>
        <v>0.025</v>
      </c>
      <c r="L531" s="153"/>
      <c r="Z531" s="27">
        <f t="shared" si="304"/>
        <v>0</v>
      </c>
      <c r="AB531" s="27">
        <f t="shared" si="305"/>
        <v>0</v>
      </c>
      <c r="AC531" s="27">
        <f t="shared" si="306"/>
        <v>0</v>
      </c>
      <c r="AD531" s="27">
        <f t="shared" si="307"/>
        <v>0</v>
      </c>
      <c r="AE531" s="27">
        <f t="shared" si="308"/>
        <v>0</v>
      </c>
      <c r="AF531" s="27">
        <f t="shared" si="309"/>
        <v>0</v>
      </c>
      <c r="AG531" s="27">
        <f t="shared" si="310"/>
        <v>0</v>
      </c>
      <c r="AH531" s="27">
        <f t="shared" si="311"/>
        <v>0</v>
      </c>
      <c r="AI531" s="20"/>
      <c r="AJ531" s="14">
        <f t="shared" si="312"/>
        <v>0</v>
      </c>
      <c r="AK531" s="14">
        <f t="shared" si="313"/>
        <v>0</v>
      </c>
      <c r="AL531" s="14">
        <f t="shared" si="314"/>
        <v>0</v>
      </c>
      <c r="AN531" s="27">
        <v>21</v>
      </c>
      <c r="AO531" s="27">
        <f t="shared" si="315"/>
        <v>0</v>
      </c>
      <c r="AP531" s="27">
        <f t="shared" si="316"/>
        <v>0</v>
      </c>
      <c r="AQ531" s="24" t="s">
        <v>1050</v>
      </c>
      <c r="AV531" s="27">
        <f t="shared" si="317"/>
        <v>0</v>
      </c>
      <c r="AW531" s="27">
        <f t="shared" si="318"/>
        <v>0</v>
      </c>
      <c r="AX531" s="27">
        <f t="shared" si="319"/>
        <v>0</v>
      </c>
      <c r="AY531" s="28" t="s">
        <v>1092</v>
      </c>
      <c r="AZ531" s="28" t="s">
        <v>1105</v>
      </c>
      <c r="BA531" s="20" t="s">
        <v>1106</v>
      </c>
      <c r="BC531" s="27">
        <f t="shared" si="320"/>
        <v>0</v>
      </c>
      <c r="BD531" s="27">
        <f t="shared" si="321"/>
        <v>0</v>
      </c>
      <c r="BE531" s="27">
        <v>0</v>
      </c>
      <c r="BF531" s="27">
        <f t="shared" si="322"/>
        <v>0.025</v>
      </c>
      <c r="BH531" s="14">
        <f t="shared" si="323"/>
        <v>0</v>
      </c>
      <c r="BI531" s="14">
        <f t="shared" si="324"/>
        <v>0</v>
      </c>
      <c r="BJ531" s="14">
        <f t="shared" si="325"/>
        <v>0</v>
      </c>
    </row>
    <row r="532" spans="1:62" ht="12.75">
      <c r="A532" s="123"/>
      <c r="B532" s="124"/>
      <c r="C532" s="99" t="s">
        <v>1789</v>
      </c>
      <c r="D532" s="209"/>
      <c r="E532" s="126"/>
      <c r="F532" s="135"/>
      <c r="G532" s="145"/>
      <c r="H532" s="126"/>
      <c r="I532" s="146"/>
      <c r="J532" s="219"/>
      <c r="K532" s="220"/>
      <c r="L532" s="153"/>
      <c r="Z532" s="27"/>
      <c r="AB532" s="27"/>
      <c r="AC532" s="27"/>
      <c r="AD532" s="27"/>
      <c r="AE532" s="27"/>
      <c r="AF532" s="27"/>
      <c r="AG532" s="27"/>
      <c r="AH532" s="27"/>
      <c r="AI532" s="20"/>
      <c r="AJ532" s="14"/>
      <c r="AK532" s="14"/>
      <c r="AL532" s="14"/>
      <c r="AN532" s="27"/>
      <c r="AO532" s="27"/>
      <c r="AP532" s="27"/>
      <c r="AQ532" s="24"/>
      <c r="AV532" s="27"/>
      <c r="AW532" s="27"/>
      <c r="AX532" s="27"/>
      <c r="AY532" s="28"/>
      <c r="AZ532" s="28"/>
      <c r="BA532" s="20"/>
      <c r="BC532" s="27"/>
      <c r="BD532" s="27"/>
      <c r="BE532" s="27"/>
      <c r="BF532" s="27"/>
      <c r="BH532" s="14"/>
      <c r="BI532" s="14"/>
      <c r="BJ532" s="14"/>
    </row>
    <row r="533" spans="1:62" ht="25.5">
      <c r="A533" s="123" t="s">
        <v>265</v>
      </c>
      <c r="B533" s="124" t="s">
        <v>1848</v>
      </c>
      <c r="C533" s="89" t="s">
        <v>1849</v>
      </c>
      <c r="D533" s="209" t="s">
        <v>1007</v>
      </c>
      <c r="E533" s="126">
        <v>1</v>
      </c>
      <c r="F533" s="135">
        <v>0</v>
      </c>
      <c r="G533" s="145">
        <f>E533*AO533</f>
        <v>0</v>
      </c>
      <c r="H533" s="126">
        <f>E533*AP533</f>
        <v>0</v>
      </c>
      <c r="I533" s="146">
        <f>E533*F533</f>
        <v>0</v>
      </c>
      <c r="J533" s="219">
        <v>0.16</v>
      </c>
      <c r="K533" s="220">
        <f>E533*J533</f>
        <v>0.16</v>
      </c>
      <c r="L533" s="153"/>
      <c r="Z533" s="27"/>
      <c r="AB533" s="27"/>
      <c r="AC533" s="27"/>
      <c r="AD533" s="27"/>
      <c r="AE533" s="27"/>
      <c r="AF533" s="27"/>
      <c r="AG533" s="27"/>
      <c r="AH533" s="27"/>
      <c r="AI533" s="20"/>
      <c r="AJ533" s="14"/>
      <c r="AK533" s="14"/>
      <c r="AL533" s="14"/>
      <c r="AN533" s="27"/>
      <c r="AO533" s="27"/>
      <c r="AP533" s="27"/>
      <c r="AQ533" s="24"/>
      <c r="AV533" s="27"/>
      <c r="AW533" s="27"/>
      <c r="AX533" s="27"/>
      <c r="AY533" s="28"/>
      <c r="AZ533" s="28"/>
      <c r="BA533" s="20"/>
      <c r="BC533" s="27"/>
      <c r="BD533" s="27"/>
      <c r="BE533" s="27"/>
      <c r="BF533" s="27"/>
      <c r="BH533" s="14"/>
      <c r="BI533" s="14"/>
      <c r="BJ533" s="14"/>
    </row>
    <row r="534" spans="1:62" ht="12.75">
      <c r="A534" s="123"/>
      <c r="B534" s="124"/>
      <c r="C534" s="99" t="s">
        <v>1850</v>
      </c>
      <c r="D534" s="209"/>
      <c r="E534" s="126"/>
      <c r="F534" s="135"/>
      <c r="G534" s="145"/>
      <c r="H534" s="126"/>
      <c r="I534" s="146"/>
      <c r="J534" s="219"/>
      <c r="K534" s="220"/>
      <c r="L534" s="153"/>
      <c r="Z534" s="27"/>
      <c r="AB534" s="27"/>
      <c r="AC534" s="27"/>
      <c r="AD534" s="27"/>
      <c r="AE534" s="27"/>
      <c r="AF534" s="27"/>
      <c r="AG534" s="27"/>
      <c r="AH534" s="27"/>
      <c r="AI534" s="20"/>
      <c r="AJ534" s="14"/>
      <c r="AK534" s="14"/>
      <c r="AL534" s="14"/>
      <c r="AN534" s="27"/>
      <c r="AO534" s="27"/>
      <c r="AP534" s="27"/>
      <c r="AQ534" s="24"/>
      <c r="AV534" s="27"/>
      <c r="AW534" s="27"/>
      <c r="AX534" s="27"/>
      <c r="AY534" s="28"/>
      <c r="AZ534" s="28"/>
      <c r="BA534" s="20"/>
      <c r="BC534" s="27"/>
      <c r="BD534" s="27"/>
      <c r="BE534" s="27"/>
      <c r="BF534" s="27"/>
      <c r="BH534" s="14"/>
      <c r="BI534" s="14"/>
      <c r="BJ534" s="14"/>
    </row>
    <row r="535" spans="1:62" ht="12.75">
      <c r="A535" s="123" t="s">
        <v>266</v>
      </c>
      <c r="B535" s="124" t="s">
        <v>589</v>
      </c>
      <c r="C535" s="125" t="s">
        <v>945</v>
      </c>
      <c r="D535" s="209" t="s">
        <v>1007</v>
      </c>
      <c r="E535" s="126">
        <v>1</v>
      </c>
      <c r="F535" s="135">
        <v>0</v>
      </c>
      <c r="G535" s="145">
        <f t="shared" si="300"/>
        <v>0</v>
      </c>
      <c r="H535" s="126">
        <f t="shared" si="301"/>
        <v>0</v>
      </c>
      <c r="I535" s="146">
        <f t="shared" si="302"/>
        <v>0</v>
      </c>
      <c r="J535" s="219">
        <v>0.00148</v>
      </c>
      <c r="K535" s="220">
        <f t="shared" si="303"/>
        <v>0.00148</v>
      </c>
      <c r="L535" s="153" t="s">
        <v>1039</v>
      </c>
      <c r="Z535" s="27">
        <f t="shared" si="304"/>
        <v>0</v>
      </c>
      <c r="AB535" s="27">
        <f t="shared" si="305"/>
        <v>0</v>
      </c>
      <c r="AC535" s="27">
        <f t="shared" si="306"/>
        <v>0</v>
      </c>
      <c r="AD535" s="27">
        <f t="shared" si="307"/>
        <v>0</v>
      </c>
      <c r="AE535" s="27">
        <f t="shared" si="308"/>
        <v>0</v>
      </c>
      <c r="AF535" s="27">
        <f t="shared" si="309"/>
        <v>0</v>
      </c>
      <c r="AG535" s="27">
        <f t="shared" si="310"/>
        <v>0</v>
      </c>
      <c r="AH535" s="27">
        <f t="shared" si="311"/>
        <v>0</v>
      </c>
      <c r="AI535" s="20"/>
      <c r="AJ535" s="14">
        <f t="shared" si="312"/>
        <v>0</v>
      </c>
      <c r="AK535" s="14">
        <f t="shared" si="313"/>
        <v>0</v>
      </c>
      <c r="AL535" s="14">
        <f t="shared" si="314"/>
        <v>0</v>
      </c>
      <c r="AN535" s="27">
        <v>21</v>
      </c>
      <c r="AO535" s="27">
        <f t="shared" si="315"/>
        <v>0</v>
      </c>
      <c r="AP535" s="27">
        <f t="shared" si="316"/>
        <v>0</v>
      </c>
      <c r="AQ535" s="24" t="s">
        <v>1050</v>
      </c>
      <c r="AV535" s="27">
        <f t="shared" si="317"/>
        <v>0</v>
      </c>
      <c r="AW535" s="27">
        <f t="shared" si="318"/>
        <v>0</v>
      </c>
      <c r="AX535" s="27">
        <f t="shared" si="319"/>
        <v>0</v>
      </c>
      <c r="AY535" s="28" t="s">
        <v>1092</v>
      </c>
      <c r="AZ535" s="28" t="s">
        <v>1105</v>
      </c>
      <c r="BA535" s="20" t="s">
        <v>1106</v>
      </c>
      <c r="BC535" s="27">
        <f t="shared" si="320"/>
        <v>0</v>
      </c>
      <c r="BD535" s="27">
        <f t="shared" si="321"/>
        <v>0</v>
      </c>
      <c r="BE535" s="27">
        <v>0</v>
      </c>
      <c r="BF535" s="27">
        <f t="shared" si="322"/>
        <v>0.00148</v>
      </c>
      <c r="BH535" s="14">
        <f t="shared" si="323"/>
        <v>0</v>
      </c>
      <c r="BI535" s="14">
        <f t="shared" si="324"/>
        <v>0</v>
      </c>
      <c r="BJ535" s="14">
        <f t="shared" si="325"/>
        <v>0</v>
      </c>
    </row>
    <row r="536" spans="1:62" ht="12.75">
      <c r="A536" s="123" t="s">
        <v>267</v>
      </c>
      <c r="B536" s="124" t="s">
        <v>590</v>
      </c>
      <c r="C536" s="125" t="s">
        <v>946</v>
      </c>
      <c r="D536" s="209" t="s">
        <v>1007</v>
      </c>
      <c r="E536" s="126">
        <v>1</v>
      </c>
      <c r="F536" s="135">
        <v>0</v>
      </c>
      <c r="G536" s="145">
        <f t="shared" si="300"/>
        <v>0</v>
      </c>
      <c r="H536" s="126">
        <f t="shared" si="301"/>
        <v>0</v>
      </c>
      <c r="I536" s="146">
        <f t="shared" si="302"/>
        <v>0</v>
      </c>
      <c r="J536" s="219">
        <v>0.02</v>
      </c>
      <c r="K536" s="220">
        <f t="shared" si="303"/>
        <v>0.02</v>
      </c>
      <c r="L536" s="153"/>
      <c r="Z536" s="27">
        <f t="shared" si="304"/>
        <v>0</v>
      </c>
      <c r="AB536" s="27">
        <f t="shared" si="305"/>
        <v>0</v>
      </c>
      <c r="AC536" s="27">
        <f t="shared" si="306"/>
        <v>0</v>
      </c>
      <c r="AD536" s="27">
        <f t="shared" si="307"/>
        <v>0</v>
      </c>
      <c r="AE536" s="27">
        <f t="shared" si="308"/>
        <v>0</v>
      </c>
      <c r="AF536" s="27">
        <f t="shared" si="309"/>
        <v>0</v>
      </c>
      <c r="AG536" s="27">
        <f t="shared" si="310"/>
        <v>0</v>
      </c>
      <c r="AH536" s="27">
        <f t="shared" si="311"/>
        <v>0</v>
      </c>
      <c r="AI536" s="20"/>
      <c r="AJ536" s="14">
        <f t="shared" si="312"/>
        <v>0</v>
      </c>
      <c r="AK536" s="14">
        <f t="shared" si="313"/>
        <v>0</v>
      </c>
      <c r="AL536" s="14">
        <f t="shared" si="314"/>
        <v>0</v>
      </c>
      <c r="AN536" s="27">
        <v>21</v>
      </c>
      <c r="AO536" s="27">
        <f t="shared" si="315"/>
        <v>0</v>
      </c>
      <c r="AP536" s="27">
        <f t="shared" si="316"/>
        <v>0</v>
      </c>
      <c r="AQ536" s="24" t="s">
        <v>1050</v>
      </c>
      <c r="AV536" s="27">
        <f t="shared" si="317"/>
        <v>0</v>
      </c>
      <c r="AW536" s="27">
        <f t="shared" si="318"/>
        <v>0</v>
      </c>
      <c r="AX536" s="27">
        <f t="shared" si="319"/>
        <v>0</v>
      </c>
      <c r="AY536" s="28" t="s">
        <v>1092</v>
      </c>
      <c r="AZ536" s="28" t="s">
        <v>1105</v>
      </c>
      <c r="BA536" s="20" t="s">
        <v>1106</v>
      </c>
      <c r="BC536" s="27">
        <f t="shared" si="320"/>
        <v>0</v>
      </c>
      <c r="BD536" s="27">
        <f t="shared" si="321"/>
        <v>0</v>
      </c>
      <c r="BE536" s="27">
        <v>0</v>
      </c>
      <c r="BF536" s="27">
        <f t="shared" si="322"/>
        <v>0.02</v>
      </c>
      <c r="BH536" s="14">
        <f t="shared" si="323"/>
        <v>0</v>
      </c>
      <c r="BI536" s="14">
        <f t="shared" si="324"/>
        <v>0</v>
      </c>
      <c r="BJ536" s="14">
        <f t="shared" si="325"/>
        <v>0</v>
      </c>
    </row>
    <row r="537" spans="1:62" ht="12.75">
      <c r="A537" s="123" t="s">
        <v>268</v>
      </c>
      <c r="B537" s="124" t="s">
        <v>591</v>
      </c>
      <c r="C537" s="125" t="s">
        <v>947</v>
      </c>
      <c r="D537" s="209" t="s">
        <v>1007</v>
      </c>
      <c r="E537" s="126">
        <v>16</v>
      </c>
      <c r="F537" s="135">
        <v>0</v>
      </c>
      <c r="G537" s="145">
        <f t="shared" si="300"/>
        <v>0</v>
      </c>
      <c r="H537" s="126">
        <f t="shared" si="301"/>
        <v>0</v>
      </c>
      <c r="I537" s="146">
        <f t="shared" si="302"/>
        <v>0</v>
      </c>
      <c r="J537" s="219">
        <v>0.0695</v>
      </c>
      <c r="K537" s="220">
        <f t="shared" si="303"/>
        <v>1.112</v>
      </c>
      <c r="L537" s="153" t="s">
        <v>1039</v>
      </c>
      <c r="Z537" s="27">
        <f t="shared" si="304"/>
        <v>0</v>
      </c>
      <c r="AB537" s="27">
        <f t="shared" si="305"/>
        <v>0</v>
      </c>
      <c r="AC537" s="27">
        <f t="shared" si="306"/>
        <v>0</v>
      </c>
      <c r="AD537" s="27">
        <f t="shared" si="307"/>
        <v>0</v>
      </c>
      <c r="AE537" s="27">
        <f t="shared" si="308"/>
        <v>0</v>
      </c>
      <c r="AF537" s="27">
        <f t="shared" si="309"/>
        <v>0</v>
      </c>
      <c r="AG537" s="27">
        <f t="shared" si="310"/>
        <v>0</v>
      </c>
      <c r="AH537" s="27">
        <f t="shared" si="311"/>
        <v>0</v>
      </c>
      <c r="AI537" s="20"/>
      <c r="AJ537" s="14">
        <f t="shared" si="312"/>
        <v>0</v>
      </c>
      <c r="AK537" s="14">
        <f t="shared" si="313"/>
        <v>0</v>
      </c>
      <c r="AL537" s="14">
        <f t="shared" si="314"/>
        <v>0</v>
      </c>
      <c r="AN537" s="27">
        <v>21</v>
      </c>
      <c r="AO537" s="27">
        <f t="shared" si="315"/>
        <v>0</v>
      </c>
      <c r="AP537" s="27">
        <f t="shared" si="316"/>
        <v>0</v>
      </c>
      <c r="AQ537" s="24" t="s">
        <v>1050</v>
      </c>
      <c r="AV537" s="27">
        <f t="shared" si="317"/>
        <v>0</v>
      </c>
      <c r="AW537" s="27">
        <f t="shared" si="318"/>
        <v>0</v>
      </c>
      <c r="AX537" s="27">
        <f t="shared" si="319"/>
        <v>0</v>
      </c>
      <c r="AY537" s="28" t="s">
        <v>1092</v>
      </c>
      <c r="AZ537" s="28" t="s">
        <v>1105</v>
      </c>
      <c r="BA537" s="20" t="s">
        <v>1106</v>
      </c>
      <c r="BC537" s="27">
        <f t="shared" si="320"/>
        <v>0</v>
      </c>
      <c r="BD537" s="27">
        <f t="shared" si="321"/>
        <v>0</v>
      </c>
      <c r="BE537" s="27">
        <v>0</v>
      </c>
      <c r="BF537" s="27">
        <f t="shared" si="322"/>
        <v>1.112</v>
      </c>
      <c r="BH537" s="14">
        <f t="shared" si="323"/>
        <v>0</v>
      </c>
      <c r="BI537" s="14">
        <f t="shared" si="324"/>
        <v>0</v>
      </c>
      <c r="BJ537" s="14">
        <f t="shared" si="325"/>
        <v>0</v>
      </c>
    </row>
    <row r="538" spans="1:62" ht="12.75">
      <c r="A538" s="123" t="s">
        <v>269</v>
      </c>
      <c r="B538" s="124" t="s">
        <v>592</v>
      </c>
      <c r="C538" s="125" t="s">
        <v>948</v>
      </c>
      <c r="D538" s="209" t="s">
        <v>1007</v>
      </c>
      <c r="E538" s="126">
        <v>3</v>
      </c>
      <c r="F538" s="135">
        <v>0</v>
      </c>
      <c r="G538" s="145">
        <f t="shared" si="300"/>
        <v>0</v>
      </c>
      <c r="H538" s="126">
        <f t="shared" si="301"/>
        <v>0</v>
      </c>
      <c r="I538" s="146">
        <f t="shared" si="302"/>
        <v>0</v>
      </c>
      <c r="J538" s="219">
        <v>0.097</v>
      </c>
      <c r="K538" s="220">
        <f t="shared" si="303"/>
        <v>0.29100000000000004</v>
      </c>
      <c r="L538" s="153" t="s">
        <v>1039</v>
      </c>
      <c r="Z538" s="27">
        <f t="shared" si="304"/>
        <v>0</v>
      </c>
      <c r="AB538" s="27">
        <f t="shared" si="305"/>
        <v>0</v>
      </c>
      <c r="AC538" s="27">
        <f t="shared" si="306"/>
        <v>0</v>
      </c>
      <c r="AD538" s="27">
        <f t="shared" si="307"/>
        <v>0</v>
      </c>
      <c r="AE538" s="27">
        <f t="shared" si="308"/>
        <v>0</v>
      </c>
      <c r="AF538" s="27">
        <f t="shared" si="309"/>
        <v>0</v>
      </c>
      <c r="AG538" s="27">
        <f t="shared" si="310"/>
        <v>0</v>
      </c>
      <c r="AH538" s="27">
        <f t="shared" si="311"/>
        <v>0</v>
      </c>
      <c r="AI538" s="20"/>
      <c r="AJ538" s="14">
        <f t="shared" si="312"/>
        <v>0</v>
      </c>
      <c r="AK538" s="14">
        <f t="shared" si="313"/>
        <v>0</v>
      </c>
      <c r="AL538" s="14">
        <f t="shared" si="314"/>
        <v>0</v>
      </c>
      <c r="AN538" s="27">
        <v>21</v>
      </c>
      <c r="AO538" s="27">
        <f t="shared" si="315"/>
        <v>0</v>
      </c>
      <c r="AP538" s="27">
        <f t="shared" si="316"/>
        <v>0</v>
      </c>
      <c r="AQ538" s="24" t="s">
        <v>1050</v>
      </c>
      <c r="AV538" s="27">
        <f t="shared" si="317"/>
        <v>0</v>
      </c>
      <c r="AW538" s="27">
        <f t="shared" si="318"/>
        <v>0</v>
      </c>
      <c r="AX538" s="27">
        <f t="shared" si="319"/>
        <v>0</v>
      </c>
      <c r="AY538" s="28" t="s">
        <v>1092</v>
      </c>
      <c r="AZ538" s="28" t="s">
        <v>1105</v>
      </c>
      <c r="BA538" s="20" t="s">
        <v>1106</v>
      </c>
      <c r="BC538" s="27">
        <f t="shared" si="320"/>
        <v>0</v>
      </c>
      <c r="BD538" s="27">
        <f t="shared" si="321"/>
        <v>0</v>
      </c>
      <c r="BE538" s="27">
        <v>0</v>
      </c>
      <c r="BF538" s="27">
        <f t="shared" si="322"/>
        <v>0.29100000000000004</v>
      </c>
      <c r="BH538" s="14">
        <f t="shared" si="323"/>
        <v>0</v>
      </c>
      <c r="BI538" s="14">
        <f t="shared" si="324"/>
        <v>0</v>
      </c>
      <c r="BJ538" s="14">
        <f t="shared" si="325"/>
        <v>0</v>
      </c>
    </row>
    <row r="539" spans="1:62" ht="12.75">
      <c r="A539" s="123" t="s">
        <v>270</v>
      </c>
      <c r="B539" s="124" t="s">
        <v>593</v>
      </c>
      <c r="C539" s="125" t="s">
        <v>949</v>
      </c>
      <c r="D539" s="209" t="s">
        <v>1007</v>
      </c>
      <c r="E539" s="126">
        <v>13</v>
      </c>
      <c r="F539" s="135">
        <v>0</v>
      </c>
      <c r="G539" s="145">
        <f t="shared" si="300"/>
        <v>0</v>
      </c>
      <c r="H539" s="126">
        <f t="shared" si="301"/>
        <v>0</v>
      </c>
      <c r="I539" s="146">
        <f t="shared" si="302"/>
        <v>0</v>
      </c>
      <c r="J539" s="219">
        <v>0.158</v>
      </c>
      <c r="K539" s="220">
        <f t="shared" si="303"/>
        <v>2.054</v>
      </c>
      <c r="L539" s="153" t="s">
        <v>1039</v>
      </c>
      <c r="Z539" s="27">
        <f t="shared" si="304"/>
        <v>0</v>
      </c>
      <c r="AB539" s="27">
        <f t="shared" si="305"/>
        <v>0</v>
      </c>
      <c r="AC539" s="27">
        <f t="shared" si="306"/>
        <v>0</v>
      </c>
      <c r="AD539" s="27">
        <f t="shared" si="307"/>
        <v>0</v>
      </c>
      <c r="AE539" s="27">
        <f t="shared" si="308"/>
        <v>0</v>
      </c>
      <c r="AF539" s="27">
        <f t="shared" si="309"/>
        <v>0</v>
      </c>
      <c r="AG539" s="27">
        <f t="shared" si="310"/>
        <v>0</v>
      </c>
      <c r="AH539" s="27">
        <f t="shared" si="311"/>
        <v>0</v>
      </c>
      <c r="AI539" s="20"/>
      <c r="AJ539" s="14">
        <f t="shared" si="312"/>
        <v>0</v>
      </c>
      <c r="AK539" s="14">
        <f t="shared" si="313"/>
        <v>0</v>
      </c>
      <c r="AL539" s="14">
        <f t="shared" si="314"/>
        <v>0</v>
      </c>
      <c r="AN539" s="27">
        <v>21</v>
      </c>
      <c r="AO539" s="27">
        <f t="shared" si="315"/>
        <v>0</v>
      </c>
      <c r="AP539" s="27">
        <f t="shared" si="316"/>
        <v>0</v>
      </c>
      <c r="AQ539" s="24" t="s">
        <v>1050</v>
      </c>
      <c r="AV539" s="27">
        <f t="shared" si="317"/>
        <v>0</v>
      </c>
      <c r="AW539" s="27">
        <f t="shared" si="318"/>
        <v>0</v>
      </c>
      <c r="AX539" s="27">
        <f t="shared" si="319"/>
        <v>0</v>
      </c>
      <c r="AY539" s="28" t="s">
        <v>1092</v>
      </c>
      <c r="AZ539" s="28" t="s">
        <v>1105</v>
      </c>
      <c r="BA539" s="20" t="s">
        <v>1106</v>
      </c>
      <c r="BC539" s="27">
        <f t="shared" si="320"/>
        <v>0</v>
      </c>
      <c r="BD539" s="27">
        <f t="shared" si="321"/>
        <v>0</v>
      </c>
      <c r="BE539" s="27">
        <v>0</v>
      </c>
      <c r="BF539" s="27">
        <f t="shared" si="322"/>
        <v>2.054</v>
      </c>
      <c r="BH539" s="14">
        <f t="shared" si="323"/>
        <v>0</v>
      </c>
      <c r="BI539" s="14">
        <f t="shared" si="324"/>
        <v>0</v>
      </c>
      <c r="BJ539" s="14">
        <f t="shared" si="325"/>
        <v>0</v>
      </c>
    </row>
    <row r="540" spans="1:62" ht="12.75">
      <c r="A540" s="123" t="s">
        <v>271</v>
      </c>
      <c r="B540" s="124" t="s">
        <v>594</v>
      </c>
      <c r="C540" s="125" t="s">
        <v>950</v>
      </c>
      <c r="D540" s="209" t="s">
        <v>1011</v>
      </c>
      <c r="E540" s="126">
        <f>+E541</f>
        <v>6790.831351658002</v>
      </c>
      <c r="F540" s="135">
        <v>0</v>
      </c>
      <c r="G540" s="145">
        <f t="shared" si="300"/>
        <v>0</v>
      </c>
      <c r="H540" s="126">
        <f t="shared" si="301"/>
        <v>0</v>
      </c>
      <c r="I540" s="146">
        <f t="shared" si="302"/>
        <v>0</v>
      </c>
      <c r="J540" s="219">
        <v>1</v>
      </c>
      <c r="K540" s="220">
        <f t="shared" si="303"/>
        <v>6790.831351658002</v>
      </c>
      <c r="L540" s="153" t="s">
        <v>1039</v>
      </c>
      <c r="Z540" s="27">
        <f t="shared" si="304"/>
        <v>0</v>
      </c>
      <c r="AB540" s="27">
        <f t="shared" si="305"/>
        <v>0</v>
      </c>
      <c r="AC540" s="27">
        <f t="shared" si="306"/>
        <v>0</v>
      </c>
      <c r="AD540" s="27">
        <f t="shared" si="307"/>
        <v>0</v>
      </c>
      <c r="AE540" s="27">
        <f t="shared" si="308"/>
        <v>0</v>
      </c>
      <c r="AF540" s="27">
        <f t="shared" si="309"/>
        <v>0</v>
      </c>
      <c r="AG540" s="27">
        <f t="shared" si="310"/>
        <v>0</v>
      </c>
      <c r="AH540" s="27">
        <f t="shared" si="311"/>
        <v>0</v>
      </c>
      <c r="AI540" s="20"/>
      <c r="AJ540" s="14">
        <f t="shared" si="312"/>
        <v>0</v>
      </c>
      <c r="AK540" s="14">
        <f t="shared" si="313"/>
        <v>0</v>
      </c>
      <c r="AL540" s="14">
        <f t="shared" si="314"/>
        <v>0</v>
      </c>
      <c r="AN540" s="27">
        <v>21</v>
      </c>
      <c r="AO540" s="27">
        <f t="shared" si="315"/>
        <v>0</v>
      </c>
      <c r="AP540" s="27">
        <f t="shared" si="316"/>
        <v>0</v>
      </c>
      <c r="AQ540" s="24" t="s">
        <v>1050</v>
      </c>
      <c r="AV540" s="27">
        <f t="shared" si="317"/>
        <v>0</v>
      </c>
      <c r="AW540" s="27">
        <f t="shared" si="318"/>
        <v>0</v>
      </c>
      <c r="AX540" s="27">
        <f t="shared" si="319"/>
        <v>0</v>
      </c>
      <c r="AY540" s="28" t="s">
        <v>1092</v>
      </c>
      <c r="AZ540" s="28" t="s">
        <v>1105</v>
      </c>
      <c r="BA540" s="20" t="s">
        <v>1106</v>
      </c>
      <c r="BC540" s="27">
        <f t="shared" si="320"/>
        <v>0</v>
      </c>
      <c r="BD540" s="27">
        <f t="shared" si="321"/>
        <v>0</v>
      </c>
      <c r="BE540" s="27">
        <v>0</v>
      </c>
      <c r="BF540" s="27">
        <f t="shared" si="322"/>
        <v>6790.831351658002</v>
      </c>
      <c r="BH540" s="14">
        <f t="shared" si="323"/>
        <v>0</v>
      </c>
      <c r="BI540" s="14">
        <f t="shared" si="324"/>
        <v>0</v>
      </c>
      <c r="BJ540" s="14">
        <f t="shared" si="325"/>
        <v>0</v>
      </c>
    </row>
    <row r="541" spans="1:62" ht="12.75">
      <c r="A541" s="123"/>
      <c r="B541" s="124"/>
      <c r="C541" s="99" t="s">
        <v>1828</v>
      </c>
      <c r="D541" s="100" t="s">
        <v>1011</v>
      </c>
      <c r="E541" s="101">
        <f>+(E165+E167)*1.67*1.2*1.05</f>
        <v>6790.831351658002</v>
      </c>
      <c r="F541" s="135"/>
      <c r="G541" s="145"/>
      <c r="H541" s="126"/>
      <c r="I541" s="146"/>
      <c r="J541" s="219"/>
      <c r="K541" s="220"/>
      <c r="L541" s="153"/>
      <c r="Z541" s="27"/>
      <c r="AB541" s="27"/>
      <c r="AC541" s="27"/>
      <c r="AD541" s="27"/>
      <c r="AE541" s="27"/>
      <c r="AF541" s="27"/>
      <c r="AG541" s="27"/>
      <c r="AH541" s="27"/>
      <c r="AI541" s="20"/>
      <c r="AJ541" s="14"/>
      <c r="AK541" s="14"/>
      <c r="AL541" s="14"/>
      <c r="AN541" s="27"/>
      <c r="AO541" s="27"/>
      <c r="AP541" s="27"/>
      <c r="AQ541" s="24"/>
      <c r="AV541" s="27"/>
      <c r="AW541" s="27"/>
      <c r="AX541" s="27"/>
      <c r="AY541" s="28"/>
      <c r="AZ541" s="28"/>
      <c r="BA541" s="20"/>
      <c r="BC541" s="27"/>
      <c r="BD541" s="27"/>
      <c r="BE541" s="27"/>
      <c r="BF541" s="27"/>
      <c r="BH541" s="14"/>
      <c r="BI541" s="14"/>
      <c r="BJ541" s="14"/>
    </row>
    <row r="542" spans="1:62" ht="12.75">
      <c r="A542" s="123" t="s">
        <v>272</v>
      </c>
      <c r="B542" s="124" t="s">
        <v>595</v>
      </c>
      <c r="C542" s="125" t="s">
        <v>951</v>
      </c>
      <c r="D542" s="209" t="s">
        <v>1011</v>
      </c>
      <c r="E542" s="126">
        <f>+E545</f>
        <v>4.1070504</v>
      </c>
      <c r="F542" s="135">
        <v>0</v>
      </c>
      <c r="G542" s="145">
        <f t="shared" si="300"/>
        <v>0</v>
      </c>
      <c r="H542" s="126">
        <f t="shared" si="301"/>
        <v>0</v>
      </c>
      <c r="I542" s="146">
        <f t="shared" si="302"/>
        <v>0</v>
      </c>
      <c r="J542" s="219">
        <v>1</v>
      </c>
      <c r="K542" s="220">
        <f t="shared" si="303"/>
        <v>4.1070504</v>
      </c>
      <c r="L542" s="153" t="s">
        <v>1039</v>
      </c>
      <c r="Z542" s="27">
        <f t="shared" si="304"/>
        <v>0</v>
      </c>
      <c r="AB542" s="27">
        <f t="shared" si="305"/>
        <v>0</v>
      </c>
      <c r="AC542" s="27">
        <f t="shared" si="306"/>
        <v>0</v>
      </c>
      <c r="AD542" s="27">
        <f t="shared" si="307"/>
        <v>0</v>
      </c>
      <c r="AE542" s="27">
        <f t="shared" si="308"/>
        <v>0</v>
      </c>
      <c r="AF542" s="27">
        <f t="shared" si="309"/>
        <v>0</v>
      </c>
      <c r="AG542" s="27">
        <f t="shared" si="310"/>
        <v>0</v>
      </c>
      <c r="AH542" s="27">
        <f t="shared" si="311"/>
        <v>0</v>
      </c>
      <c r="AI542" s="20"/>
      <c r="AJ542" s="14">
        <f t="shared" si="312"/>
        <v>0</v>
      </c>
      <c r="AK542" s="14">
        <f t="shared" si="313"/>
        <v>0</v>
      </c>
      <c r="AL542" s="14">
        <f t="shared" si="314"/>
        <v>0</v>
      </c>
      <c r="AN542" s="27">
        <v>21</v>
      </c>
      <c r="AO542" s="27">
        <f t="shared" si="315"/>
        <v>0</v>
      </c>
      <c r="AP542" s="27">
        <f t="shared" si="316"/>
        <v>0</v>
      </c>
      <c r="AQ542" s="24" t="s">
        <v>1050</v>
      </c>
      <c r="AV542" s="27">
        <f t="shared" si="317"/>
        <v>0</v>
      </c>
      <c r="AW542" s="27">
        <f t="shared" si="318"/>
        <v>0</v>
      </c>
      <c r="AX542" s="27">
        <f t="shared" si="319"/>
        <v>0</v>
      </c>
      <c r="AY542" s="28" t="s">
        <v>1092</v>
      </c>
      <c r="AZ542" s="28" t="s">
        <v>1105</v>
      </c>
      <c r="BA542" s="20" t="s">
        <v>1106</v>
      </c>
      <c r="BC542" s="27">
        <f t="shared" si="320"/>
        <v>0</v>
      </c>
      <c r="BD542" s="27">
        <f t="shared" si="321"/>
        <v>0</v>
      </c>
      <c r="BE542" s="27">
        <v>0</v>
      </c>
      <c r="BF542" s="27">
        <f t="shared" si="322"/>
        <v>4.1070504</v>
      </c>
      <c r="BH542" s="14">
        <f t="shared" si="323"/>
        <v>0</v>
      </c>
      <c r="BI542" s="14">
        <f t="shared" si="324"/>
        <v>0</v>
      </c>
      <c r="BJ542" s="14">
        <f t="shared" si="325"/>
        <v>0</v>
      </c>
    </row>
    <row r="543" spans="1:62" ht="12.75">
      <c r="A543" s="123"/>
      <c r="B543" s="124"/>
      <c r="C543" s="99" t="s">
        <v>1829</v>
      </c>
      <c r="D543" s="100" t="s">
        <v>1005</v>
      </c>
      <c r="E543" s="101">
        <f>+(59.346+72.53)*0.1*1.02</f>
        <v>13.451352000000002</v>
      </c>
      <c r="F543" s="135"/>
      <c r="G543" s="145"/>
      <c r="H543" s="126"/>
      <c r="I543" s="146"/>
      <c r="J543" s="219"/>
      <c r="K543" s="220"/>
      <c r="L543" s="153"/>
      <c r="Z543" s="27"/>
      <c r="AB543" s="27"/>
      <c r="AC543" s="27"/>
      <c r="AD543" s="27"/>
      <c r="AE543" s="27"/>
      <c r="AF543" s="27"/>
      <c r="AG543" s="27"/>
      <c r="AH543" s="27"/>
      <c r="AI543" s="20"/>
      <c r="AJ543" s="14"/>
      <c r="AK543" s="14"/>
      <c r="AL543" s="14"/>
      <c r="AN543" s="27"/>
      <c r="AO543" s="27"/>
      <c r="AP543" s="27"/>
      <c r="AQ543" s="24"/>
      <c r="AV543" s="27"/>
      <c r="AW543" s="27"/>
      <c r="AX543" s="27"/>
      <c r="AY543" s="28"/>
      <c r="AZ543" s="28"/>
      <c r="BA543" s="20"/>
      <c r="BC543" s="27"/>
      <c r="BD543" s="27"/>
      <c r="BE543" s="27"/>
      <c r="BF543" s="27"/>
      <c r="BH543" s="14"/>
      <c r="BI543" s="14"/>
      <c r="BJ543" s="14"/>
    </row>
    <row r="544" spans="1:62" ht="25.5">
      <c r="A544" s="123"/>
      <c r="B544" s="124"/>
      <c r="C544" s="99" t="s">
        <v>1830</v>
      </c>
      <c r="D544" s="100" t="s">
        <v>1005</v>
      </c>
      <c r="E544" s="101">
        <f>+(3.2*2.5-1.1*1.1+0.62*0.25)*1.02</f>
        <v>7.083900000000001</v>
      </c>
      <c r="F544" s="135"/>
      <c r="G544" s="145"/>
      <c r="H544" s="126"/>
      <c r="I544" s="146"/>
      <c r="J544" s="219"/>
      <c r="K544" s="220"/>
      <c r="L544" s="153"/>
      <c r="Z544" s="27"/>
      <c r="AB544" s="27"/>
      <c r="AC544" s="27"/>
      <c r="AD544" s="27"/>
      <c r="AE544" s="27"/>
      <c r="AF544" s="27"/>
      <c r="AG544" s="27"/>
      <c r="AH544" s="27"/>
      <c r="AI544" s="20"/>
      <c r="AJ544" s="14"/>
      <c r="AK544" s="14"/>
      <c r="AL544" s="14"/>
      <c r="AN544" s="27"/>
      <c r="AO544" s="27"/>
      <c r="AP544" s="27"/>
      <c r="AQ544" s="24"/>
      <c r="AV544" s="27"/>
      <c r="AW544" s="27"/>
      <c r="AX544" s="27"/>
      <c r="AY544" s="28"/>
      <c r="AZ544" s="28"/>
      <c r="BA544" s="20"/>
      <c r="BC544" s="27"/>
      <c r="BD544" s="27"/>
      <c r="BE544" s="27"/>
      <c r="BF544" s="27"/>
      <c r="BH544" s="14"/>
      <c r="BI544" s="14"/>
      <c r="BJ544" s="14"/>
    </row>
    <row r="545" spans="1:62" ht="12.75">
      <c r="A545" s="123"/>
      <c r="B545" s="124"/>
      <c r="C545" s="99" t="s">
        <v>1831</v>
      </c>
      <c r="D545" s="100" t="s">
        <v>1011</v>
      </c>
      <c r="E545" s="101">
        <f>+(E543+E544)/5</f>
        <v>4.1070504</v>
      </c>
      <c r="F545" s="135"/>
      <c r="G545" s="145"/>
      <c r="H545" s="126"/>
      <c r="I545" s="146"/>
      <c r="J545" s="219"/>
      <c r="K545" s="220"/>
      <c r="L545" s="153"/>
      <c r="Z545" s="27"/>
      <c r="AB545" s="27"/>
      <c r="AC545" s="27"/>
      <c r="AD545" s="27"/>
      <c r="AE545" s="27"/>
      <c r="AF545" s="27"/>
      <c r="AG545" s="27"/>
      <c r="AH545" s="27"/>
      <c r="AI545" s="20"/>
      <c r="AJ545" s="14"/>
      <c r="AK545" s="14"/>
      <c r="AL545" s="14"/>
      <c r="AN545" s="27"/>
      <c r="AO545" s="27"/>
      <c r="AP545" s="27"/>
      <c r="AQ545" s="24"/>
      <c r="AV545" s="27"/>
      <c r="AW545" s="27"/>
      <c r="AX545" s="27"/>
      <c r="AY545" s="28"/>
      <c r="AZ545" s="28"/>
      <c r="BA545" s="20"/>
      <c r="BC545" s="27"/>
      <c r="BD545" s="27"/>
      <c r="BE545" s="27"/>
      <c r="BF545" s="27"/>
      <c r="BH545" s="14"/>
      <c r="BI545" s="14"/>
      <c r="BJ545" s="14"/>
    </row>
    <row r="546" spans="1:62" ht="12.75">
      <c r="A546" s="123" t="s">
        <v>273</v>
      </c>
      <c r="B546" s="124" t="s">
        <v>596</v>
      </c>
      <c r="C546" s="125" t="s">
        <v>952</v>
      </c>
      <c r="D546" s="209" t="s">
        <v>1007</v>
      </c>
      <c r="E546" s="126">
        <v>1</v>
      </c>
      <c r="F546" s="135">
        <v>0</v>
      </c>
      <c r="G546" s="145">
        <f t="shared" si="300"/>
        <v>0</v>
      </c>
      <c r="H546" s="126">
        <f t="shared" si="301"/>
        <v>0</v>
      </c>
      <c r="I546" s="146">
        <f t="shared" si="302"/>
        <v>0</v>
      </c>
      <c r="J546" s="219">
        <v>1.16</v>
      </c>
      <c r="K546" s="220">
        <f t="shared" si="303"/>
        <v>1.16</v>
      </c>
      <c r="L546" s="153"/>
      <c r="Z546" s="27">
        <f t="shared" si="304"/>
        <v>0</v>
      </c>
      <c r="AB546" s="27">
        <f t="shared" si="305"/>
        <v>0</v>
      </c>
      <c r="AC546" s="27">
        <f t="shared" si="306"/>
        <v>0</v>
      </c>
      <c r="AD546" s="27">
        <f t="shared" si="307"/>
        <v>0</v>
      </c>
      <c r="AE546" s="27">
        <f t="shared" si="308"/>
        <v>0</v>
      </c>
      <c r="AF546" s="27">
        <f t="shared" si="309"/>
        <v>0</v>
      </c>
      <c r="AG546" s="27">
        <f t="shared" si="310"/>
        <v>0</v>
      </c>
      <c r="AH546" s="27">
        <f t="shared" si="311"/>
        <v>0</v>
      </c>
      <c r="AI546" s="20"/>
      <c r="AJ546" s="14">
        <f t="shared" si="312"/>
        <v>0</v>
      </c>
      <c r="AK546" s="14">
        <f t="shared" si="313"/>
        <v>0</v>
      </c>
      <c r="AL546" s="14">
        <f t="shared" si="314"/>
        <v>0</v>
      </c>
      <c r="AN546" s="27">
        <v>21</v>
      </c>
      <c r="AO546" s="27">
        <f t="shared" si="315"/>
        <v>0</v>
      </c>
      <c r="AP546" s="27">
        <f t="shared" si="316"/>
        <v>0</v>
      </c>
      <c r="AQ546" s="24" t="s">
        <v>1050</v>
      </c>
      <c r="AV546" s="27">
        <f t="shared" si="317"/>
        <v>0</v>
      </c>
      <c r="AW546" s="27">
        <f t="shared" si="318"/>
        <v>0</v>
      </c>
      <c r="AX546" s="27">
        <f t="shared" si="319"/>
        <v>0</v>
      </c>
      <c r="AY546" s="28" t="s">
        <v>1092</v>
      </c>
      <c r="AZ546" s="28" t="s">
        <v>1105</v>
      </c>
      <c r="BA546" s="20" t="s">
        <v>1106</v>
      </c>
      <c r="BC546" s="27">
        <f t="shared" si="320"/>
        <v>0</v>
      </c>
      <c r="BD546" s="27">
        <f t="shared" si="321"/>
        <v>0</v>
      </c>
      <c r="BE546" s="27">
        <v>0</v>
      </c>
      <c r="BF546" s="27">
        <f t="shared" si="322"/>
        <v>1.16</v>
      </c>
      <c r="BH546" s="14">
        <f t="shared" si="323"/>
        <v>0</v>
      </c>
      <c r="BI546" s="14">
        <f t="shared" si="324"/>
        <v>0</v>
      </c>
      <c r="BJ546" s="14">
        <f t="shared" si="325"/>
        <v>0</v>
      </c>
    </row>
    <row r="547" spans="1:62" ht="12.75">
      <c r="A547" s="123" t="s">
        <v>274</v>
      </c>
      <c r="B547" s="124" t="s">
        <v>597</v>
      </c>
      <c r="C547" s="125" t="s">
        <v>953</v>
      </c>
      <c r="D547" s="209" t="s">
        <v>1007</v>
      </c>
      <c r="E547" s="126">
        <f>+E548</f>
        <v>37.37</v>
      </c>
      <c r="F547" s="135">
        <v>0</v>
      </c>
      <c r="G547" s="145">
        <f t="shared" si="300"/>
        <v>0</v>
      </c>
      <c r="H547" s="126">
        <f t="shared" si="301"/>
        <v>0</v>
      </c>
      <c r="I547" s="146">
        <f t="shared" si="302"/>
        <v>0</v>
      </c>
      <c r="J547" s="219">
        <v>0.04477</v>
      </c>
      <c r="K547" s="220">
        <f t="shared" si="303"/>
        <v>1.6730548999999997</v>
      </c>
      <c r="L547" s="153" t="s">
        <v>1039</v>
      </c>
      <c r="Z547" s="27">
        <f t="shared" si="304"/>
        <v>0</v>
      </c>
      <c r="AB547" s="27">
        <f t="shared" si="305"/>
        <v>0</v>
      </c>
      <c r="AC547" s="27">
        <f t="shared" si="306"/>
        <v>0</v>
      </c>
      <c r="AD547" s="27">
        <f t="shared" si="307"/>
        <v>0</v>
      </c>
      <c r="AE547" s="27">
        <f t="shared" si="308"/>
        <v>0</v>
      </c>
      <c r="AF547" s="27">
        <f t="shared" si="309"/>
        <v>0</v>
      </c>
      <c r="AG547" s="27">
        <f t="shared" si="310"/>
        <v>0</v>
      </c>
      <c r="AH547" s="27">
        <f t="shared" si="311"/>
        <v>0</v>
      </c>
      <c r="AI547" s="20"/>
      <c r="AJ547" s="14">
        <f t="shared" si="312"/>
        <v>0</v>
      </c>
      <c r="AK547" s="14">
        <f t="shared" si="313"/>
        <v>0</v>
      </c>
      <c r="AL547" s="14">
        <f t="shared" si="314"/>
        <v>0</v>
      </c>
      <c r="AN547" s="27">
        <v>21</v>
      </c>
      <c r="AO547" s="27">
        <f t="shared" si="315"/>
        <v>0</v>
      </c>
      <c r="AP547" s="27">
        <f t="shared" si="316"/>
        <v>0</v>
      </c>
      <c r="AQ547" s="24" t="s">
        <v>1050</v>
      </c>
      <c r="AV547" s="27">
        <f t="shared" si="317"/>
        <v>0</v>
      </c>
      <c r="AW547" s="27">
        <f t="shared" si="318"/>
        <v>0</v>
      </c>
      <c r="AX547" s="27">
        <f t="shared" si="319"/>
        <v>0</v>
      </c>
      <c r="AY547" s="28" t="s">
        <v>1092</v>
      </c>
      <c r="AZ547" s="28" t="s">
        <v>1105</v>
      </c>
      <c r="BA547" s="20" t="s">
        <v>1106</v>
      </c>
      <c r="BC547" s="27">
        <f t="shared" si="320"/>
        <v>0</v>
      </c>
      <c r="BD547" s="27">
        <f t="shared" si="321"/>
        <v>0</v>
      </c>
      <c r="BE547" s="27">
        <v>0</v>
      </c>
      <c r="BF547" s="27">
        <f t="shared" si="322"/>
        <v>1.6730548999999997</v>
      </c>
      <c r="BH547" s="14">
        <f t="shared" si="323"/>
        <v>0</v>
      </c>
      <c r="BI547" s="14">
        <f t="shared" si="324"/>
        <v>0</v>
      </c>
      <c r="BJ547" s="14">
        <f t="shared" si="325"/>
        <v>0</v>
      </c>
    </row>
    <row r="548" spans="1:62" ht="12.75">
      <c r="A548" s="123"/>
      <c r="B548" s="124"/>
      <c r="C548" s="99" t="s">
        <v>1832</v>
      </c>
      <c r="D548" s="100" t="s">
        <v>1007</v>
      </c>
      <c r="E548" s="101">
        <f>+E51*1.01</f>
        <v>37.37</v>
      </c>
      <c r="F548" s="135"/>
      <c r="G548" s="145"/>
      <c r="H548" s="126"/>
      <c r="I548" s="146"/>
      <c r="J548" s="219"/>
      <c r="K548" s="220"/>
      <c r="L548" s="153"/>
      <c r="Z548" s="27"/>
      <c r="AB548" s="27"/>
      <c r="AC548" s="27"/>
      <c r="AD548" s="27"/>
      <c r="AE548" s="27"/>
      <c r="AF548" s="27"/>
      <c r="AG548" s="27"/>
      <c r="AH548" s="27"/>
      <c r="AI548" s="20"/>
      <c r="AJ548" s="14"/>
      <c r="AK548" s="14"/>
      <c r="AL548" s="14"/>
      <c r="AN548" s="27"/>
      <c r="AO548" s="27"/>
      <c r="AP548" s="27"/>
      <c r="AQ548" s="24"/>
      <c r="AV548" s="27"/>
      <c r="AW548" s="27"/>
      <c r="AX548" s="27"/>
      <c r="AY548" s="28"/>
      <c r="AZ548" s="28"/>
      <c r="BA548" s="20"/>
      <c r="BC548" s="27"/>
      <c r="BD548" s="27"/>
      <c r="BE548" s="27"/>
      <c r="BF548" s="27"/>
      <c r="BH548" s="14"/>
      <c r="BI548" s="14"/>
      <c r="BJ548" s="14"/>
    </row>
    <row r="549" spans="1:62" ht="12.75">
      <c r="A549" s="123" t="s">
        <v>275</v>
      </c>
      <c r="B549" s="124" t="s">
        <v>598</v>
      </c>
      <c r="C549" s="125" t="s">
        <v>954</v>
      </c>
      <c r="D549" s="209" t="s">
        <v>1007</v>
      </c>
      <c r="E549" s="126">
        <f>+E550</f>
        <v>41.410000000000004</v>
      </c>
      <c r="F549" s="135">
        <v>0</v>
      </c>
      <c r="G549" s="145">
        <f t="shared" si="300"/>
        <v>0</v>
      </c>
      <c r="H549" s="126">
        <f t="shared" si="301"/>
        <v>0</v>
      </c>
      <c r="I549" s="146">
        <f t="shared" si="302"/>
        <v>0</v>
      </c>
      <c r="J549" s="219">
        <v>0.08197</v>
      </c>
      <c r="K549" s="220">
        <f t="shared" si="303"/>
        <v>3.3943777</v>
      </c>
      <c r="L549" s="153" t="s">
        <v>1039</v>
      </c>
      <c r="Z549" s="27">
        <f t="shared" si="304"/>
        <v>0</v>
      </c>
      <c r="AB549" s="27">
        <f t="shared" si="305"/>
        <v>0</v>
      </c>
      <c r="AC549" s="27">
        <f t="shared" si="306"/>
        <v>0</v>
      </c>
      <c r="AD549" s="27">
        <f t="shared" si="307"/>
        <v>0</v>
      </c>
      <c r="AE549" s="27">
        <f t="shared" si="308"/>
        <v>0</v>
      </c>
      <c r="AF549" s="27">
        <f t="shared" si="309"/>
        <v>0</v>
      </c>
      <c r="AG549" s="27">
        <f t="shared" si="310"/>
        <v>0</v>
      </c>
      <c r="AH549" s="27">
        <f t="shared" si="311"/>
        <v>0</v>
      </c>
      <c r="AI549" s="20"/>
      <c r="AJ549" s="14">
        <f t="shared" si="312"/>
        <v>0</v>
      </c>
      <c r="AK549" s="14">
        <f t="shared" si="313"/>
        <v>0</v>
      </c>
      <c r="AL549" s="14">
        <f t="shared" si="314"/>
        <v>0</v>
      </c>
      <c r="AN549" s="27">
        <v>21</v>
      </c>
      <c r="AO549" s="27">
        <f t="shared" si="315"/>
        <v>0</v>
      </c>
      <c r="AP549" s="27">
        <f t="shared" si="316"/>
        <v>0</v>
      </c>
      <c r="AQ549" s="24" t="s">
        <v>1050</v>
      </c>
      <c r="AV549" s="27">
        <f t="shared" si="317"/>
        <v>0</v>
      </c>
      <c r="AW549" s="27">
        <f t="shared" si="318"/>
        <v>0</v>
      </c>
      <c r="AX549" s="27">
        <f t="shared" si="319"/>
        <v>0</v>
      </c>
      <c r="AY549" s="28" t="s">
        <v>1092</v>
      </c>
      <c r="AZ549" s="28" t="s">
        <v>1105</v>
      </c>
      <c r="BA549" s="20" t="s">
        <v>1106</v>
      </c>
      <c r="BC549" s="27">
        <f t="shared" si="320"/>
        <v>0</v>
      </c>
      <c r="BD549" s="27">
        <f t="shared" si="321"/>
        <v>0</v>
      </c>
      <c r="BE549" s="27">
        <v>0</v>
      </c>
      <c r="BF549" s="27">
        <f t="shared" si="322"/>
        <v>3.3943777</v>
      </c>
      <c r="BH549" s="14">
        <f t="shared" si="323"/>
        <v>0</v>
      </c>
      <c r="BI549" s="14">
        <f t="shared" si="324"/>
        <v>0</v>
      </c>
      <c r="BJ549" s="14">
        <f t="shared" si="325"/>
        <v>0</v>
      </c>
    </row>
    <row r="550" spans="1:62" ht="12.75">
      <c r="A550" s="123"/>
      <c r="B550" s="124"/>
      <c r="C550" s="99" t="s">
        <v>1833</v>
      </c>
      <c r="D550" s="100" t="s">
        <v>1007</v>
      </c>
      <c r="E550" s="101">
        <f>+E46*1.01</f>
        <v>41.410000000000004</v>
      </c>
      <c r="F550" s="135"/>
      <c r="G550" s="145"/>
      <c r="H550" s="126"/>
      <c r="I550" s="146"/>
      <c r="J550" s="219"/>
      <c r="K550" s="220"/>
      <c r="L550" s="153"/>
      <c r="Z550" s="27"/>
      <c r="AB550" s="27"/>
      <c r="AC550" s="27"/>
      <c r="AD550" s="27"/>
      <c r="AE550" s="27"/>
      <c r="AF550" s="27"/>
      <c r="AG550" s="27"/>
      <c r="AH550" s="27"/>
      <c r="AI550" s="20"/>
      <c r="AJ550" s="14"/>
      <c r="AK550" s="14"/>
      <c r="AL550" s="14"/>
      <c r="AN550" s="27"/>
      <c r="AO550" s="27"/>
      <c r="AP550" s="27"/>
      <c r="AQ550" s="24"/>
      <c r="AV550" s="27"/>
      <c r="AW550" s="27"/>
      <c r="AX550" s="27"/>
      <c r="AY550" s="28"/>
      <c r="AZ550" s="28"/>
      <c r="BA550" s="20"/>
      <c r="BC550" s="27"/>
      <c r="BD550" s="27"/>
      <c r="BE550" s="27"/>
      <c r="BF550" s="27"/>
      <c r="BH550" s="14"/>
      <c r="BI550" s="14"/>
      <c r="BJ550" s="14"/>
    </row>
    <row r="551" spans="1:62" ht="12.75">
      <c r="A551" s="123" t="s">
        <v>276</v>
      </c>
      <c r="B551" s="124" t="s">
        <v>599</v>
      </c>
      <c r="C551" s="125" t="s">
        <v>955</v>
      </c>
      <c r="D551" s="209" t="s">
        <v>1007</v>
      </c>
      <c r="E551" s="126">
        <v>16.16</v>
      </c>
      <c r="F551" s="135">
        <v>0</v>
      </c>
      <c r="G551" s="145">
        <f t="shared" si="300"/>
        <v>0</v>
      </c>
      <c r="H551" s="126">
        <f t="shared" si="301"/>
        <v>0</v>
      </c>
      <c r="I551" s="146">
        <f t="shared" si="302"/>
        <v>0</v>
      </c>
      <c r="J551" s="219">
        <v>0.25</v>
      </c>
      <c r="K551" s="220">
        <f t="shared" si="303"/>
        <v>4.04</v>
      </c>
      <c r="L551" s="153" t="s">
        <v>1039</v>
      </c>
      <c r="Z551" s="27">
        <f t="shared" si="304"/>
        <v>0</v>
      </c>
      <c r="AB551" s="27">
        <f t="shared" si="305"/>
        <v>0</v>
      </c>
      <c r="AC551" s="27">
        <f t="shared" si="306"/>
        <v>0</v>
      </c>
      <c r="AD551" s="27">
        <f t="shared" si="307"/>
        <v>0</v>
      </c>
      <c r="AE551" s="27">
        <f t="shared" si="308"/>
        <v>0</v>
      </c>
      <c r="AF551" s="27">
        <f t="shared" si="309"/>
        <v>0</v>
      </c>
      <c r="AG551" s="27">
        <f t="shared" si="310"/>
        <v>0</v>
      </c>
      <c r="AH551" s="27">
        <f t="shared" si="311"/>
        <v>0</v>
      </c>
      <c r="AI551" s="20"/>
      <c r="AJ551" s="14">
        <f t="shared" si="312"/>
        <v>0</v>
      </c>
      <c r="AK551" s="14">
        <f t="shared" si="313"/>
        <v>0</v>
      </c>
      <c r="AL551" s="14">
        <f t="shared" si="314"/>
        <v>0</v>
      </c>
      <c r="AN551" s="27">
        <v>21</v>
      </c>
      <c r="AO551" s="27">
        <f t="shared" si="315"/>
        <v>0</v>
      </c>
      <c r="AP551" s="27">
        <f t="shared" si="316"/>
        <v>0</v>
      </c>
      <c r="AQ551" s="24" t="s">
        <v>1050</v>
      </c>
      <c r="AV551" s="27">
        <f t="shared" si="317"/>
        <v>0</v>
      </c>
      <c r="AW551" s="27">
        <f t="shared" si="318"/>
        <v>0</v>
      </c>
      <c r="AX551" s="27">
        <f t="shared" si="319"/>
        <v>0</v>
      </c>
      <c r="AY551" s="28" t="s">
        <v>1092</v>
      </c>
      <c r="AZ551" s="28" t="s">
        <v>1105</v>
      </c>
      <c r="BA551" s="20" t="s">
        <v>1106</v>
      </c>
      <c r="BC551" s="27">
        <f t="shared" si="320"/>
        <v>0</v>
      </c>
      <c r="BD551" s="27">
        <f t="shared" si="321"/>
        <v>0</v>
      </c>
      <c r="BE551" s="27">
        <v>0</v>
      </c>
      <c r="BF551" s="27">
        <f t="shared" si="322"/>
        <v>4.04</v>
      </c>
      <c r="BH551" s="14">
        <f t="shared" si="323"/>
        <v>0</v>
      </c>
      <c r="BI551" s="14">
        <f t="shared" si="324"/>
        <v>0</v>
      </c>
      <c r="BJ551" s="14">
        <f t="shared" si="325"/>
        <v>0</v>
      </c>
    </row>
    <row r="552" spans="1:62" ht="12.75">
      <c r="A552" s="123" t="s">
        <v>277</v>
      </c>
      <c r="B552" s="124" t="s">
        <v>600</v>
      </c>
      <c r="C552" s="125" t="s">
        <v>956</v>
      </c>
      <c r="D552" s="209" t="s">
        <v>1007</v>
      </c>
      <c r="E552" s="126">
        <v>18.18</v>
      </c>
      <c r="F552" s="135">
        <v>0</v>
      </c>
      <c r="G552" s="145">
        <f t="shared" si="300"/>
        <v>0</v>
      </c>
      <c r="H552" s="126">
        <f t="shared" si="301"/>
        <v>0</v>
      </c>
      <c r="I552" s="146">
        <f t="shared" si="302"/>
        <v>0</v>
      </c>
      <c r="J552" s="219">
        <v>0.52</v>
      </c>
      <c r="K552" s="220">
        <f t="shared" si="303"/>
        <v>9.4536</v>
      </c>
      <c r="L552" s="153" t="s">
        <v>1039</v>
      </c>
      <c r="Z552" s="27">
        <f t="shared" si="304"/>
        <v>0</v>
      </c>
      <c r="AB552" s="27">
        <f t="shared" si="305"/>
        <v>0</v>
      </c>
      <c r="AC552" s="27">
        <f t="shared" si="306"/>
        <v>0</v>
      </c>
      <c r="AD552" s="27">
        <f t="shared" si="307"/>
        <v>0</v>
      </c>
      <c r="AE552" s="27">
        <f t="shared" si="308"/>
        <v>0</v>
      </c>
      <c r="AF552" s="27">
        <f t="shared" si="309"/>
        <v>0</v>
      </c>
      <c r="AG552" s="27">
        <f t="shared" si="310"/>
        <v>0</v>
      </c>
      <c r="AH552" s="27">
        <f t="shared" si="311"/>
        <v>0</v>
      </c>
      <c r="AI552" s="20"/>
      <c r="AJ552" s="14">
        <f t="shared" si="312"/>
        <v>0</v>
      </c>
      <c r="AK552" s="14">
        <f t="shared" si="313"/>
        <v>0</v>
      </c>
      <c r="AL552" s="14">
        <f t="shared" si="314"/>
        <v>0</v>
      </c>
      <c r="AN552" s="27">
        <v>21</v>
      </c>
      <c r="AO552" s="27">
        <f t="shared" si="315"/>
        <v>0</v>
      </c>
      <c r="AP552" s="27">
        <f t="shared" si="316"/>
        <v>0</v>
      </c>
      <c r="AQ552" s="24" t="s">
        <v>1050</v>
      </c>
      <c r="AV552" s="27">
        <f t="shared" si="317"/>
        <v>0</v>
      </c>
      <c r="AW552" s="27">
        <f t="shared" si="318"/>
        <v>0</v>
      </c>
      <c r="AX552" s="27">
        <f t="shared" si="319"/>
        <v>0</v>
      </c>
      <c r="AY552" s="28" t="s">
        <v>1092</v>
      </c>
      <c r="AZ552" s="28" t="s">
        <v>1105</v>
      </c>
      <c r="BA552" s="20" t="s">
        <v>1106</v>
      </c>
      <c r="BC552" s="27">
        <f t="shared" si="320"/>
        <v>0</v>
      </c>
      <c r="BD552" s="27">
        <f t="shared" si="321"/>
        <v>0</v>
      </c>
      <c r="BE552" s="27">
        <v>0</v>
      </c>
      <c r="BF552" s="27">
        <f t="shared" si="322"/>
        <v>9.4536</v>
      </c>
      <c r="BH552" s="14">
        <f t="shared" si="323"/>
        <v>0</v>
      </c>
      <c r="BI552" s="14">
        <f t="shared" si="324"/>
        <v>0</v>
      </c>
      <c r="BJ552" s="14">
        <f t="shared" si="325"/>
        <v>0</v>
      </c>
    </row>
    <row r="553" spans="1:62" ht="12.75">
      <c r="A553" s="123" t="s">
        <v>278</v>
      </c>
      <c r="B553" s="124" t="s">
        <v>601</v>
      </c>
      <c r="C553" s="125" t="s">
        <v>957</v>
      </c>
      <c r="D553" s="209" t="s">
        <v>1007</v>
      </c>
      <c r="E553" s="126">
        <v>37.37</v>
      </c>
      <c r="F553" s="135">
        <v>0</v>
      </c>
      <c r="G553" s="145">
        <f t="shared" si="300"/>
        <v>0</v>
      </c>
      <c r="H553" s="126">
        <f t="shared" si="301"/>
        <v>0</v>
      </c>
      <c r="I553" s="146">
        <f t="shared" si="302"/>
        <v>0</v>
      </c>
      <c r="J553" s="219">
        <v>1.035</v>
      </c>
      <c r="K553" s="220">
        <f t="shared" si="303"/>
        <v>38.677949999999996</v>
      </c>
      <c r="L553" s="153" t="s">
        <v>1039</v>
      </c>
      <c r="Z553" s="27">
        <f t="shared" si="304"/>
        <v>0</v>
      </c>
      <c r="AB553" s="27">
        <f t="shared" si="305"/>
        <v>0</v>
      </c>
      <c r="AC553" s="27">
        <f t="shared" si="306"/>
        <v>0</v>
      </c>
      <c r="AD553" s="27">
        <f t="shared" si="307"/>
        <v>0</v>
      </c>
      <c r="AE553" s="27">
        <f t="shared" si="308"/>
        <v>0</v>
      </c>
      <c r="AF553" s="27">
        <f t="shared" si="309"/>
        <v>0</v>
      </c>
      <c r="AG553" s="27">
        <f t="shared" si="310"/>
        <v>0</v>
      </c>
      <c r="AH553" s="27">
        <f t="shared" si="311"/>
        <v>0</v>
      </c>
      <c r="AI553" s="20"/>
      <c r="AJ553" s="14">
        <f t="shared" si="312"/>
        <v>0</v>
      </c>
      <c r="AK553" s="14">
        <f t="shared" si="313"/>
        <v>0</v>
      </c>
      <c r="AL553" s="14">
        <f t="shared" si="314"/>
        <v>0</v>
      </c>
      <c r="AN553" s="27">
        <v>21</v>
      </c>
      <c r="AO553" s="27">
        <f t="shared" si="315"/>
        <v>0</v>
      </c>
      <c r="AP553" s="27">
        <f t="shared" si="316"/>
        <v>0</v>
      </c>
      <c r="AQ553" s="24" t="s">
        <v>1050</v>
      </c>
      <c r="AV553" s="27">
        <f t="shared" si="317"/>
        <v>0</v>
      </c>
      <c r="AW553" s="27">
        <f t="shared" si="318"/>
        <v>0</v>
      </c>
      <c r="AX553" s="27">
        <f t="shared" si="319"/>
        <v>0</v>
      </c>
      <c r="AY553" s="28" t="s">
        <v>1092</v>
      </c>
      <c r="AZ553" s="28" t="s">
        <v>1105</v>
      </c>
      <c r="BA553" s="20" t="s">
        <v>1106</v>
      </c>
      <c r="BC553" s="27">
        <f t="shared" si="320"/>
        <v>0</v>
      </c>
      <c r="BD553" s="27">
        <f t="shared" si="321"/>
        <v>0</v>
      </c>
      <c r="BE553" s="27">
        <v>0</v>
      </c>
      <c r="BF553" s="27">
        <f t="shared" si="322"/>
        <v>38.677949999999996</v>
      </c>
      <c r="BH553" s="14">
        <f t="shared" si="323"/>
        <v>0</v>
      </c>
      <c r="BI553" s="14">
        <f t="shared" si="324"/>
        <v>0</v>
      </c>
      <c r="BJ553" s="14">
        <f t="shared" si="325"/>
        <v>0</v>
      </c>
    </row>
    <row r="554" spans="1:62" ht="12.75">
      <c r="A554" s="123" t="s">
        <v>279</v>
      </c>
      <c r="B554" s="124" t="s">
        <v>602</v>
      </c>
      <c r="C554" s="125" t="s">
        <v>958</v>
      </c>
      <c r="D554" s="209" t="s">
        <v>1007</v>
      </c>
      <c r="E554" s="126">
        <v>3</v>
      </c>
      <c r="F554" s="135">
        <v>0</v>
      </c>
      <c r="G554" s="145">
        <f t="shared" si="300"/>
        <v>0</v>
      </c>
      <c r="H554" s="126">
        <f t="shared" si="301"/>
        <v>0</v>
      </c>
      <c r="I554" s="146">
        <f t="shared" si="302"/>
        <v>0</v>
      </c>
      <c r="J554" s="219">
        <v>0</v>
      </c>
      <c r="K554" s="220">
        <f t="shared" si="303"/>
        <v>0</v>
      </c>
      <c r="L554" s="153"/>
      <c r="Z554" s="27">
        <f t="shared" si="304"/>
        <v>0</v>
      </c>
      <c r="AB554" s="27">
        <f t="shared" si="305"/>
        <v>0</v>
      </c>
      <c r="AC554" s="27">
        <f t="shared" si="306"/>
        <v>0</v>
      </c>
      <c r="AD554" s="27">
        <f t="shared" si="307"/>
        <v>0</v>
      </c>
      <c r="AE554" s="27">
        <f t="shared" si="308"/>
        <v>0</v>
      </c>
      <c r="AF554" s="27">
        <f t="shared" si="309"/>
        <v>0</v>
      </c>
      <c r="AG554" s="27">
        <f t="shared" si="310"/>
        <v>0</v>
      </c>
      <c r="AH554" s="27">
        <f t="shared" si="311"/>
        <v>0</v>
      </c>
      <c r="AI554" s="20"/>
      <c r="AJ554" s="14">
        <f t="shared" si="312"/>
        <v>0</v>
      </c>
      <c r="AK554" s="14">
        <f t="shared" si="313"/>
        <v>0</v>
      </c>
      <c r="AL554" s="14">
        <f t="shared" si="314"/>
        <v>0</v>
      </c>
      <c r="AN554" s="27">
        <v>21</v>
      </c>
      <c r="AO554" s="27">
        <f t="shared" si="315"/>
        <v>0</v>
      </c>
      <c r="AP554" s="27">
        <f t="shared" si="316"/>
        <v>0</v>
      </c>
      <c r="AQ554" s="24" t="s">
        <v>1050</v>
      </c>
      <c r="AV554" s="27">
        <f t="shared" si="317"/>
        <v>0</v>
      </c>
      <c r="AW554" s="27">
        <f t="shared" si="318"/>
        <v>0</v>
      </c>
      <c r="AX554" s="27">
        <f t="shared" si="319"/>
        <v>0</v>
      </c>
      <c r="AY554" s="28" t="s">
        <v>1092</v>
      </c>
      <c r="AZ554" s="28" t="s">
        <v>1105</v>
      </c>
      <c r="BA554" s="20" t="s">
        <v>1106</v>
      </c>
      <c r="BC554" s="27">
        <f t="shared" si="320"/>
        <v>0</v>
      </c>
      <c r="BD554" s="27">
        <f t="shared" si="321"/>
        <v>0</v>
      </c>
      <c r="BE554" s="27">
        <v>0</v>
      </c>
      <c r="BF554" s="27">
        <f t="shared" si="322"/>
        <v>0</v>
      </c>
      <c r="BH554" s="14">
        <f t="shared" si="323"/>
        <v>0</v>
      </c>
      <c r="BI554" s="14">
        <f t="shared" si="324"/>
        <v>0</v>
      </c>
      <c r="BJ554" s="14">
        <f t="shared" si="325"/>
        <v>0</v>
      </c>
    </row>
    <row r="555" spans="1:62" ht="12.75">
      <c r="A555" s="123"/>
      <c r="B555" s="124"/>
      <c r="C555" s="99" t="s">
        <v>1837</v>
      </c>
      <c r="D555" s="209"/>
      <c r="E555" s="126"/>
      <c r="F555" s="135"/>
      <c r="G555" s="145"/>
      <c r="H555" s="126"/>
      <c r="I555" s="146"/>
      <c r="J555" s="219"/>
      <c r="K555" s="220"/>
      <c r="L555" s="153"/>
      <c r="Z555" s="27"/>
      <c r="AB555" s="27"/>
      <c r="AC555" s="27"/>
      <c r="AD555" s="27"/>
      <c r="AE555" s="27"/>
      <c r="AF555" s="27"/>
      <c r="AG555" s="27"/>
      <c r="AH555" s="27"/>
      <c r="AI555" s="20"/>
      <c r="AJ555" s="14"/>
      <c r="AK555" s="14"/>
      <c r="AL555" s="14"/>
      <c r="AN555" s="27"/>
      <c r="AO555" s="27"/>
      <c r="AP555" s="27"/>
      <c r="AQ555" s="24"/>
      <c r="AV555" s="27"/>
      <c r="AW555" s="27"/>
      <c r="AX555" s="27"/>
      <c r="AY555" s="28"/>
      <c r="AZ555" s="28"/>
      <c r="BA555" s="20"/>
      <c r="BC555" s="27"/>
      <c r="BD555" s="27"/>
      <c r="BE555" s="27"/>
      <c r="BF555" s="27"/>
      <c r="BH555" s="14"/>
      <c r="BI555" s="14"/>
      <c r="BJ555" s="14"/>
    </row>
    <row r="556" spans="1:62" ht="12.75">
      <c r="A556" s="123" t="s">
        <v>280</v>
      </c>
      <c r="B556" s="124" t="s">
        <v>603</v>
      </c>
      <c r="C556" s="125" t="s">
        <v>959</v>
      </c>
      <c r="D556" s="209" t="s">
        <v>1007</v>
      </c>
      <c r="E556" s="126">
        <v>2</v>
      </c>
      <c r="F556" s="135">
        <v>0</v>
      </c>
      <c r="G556" s="145">
        <f t="shared" si="300"/>
        <v>0</v>
      </c>
      <c r="H556" s="126">
        <f t="shared" si="301"/>
        <v>0</v>
      </c>
      <c r="I556" s="146">
        <f t="shared" si="302"/>
        <v>0</v>
      </c>
      <c r="J556" s="219">
        <v>0</v>
      </c>
      <c r="K556" s="220">
        <f t="shared" si="303"/>
        <v>0</v>
      </c>
      <c r="L556" s="153"/>
      <c r="Z556" s="27">
        <f t="shared" si="304"/>
        <v>0</v>
      </c>
      <c r="AB556" s="27">
        <f t="shared" si="305"/>
        <v>0</v>
      </c>
      <c r="AC556" s="27">
        <f t="shared" si="306"/>
        <v>0</v>
      </c>
      <c r="AD556" s="27">
        <f t="shared" si="307"/>
        <v>0</v>
      </c>
      <c r="AE556" s="27">
        <f t="shared" si="308"/>
        <v>0</v>
      </c>
      <c r="AF556" s="27">
        <f t="shared" si="309"/>
        <v>0</v>
      </c>
      <c r="AG556" s="27">
        <f t="shared" si="310"/>
        <v>0</v>
      </c>
      <c r="AH556" s="27">
        <f t="shared" si="311"/>
        <v>0</v>
      </c>
      <c r="AI556" s="20"/>
      <c r="AJ556" s="14">
        <f t="shared" si="312"/>
        <v>0</v>
      </c>
      <c r="AK556" s="14">
        <f t="shared" si="313"/>
        <v>0</v>
      </c>
      <c r="AL556" s="14">
        <f t="shared" si="314"/>
        <v>0</v>
      </c>
      <c r="AN556" s="27">
        <v>21</v>
      </c>
      <c r="AO556" s="27">
        <f t="shared" si="315"/>
        <v>0</v>
      </c>
      <c r="AP556" s="27">
        <f t="shared" si="316"/>
        <v>0</v>
      </c>
      <c r="AQ556" s="24" t="s">
        <v>1050</v>
      </c>
      <c r="AV556" s="27">
        <f t="shared" si="317"/>
        <v>0</v>
      </c>
      <c r="AW556" s="27">
        <f t="shared" si="318"/>
        <v>0</v>
      </c>
      <c r="AX556" s="27">
        <f t="shared" si="319"/>
        <v>0</v>
      </c>
      <c r="AY556" s="28" t="s">
        <v>1092</v>
      </c>
      <c r="AZ556" s="28" t="s">
        <v>1105</v>
      </c>
      <c r="BA556" s="20" t="s">
        <v>1106</v>
      </c>
      <c r="BC556" s="27">
        <f t="shared" si="320"/>
        <v>0</v>
      </c>
      <c r="BD556" s="27">
        <f t="shared" si="321"/>
        <v>0</v>
      </c>
      <c r="BE556" s="27">
        <v>0</v>
      </c>
      <c r="BF556" s="27">
        <f t="shared" si="322"/>
        <v>0</v>
      </c>
      <c r="BH556" s="14">
        <f t="shared" si="323"/>
        <v>0</v>
      </c>
      <c r="BI556" s="14">
        <f t="shared" si="324"/>
        <v>0</v>
      </c>
      <c r="BJ556" s="14">
        <f t="shared" si="325"/>
        <v>0</v>
      </c>
    </row>
    <row r="557" spans="1:62" ht="12.75">
      <c r="A557" s="123" t="s">
        <v>281</v>
      </c>
      <c r="B557" s="124" t="s">
        <v>604</v>
      </c>
      <c r="C557" s="125" t="s">
        <v>960</v>
      </c>
      <c r="D557" s="209" t="s">
        <v>1007</v>
      </c>
      <c r="E557" s="126">
        <v>1</v>
      </c>
      <c r="F557" s="135">
        <v>0</v>
      </c>
      <c r="G557" s="145">
        <f t="shared" si="300"/>
        <v>0</v>
      </c>
      <c r="H557" s="126">
        <f t="shared" si="301"/>
        <v>0</v>
      </c>
      <c r="I557" s="146">
        <f t="shared" si="302"/>
        <v>0</v>
      </c>
      <c r="J557" s="219">
        <v>0</v>
      </c>
      <c r="K557" s="220">
        <f t="shared" si="303"/>
        <v>0</v>
      </c>
      <c r="L557" s="153"/>
      <c r="Z557" s="27">
        <f t="shared" si="304"/>
        <v>0</v>
      </c>
      <c r="AB557" s="27">
        <f t="shared" si="305"/>
        <v>0</v>
      </c>
      <c r="AC557" s="27">
        <f t="shared" si="306"/>
        <v>0</v>
      </c>
      <c r="AD557" s="27">
        <f t="shared" si="307"/>
        <v>0</v>
      </c>
      <c r="AE557" s="27">
        <f t="shared" si="308"/>
        <v>0</v>
      </c>
      <c r="AF557" s="27">
        <f t="shared" si="309"/>
        <v>0</v>
      </c>
      <c r="AG557" s="27">
        <f t="shared" si="310"/>
        <v>0</v>
      </c>
      <c r="AH557" s="27">
        <f t="shared" si="311"/>
        <v>0</v>
      </c>
      <c r="AI557" s="20"/>
      <c r="AJ557" s="14">
        <f t="shared" si="312"/>
        <v>0</v>
      </c>
      <c r="AK557" s="14">
        <f t="shared" si="313"/>
        <v>0</v>
      </c>
      <c r="AL557" s="14">
        <f t="shared" si="314"/>
        <v>0</v>
      </c>
      <c r="AN557" s="27">
        <v>21</v>
      </c>
      <c r="AO557" s="27">
        <f t="shared" si="315"/>
        <v>0</v>
      </c>
      <c r="AP557" s="27">
        <f t="shared" si="316"/>
        <v>0</v>
      </c>
      <c r="AQ557" s="24" t="s">
        <v>1050</v>
      </c>
      <c r="AV557" s="27">
        <f t="shared" si="317"/>
        <v>0</v>
      </c>
      <c r="AW557" s="27">
        <f t="shared" si="318"/>
        <v>0</v>
      </c>
      <c r="AX557" s="27">
        <f t="shared" si="319"/>
        <v>0</v>
      </c>
      <c r="AY557" s="28" t="s">
        <v>1092</v>
      </c>
      <c r="AZ557" s="28" t="s">
        <v>1105</v>
      </c>
      <c r="BA557" s="20" t="s">
        <v>1106</v>
      </c>
      <c r="BC557" s="27">
        <f t="shared" si="320"/>
        <v>0</v>
      </c>
      <c r="BD557" s="27">
        <f t="shared" si="321"/>
        <v>0</v>
      </c>
      <c r="BE557" s="27">
        <v>0</v>
      </c>
      <c r="BF557" s="27">
        <f t="shared" si="322"/>
        <v>0</v>
      </c>
      <c r="BH557" s="14">
        <f t="shared" si="323"/>
        <v>0</v>
      </c>
      <c r="BI557" s="14">
        <f t="shared" si="324"/>
        <v>0</v>
      </c>
      <c r="BJ557" s="14">
        <f t="shared" si="325"/>
        <v>0</v>
      </c>
    </row>
    <row r="558" spans="1:62" ht="12.75">
      <c r="A558" s="123" t="s">
        <v>282</v>
      </c>
      <c r="B558" s="124" t="s">
        <v>605</v>
      </c>
      <c r="C558" s="125" t="s">
        <v>961</v>
      </c>
      <c r="D558" s="209" t="s">
        <v>1007</v>
      </c>
      <c r="E558" s="126">
        <v>4.04</v>
      </c>
      <c r="F558" s="135">
        <v>0</v>
      </c>
      <c r="G558" s="145">
        <f t="shared" si="300"/>
        <v>0</v>
      </c>
      <c r="H558" s="126">
        <f t="shared" si="301"/>
        <v>0</v>
      </c>
      <c r="I558" s="146">
        <f t="shared" si="302"/>
        <v>0</v>
      </c>
      <c r="J558" s="219">
        <v>0.024</v>
      </c>
      <c r="K558" s="220">
        <f t="shared" si="303"/>
        <v>0.09696</v>
      </c>
      <c r="L558" s="153" t="s">
        <v>1039</v>
      </c>
      <c r="Z558" s="27">
        <f t="shared" si="304"/>
        <v>0</v>
      </c>
      <c r="AB558" s="27">
        <f t="shared" si="305"/>
        <v>0</v>
      </c>
      <c r="AC558" s="27">
        <f t="shared" si="306"/>
        <v>0</v>
      </c>
      <c r="AD558" s="27">
        <f t="shared" si="307"/>
        <v>0</v>
      </c>
      <c r="AE558" s="27">
        <f t="shared" si="308"/>
        <v>0</v>
      </c>
      <c r="AF558" s="27">
        <f t="shared" si="309"/>
        <v>0</v>
      </c>
      <c r="AG558" s="27">
        <f t="shared" si="310"/>
        <v>0</v>
      </c>
      <c r="AH558" s="27">
        <f t="shared" si="311"/>
        <v>0</v>
      </c>
      <c r="AI558" s="20"/>
      <c r="AJ558" s="14">
        <f t="shared" si="312"/>
        <v>0</v>
      </c>
      <c r="AK558" s="14">
        <f t="shared" si="313"/>
        <v>0</v>
      </c>
      <c r="AL558" s="14">
        <f t="shared" si="314"/>
        <v>0</v>
      </c>
      <c r="AN558" s="27">
        <v>21</v>
      </c>
      <c r="AO558" s="27">
        <f t="shared" si="315"/>
        <v>0</v>
      </c>
      <c r="AP558" s="27">
        <f t="shared" si="316"/>
        <v>0</v>
      </c>
      <c r="AQ558" s="24" t="s">
        <v>1050</v>
      </c>
      <c r="AV558" s="27">
        <f t="shared" si="317"/>
        <v>0</v>
      </c>
      <c r="AW558" s="27">
        <f t="shared" si="318"/>
        <v>0</v>
      </c>
      <c r="AX558" s="27">
        <f t="shared" si="319"/>
        <v>0</v>
      </c>
      <c r="AY558" s="28" t="s">
        <v>1092</v>
      </c>
      <c r="AZ558" s="28" t="s">
        <v>1105</v>
      </c>
      <c r="BA558" s="20" t="s">
        <v>1106</v>
      </c>
      <c r="BC558" s="27">
        <f t="shared" si="320"/>
        <v>0</v>
      </c>
      <c r="BD558" s="27">
        <f t="shared" si="321"/>
        <v>0</v>
      </c>
      <c r="BE558" s="27">
        <v>0</v>
      </c>
      <c r="BF558" s="27">
        <f t="shared" si="322"/>
        <v>0.09696</v>
      </c>
      <c r="BH558" s="14">
        <f t="shared" si="323"/>
        <v>0</v>
      </c>
      <c r="BI558" s="14">
        <f t="shared" si="324"/>
        <v>0</v>
      </c>
      <c r="BJ558" s="14">
        <f t="shared" si="325"/>
        <v>0</v>
      </c>
    </row>
    <row r="559" spans="1:62" ht="12.75">
      <c r="A559" s="123" t="s">
        <v>283</v>
      </c>
      <c r="B559" s="124" t="s">
        <v>606</v>
      </c>
      <c r="C559" s="125" t="s">
        <v>962</v>
      </c>
      <c r="D559" s="209" t="s">
        <v>1007</v>
      </c>
      <c r="E559" s="126">
        <v>11.11</v>
      </c>
      <c r="F559" s="135">
        <v>0</v>
      </c>
      <c r="G559" s="145">
        <f t="shared" si="300"/>
        <v>0</v>
      </c>
      <c r="H559" s="126">
        <f t="shared" si="301"/>
        <v>0</v>
      </c>
      <c r="I559" s="146">
        <f t="shared" si="302"/>
        <v>0</v>
      </c>
      <c r="J559" s="219">
        <v>0.039</v>
      </c>
      <c r="K559" s="220">
        <f t="shared" si="303"/>
        <v>0.43328999999999995</v>
      </c>
      <c r="L559" s="153" t="s">
        <v>1039</v>
      </c>
      <c r="Z559" s="27">
        <f t="shared" si="304"/>
        <v>0</v>
      </c>
      <c r="AB559" s="27">
        <f t="shared" si="305"/>
        <v>0</v>
      </c>
      <c r="AC559" s="27">
        <f t="shared" si="306"/>
        <v>0</v>
      </c>
      <c r="AD559" s="27">
        <f t="shared" si="307"/>
        <v>0</v>
      </c>
      <c r="AE559" s="27">
        <f t="shared" si="308"/>
        <v>0</v>
      </c>
      <c r="AF559" s="27">
        <f t="shared" si="309"/>
        <v>0</v>
      </c>
      <c r="AG559" s="27">
        <f t="shared" si="310"/>
        <v>0</v>
      </c>
      <c r="AH559" s="27">
        <f t="shared" si="311"/>
        <v>0</v>
      </c>
      <c r="AI559" s="20"/>
      <c r="AJ559" s="14">
        <f t="shared" si="312"/>
        <v>0</v>
      </c>
      <c r="AK559" s="14">
        <f t="shared" si="313"/>
        <v>0</v>
      </c>
      <c r="AL559" s="14">
        <f t="shared" si="314"/>
        <v>0</v>
      </c>
      <c r="AN559" s="27">
        <v>21</v>
      </c>
      <c r="AO559" s="27">
        <f t="shared" si="315"/>
        <v>0</v>
      </c>
      <c r="AP559" s="27">
        <f t="shared" si="316"/>
        <v>0</v>
      </c>
      <c r="AQ559" s="24" t="s">
        <v>1050</v>
      </c>
      <c r="AV559" s="27">
        <f t="shared" si="317"/>
        <v>0</v>
      </c>
      <c r="AW559" s="27">
        <f t="shared" si="318"/>
        <v>0</v>
      </c>
      <c r="AX559" s="27">
        <f t="shared" si="319"/>
        <v>0</v>
      </c>
      <c r="AY559" s="28" t="s">
        <v>1092</v>
      </c>
      <c r="AZ559" s="28" t="s">
        <v>1105</v>
      </c>
      <c r="BA559" s="20" t="s">
        <v>1106</v>
      </c>
      <c r="BC559" s="27">
        <f t="shared" si="320"/>
        <v>0</v>
      </c>
      <c r="BD559" s="27">
        <f t="shared" si="321"/>
        <v>0</v>
      </c>
      <c r="BE559" s="27">
        <v>0</v>
      </c>
      <c r="BF559" s="27">
        <f t="shared" si="322"/>
        <v>0.43328999999999995</v>
      </c>
      <c r="BH559" s="14">
        <f t="shared" si="323"/>
        <v>0</v>
      </c>
      <c r="BI559" s="14">
        <f t="shared" si="324"/>
        <v>0</v>
      </c>
      <c r="BJ559" s="14">
        <f t="shared" si="325"/>
        <v>0</v>
      </c>
    </row>
    <row r="560" spans="1:62" ht="12.75">
      <c r="A560" s="123" t="s">
        <v>284</v>
      </c>
      <c r="B560" s="124" t="s">
        <v>607</v>
      </c>
      <c r="C560" s="125" t="s">
        <v>963</v>
      </c>
      <c r="D560" s="209" t="s">
        <v>1007</v>
      </c>
      <c r="E560" s="126">
        <v>15.15</v>
      </c>
      <c r="F560" s="135">
        <v>0</v>
      </c>
      <c r="G560" s="145">
        <f t="shared" si="300"/>
        <v>0</v>
      </c>
      <c r="H560" s="126">
        <f t="shared" si="301"/>
        <v>0</v>
      </c>
      <c r="I560" s="146">
        <f t="shared" si="302"/>
        <v>0</v>
      </c>
      <c r="J560" s="219">
        <v>0.051</v>
      </c>
      <c r="K560" s="220">
        <f t="shared" si="303"/>
        <v>0.77265</v>
      </c>
      <c r="L560" s="153" t="s">
        <v>1039</v>
      </c>
      <c r="Z560" s="27">
        <f t="shared" si="304"/>
        <v>0</v>
      </c>
      <c r="AB560" s="27">
        <f t="shared" si="305"/>
        <v>0</v>
      </c>
      <c r="AC560" s="27">
        <f t="shared" si="306"/>
        <v>0</v>
      </c>
      <c r="AD560" s="27">
        <f t="shared" si="307"/>
        <v>0</v>
      </c>
      <c r="AE560" s="27">
        <f t="shared" si="308"/>
        <v>0</v>
      </c>
      <c r="AF560" s="27">
        <f t="shared" si="309"/>
        <v>0</v>
      </c>
      <c r="AG560" s="27">
        <f t="shared" si="310"/>
        <v>0</v>
      </c>
      <c r="AH560" s="27">
        <f t="shared" si="311"/>
        <v>0</v>
      </c>
      <c r="AI560" s="20"/>
      <c r="AJ560" s="14">
        <f t="shared" si="312"/>
        <v>0</v>
      </c>
      <c r="AK560" s="14">
        <f t="shared" si="313"/>
        <v>0</v>
      </c>
      <c r="AL560" s="14">
        <f t="shared" si="314"/>
        <v>0</v>
      </c>
      <c r="AN560" s="27">
        <v>21</v>
      </c>
      <c r="AO560" s="27">
        <f t="shared" si="315"/>
        <v>0</v>
      </c>
      <c r="AP560" s="27">
        <f t="shared" si="316"/>
        <v>0</v>
      </c>
      <c r="AQ560" s="24" t="s">
        <v>1050</v>
      </c>
      <c r="AV560" s="27">
        <f t="shared" si="317"/>
        <v>0</v>
      </c>
      <c r="AW560" s="27">
        <f t="shared" si="318"/>
        <v>0</v>
      </c>
      <c r="AX560" s="27">
        <f t="shared" si="319"/>
        <v>0</v>
      </c>
      <c r="AY560" s="28" t="s">
        <v>1092</v>
      </c>
      <c r="AZ560" s="28" t="s">
        <v>1105</v>
      </c>
      <c r="BA560" s="20" t="s">
        <v>1106</v>
      </c>
      <c r="BC560" s="27">
        <f t="shared" si="320"/>
        <v>0</v>
      </c>
      <c r="BD560" s="27">
        <f t="shared" si="321"/>
        <v>0</v>
      </c>
      <c r="BE560" s="27">
        <v>0</v>
      </c>
      <c r="BF560" s="27">
        <f t="shared" si="322"/>
        <v>0.77265</v>
      </c>
      <c r="BH560" s="14">
        <f t="shared" si="323"/>
        <v>0</v>
      </c>
      <c r="BI560" s="14">
        <f t="shared" si="324"/>
        <v>0</v>
      </c>
      <c r="BJ560" s="14">
        <f t="shared" si="325"/>
        <v>0</v>
      </c>
    </row>
    <row r="561" spans="1:62" ht="12.75">
      <c r="A561" s="123" t="s">
        <v>285</v>
      </c>
      <c r="B561" s="124" t="s">
        <v>608</v>
      </c>
      <c r="C561" s="125" t="s">
        <v>964</v>
      </c>
      <c r="D561" s="209" t="s">
        <v>1007</v>
      </c>
      <c r="E561" s="126">
        <v>19.19</v>
      </c>
      <c r="F561" s="135">
        <v>0</v>
      </c>
      <c r="G561" s="145">
        <f t="shared" si="300"/>
        <v>0</v>
      </c>
      <c r="H561" s="126">
        <f t="shared" si="301"/>
        <v>0</v>
      </c>
      <c r="I561" s="146">
        <f t="shared" si="302"/>
        <v>0</v>
      </c>
      <c r="J561" s="219">
        <v>0.068</v>
      </c>
      <c r="K561" s="220">
        <f t="shared" si="303"/>
        <v>1.30492</v>
      </c>
      <c r="L561" s="153" t="s">
        <v>1039</v>
      </c>
      <c r="Z561" s="27">
        <f t="shared" si="304"/>
        <v>0</v>
      </c>
      <c r="AB561" s="27">
        <f t="shared" si="305"/>
        <v>0</v>
      </c>
      <c r="AC561" s="27">
        <f t="shared" si="306"/>
        <v>0</v>
      </c>
      <c r="AD561" s="27">
        <f t="shared" si="307"/>
        <v>0</v>
      </c>
      <c r="AE561" s="27">
        <f t="shared" si="308"/>
        <v>0</v>
      </c>
      <c r="AF561" s="27">
        <f t="shared" si="309"/>
        <v>0</v>
      </c>
      <c r="AG561" s="27">
        <f t="shared" si="310"/>
        <v>0</v>
      </c>
      <c r="AH561" s="27">
        <f t="shared" si="311"/>
        <v>0</v>
      </c>
      <c r="AI561" s="20"/>
      <c r="AJ561" s="14">
        <f t="shared" si="312"/>
        <v>0</v>
      </c>
      <c r="AK561" s="14">
        <f t="shared" si="313"/>
        <v>0</v>
      </c>
      <c r="AL561" s="14">
        <f t="shared" si="314"/>
        <v>0</v>
      </c>
      <c r="AN561" s="27">
        <v>21</v>
      </c>
      <c r="AO561" s="27">
        <f t="shared" si="315"/>
        <v>0</v>
      </c>
      <c r="AP561" s="27">
        <f t="shared" si="316"/>
        <v>0</v>
      </c>
      <c r="AQ561" s="24" t="s">
        <v>1050</v>
      </c>
      <c r="AV561" s="27">
        <f t="shared" si="317"/>
        <v>0</v>
      </c>
      <c r="AW561" s="27">
        <f t="shared" si="318"/>
        <v>0</v>
      </c>
      <c r="AX561" s="27">
        <f t="shared" si="319"/>
        <v>0</v>
      </c>
      <c r="AY561" s="28" t="s">
        <v>1092</v>
      </c>
      <c r="AZ561" s="28" t="s">
        <v>1105</v>
      </c>
      <c r="BA561" s="20" t="s">
        <v>1106</v>
      </c>
      <c r="BC561" s="27">
        <f t="shared" si="320"/>
        <v>0</v>
      </c>
      <c r="BD561" s="27">
        <f t="shared" si="321"/>
        <v>0</v>
      </c>
      <c r="BE561" s="27">
        <v>0</v>
      </c>
      <c r="BF561" s="27">
        <f t="shared" si="322"/>
        <v>1.30492</v>
      </c>
      <c r="BH561" s="14">
        <f t="shared" si="323"/>
        <v>0</v>
      </c>
      <c r="BI561" s="14">
        <f t="shared" si="324"/>
        <v>0</v>
      </c>
      <c r="BJ561" s="14">
        <f t="shared" si="325"/>
        <v>0</v>
      </c>
    </row>
    <row r="562" spans="1:62" ht="12.75">
      <c r="A562" s="123" t="s">
        <v>286</v>
      </c>
      <c r="B562" s="124" t="s">
        <v>609</v>
      </c>
      <c r="C562" s="125" t="s">
        <v>965</v>
      </c>
      <c r="D562" s="209" t="s">
        <v>1007</v>
      </c>
      <c r="E562" s="126">
        <v>11.11</v>
      </c>
      <c r="F562" s="135">
        <v>0</v>
      </c>
      <c r="G562" s="145">
        <f t="shared" si="300"/>
        <v>0</v>
      </c>
      <c r="H562" s="126">
        <f t="shared" si="301"/>
        <v>0</v>
      </c>
      <c r="I562" s="146">
        <f t="shared" si="302"/>
        <v>0</v>
      </c>
      <c r="J562" s="219">
        <v>0.08</v>
      </c>
      <c r="K562" s="220">
        <f t="shared" si="303"/>
        <v>0.8887999999999999</v>
      </c>
      <c r="L562" s="153" t="s">
        <v>1039</v>
      </c>
      <c r="Z562" s="27">
        <f t="shared" si="304"/>
        <v>0</v>
      </c>
      <c r="AB562" s="27">
        <f t="shared" si="305"/>
        <v>0</v>
      </c>
      <c r="AC562" s="27">
        <f t="shared" si="306"/>
        <v>0</v>
      </c>
      <c r="AD562" s="27">
        <f t="shared" si="307"/>
        <v>0</v>
      </c>
      <c r="AE562" s="27">
        <f t="shared" si="308"/>
        <v>0</v>
      </c>
      <c r="AF562" s="27">
        <f t="shared" si="309"/>
        <v>0</v>
      </c>
      <c r="AG562" s="27">
        <f t="shared" si="310"/>
        <v>0</v>
      </c>
      <c r="AH562" s="27">
        <f t="shared" si="311"/>
        <v>0</v>
      </c>
      <c r="AI562" s="20"/>
      <c r="AJ562" s="14">
        <f t="shared" si="312"/>
        <v>0</v>
      </c>
      <c r="AK562" s="14">
        <f t="shared" si="313"/>
        <v>0</v>
      </c>
      <c r="AL562" s="14">
        <f t="shared" si="314"/>
        <v>0</v>
      </c>
      <c r="AN562" s="27">
        <v>21</v>
      </c>
      <c r="AO562" s="27">
        <f t="shared" si="315"/>
        <v>0</v>
      </c>
      <c r="AP562" s="27">
        <f t="shared" si="316"/>
        <v>0</v>
      </c>
      <c r="AQ562" s="24" t="s">
        <v>1050</v>
      </c>
      <c r="AV562" s="27">
        <f t="shared" si="317"/>
        <v>0</v>
      </c>
      <c r="AW562" s="27">
        <f t="shared" si="318"/>
        <v>0</v>
      </c>
      <c r="AX562" s="27">
        <f t="shared" si="319"/>
        <v>0</v>
      </c>
      <c r="AY562" s="28" t="s">
        <v>1092</v>
      </c>
      <c r="AZ562" s="28" t="s">
        <v>1105</v>
      </c>
      <c r="BA562" s="20" t="s">
        <v>1106</v>
      </c>
      <c r="BC562" s="27">
        <f t="shared" si="320"/>
        <v>0</v>
      </c>
      <c r="BD562" s="27">
        <f t="shared" si="321"/>
        <v>0</v>
      </c>
      <c r="BE562" s="27">
        <v>0</v>
      </c>
      <c r="BF562" s="27">
        <f t="shared" si="322"/>
        <v>0.8887999999999999</v>
      </c>
      <c r="BH562" s="14">
        <f t="shared" si="323"/>
        <v>0</v>
      </c>
      <c r="BI562" s="14">
        <f t="shared" si="324"/>
        <v>0</v>
      </c>
      <c r="BJ562" s="14">
        <f t="shared" si="325"/>
        <v>0</v>
      </c>
    </row>
    <row r="563" spans="1:62" ht="12.75">
      <c r="A563" s="123" t="s">
        <v>287</v>
      </c>
      <c r="B563" s="124" t="s">
        <v>610</v>
      </c>
      <c r="C563" s="125" t="s">
        <v>966</v>
      </c>
      <c r="D563" s="209" t="s">
        <v>1005</v>
      </c>
      <c r="E563" s="126">
        <f>+E564</f>
        <v>4.24</v>
      </c>
      <c r="F563" s="135">
        <v>0</v>
      </c>
      <c r="G563" s="145">
        <f t="shared" si="300"/>
        <v>0</v>
      </c>
      <c r="H563" s="126">
        <f t="shared" si="301"/>
        <v>0</v>
      </c>
      <c r="I563" s="146">
        <f t="shared" si="302"/>
        <v>0</v>
      </c>
      <c r="J563" s="219">
        <v>0</v>
      </c>
      <c r="K563" s="220">
        <f t="shared" si="303"/>
        <v>0</v>
      </c>
      <c r="L563" s="153"/>
      <c r="Z563" s="27">
        <f t="shared" si="304"/>
        <v>0</v>
      </c>
      <c r="AB563" s="27">
        <f t="shared" si="305"/>
        <v>0</v>
      </c>
      <c r="AC563" s="27">
        <f t="shared" si="306"/>
        <v>0</v>
      </c>
      <c r="AD563" s="27">
        <f t="shared" si="307"/>
        <v>0</v>
      </c>
      <c r="AE563" s="27">
        <f t="shared" si="308"/>
        <v>0</v>
      </c>
      <c r="AF563" s="27">
        <f t="shared" si="309"/>
        <v>0</v>
      </c>
      <c r="AG563" s="27">
        <f t="shared" si="310"/>
        <v>0</v>
      </c>
      <c r="AH563" s="27">
        <f t="shared" si="311"/>
        <v>0</v>
      </c>
      <c r="AI563" s="20"/>
      <c r="AJ563" s="14">
        <f t="shared" si="312"/>
        <v>0</v>
      </c>
      <c r="AK563" s="14">
        <f t="shared" si="313"/>
        <v>0</v>
      </c>
      <c r="AL563" s="14">
        <f t="shared" si="314"/>
        <v>0</v>
      </c>
      <c r="AN563" s="27">
        <v>21</v>
      </c>
      <c r="AO563" s="27">
        <f t="shared" si="315"/>
        <v>0</v>
      </c>
      <c r="AP563" s="27">
        <f t="shared" si="316"/>
        <v>0</v>
      </c>
      <c r="AQ563" s="24" t="s">
        <v>1050</v>
      </c>
      <c r="AV563" s="27">
        <f t="shared" si="317"/>
        <v>0</v>
      </c>
      <c r="AW563" s="27">
        <f t="shared" si="318"/>
        <v>0</v>
      </c>
      <c r="AX563" s="27">
        <f t="shared" si="319"/>
        <v>0</v>
      </c>
      <c r="AY563" s="28" t="s">
        <v>1092</v>
      </c>
      <c r="AZ563" s="28" t="s">
        <v>1105</v>
      </c>
      <c r="BA563" s="20" t="s">
        <v>1106</v>
      </c>
      <c r="BC563" s="27">
        <f t="shared" si="320"/>
        <v>0</v>
      </c>
      <c r="BD563" s="27">
        <f t="shared" si="321"/>
        <v>0</v>
      </c>
      <c r="BE563" s="27">
        <v>0</v>
      </c>
      <c r="BF563" s="27">
        <f t="shared" si="322"/>
        <v>0</v>
      </c>
      <c r="BH563" s="14">
        <f t="shared" si="323"/>
        <v>0</v>
      </c>
      <c r="BI563" s="14">
        <f t="shared" si="324"/>
        <v>0</v>
      </c>
      <c r="BJ563" s="14">
        <f t="shared" si="325"/>
        <v>0</v>
      </c>
    </row>
    <row r="564" spans="1:62" ht="12.75">
      <c r="A564" s="123"/>
      <c r="B564" s="124"/>
      <c r="C564" s="99" t="s">
        <v>1835</v>
      </c>
      <c r="D564" s="100" t="s">
        <v>1005</v>
      </c>
      <c r="E564" s="101">
        <f>1.54+1.4+1.3</f>
        <v>4.24</v>
      </c>
      <c r="F564" s="135"/>
      <c r="G564" s="145"/>
      <c r="H564" s="126"/>
      <c r="I564" s="146"/>
      <c r="J564" s="219"/>
      <c r="K564" s="220"/>
      <c r="L564" s="153"/>
      <c r="Z564" s="27"/>
      <c r="AB564" s="27"/>
      <c r="AC564" s="27"/>
      <c r="AD564" s="27"/>
      <c r="AE564" s="27"/>
      <c r="AF564" s="27"/>
      <c r="AG564" s="27"/>
      <c r="AH564" s="27"/>
      <c r="AI564" s="20"/>
      <c r="AJ564" s="14"/>
      <c r="AK564" s="14"/>
      <c r="AL564" s="14"/>
      <c r="AN564" s="27"/>
      <c r="AO564" s="27"/>
      <c r="AP564" s="27"/>
      <c r="AQ564" s="24"/>
      <c r="AV564" s="27"/>
      <c r="AW564" s="27"/>
      <c r="AX564" s="27"/>
      <c r="AY564" s="28"/>
      <c r="AZ564" s="28"/>
      <c r="BA564" s="20"/>
      <c r="BC564" s="27"/>
      <c r="BD564" s="27"/>
      <c r="BE564" s="27"/>
      <c r="BF564" s="27"/>
      <c r="BH564" s="14"/>
      <c r="BI564" s="14"/>
      <c r="BJ564" s="14"/>
    </row>
    <row r="565" spans="1:62" ht="12.75">
      <c r="A565" s="123" t="s">
        <v>288</v>
      </c>
      <c r="B565" s="124" t="s">
        <v>611</v>
      </c>
      <c r="C565" s="125" t="s">
        <v>967</v>
      </c>
      <c r="D565" s="209" t="s">
        <v>1005</v>
      </c>
      <c r="E565" s="126">
        <f>+E566</f>
        <v>3.5100000000000002</v>
      </c>
      <c r="F565" s="135">
        <v>0</v>
      </c>
      <c r="G565" s="145">
        <f t="shared" si="300"/>
        <v>0</v>
      </c>
      <c r="H565" s="126">
        <f t="shared" si="301"/>
        <v>0</v>
      </c>
      <c r="I565" s="146">
        <f t="shared" si="302"/>
        <v>0</v>
      </c>
      <c r="J565" s="219">
        <v>0</v>
      </c>
      <c r="K565" s="220">
        <f t="shared" si="303"/>
        <v>0</v>
      </c>
      <c r="L565" s="153"/>
      <c r="Z565" s="27">
        <f t="shared" si="304"/>
        <v>0</v>
      </c>
      <c r="AB565" s="27">
        <f t="shared" si="305"/>
        <v>0</v>
      </c>
      <c r="AC565" s="27">
        <f t="shared" si="306"/>
        <v>0</v>
      </c>
      <c r="AD565" s="27">
        <f t="shared" si="307"/>
        <v>0</v>
      </c>
      <c r="AE565" s="27">
        <f t="shared" si="308"/>
        <v>0</v>
      </c>
      <c r="AF565" s="27">
        <f t="shared" si="309"/>
        <v>0</v>
      </c>
      <c r="AG565" s="27">
        <f t="shared" si="310"/>
        <v>0</v>
      </c>
      <c r="AH565" s="27">
        <f t="shared" si="311"/>
        <v>0</v>
      </c>
      <c r="AI565" s="20"/>
      <c r="AJ565" s="14">
        <f t="shared" si="312"/>
        <v>0</v>
      </c>
      <c r="AK565" s="14">
        <f t="shared" si="313"/>
        <v>0</v>
      </c>
      <c r="AL565" s="14">
        <f t="shared" si="314"/>
        <v>0</v>
      </c>
      <c r="AN565" s="27">
        <v>21</v>
      </c>
      <c r="AO565" s="27">
        <f t="shared" si="315"/>
        <v>0</v>
      </c>
      <c r="AP565" s="27">
        <f t="shared" si="316"/>
        <v>0</v>
      </c>
      <c r="AQ565" s="24" t="s">
        <v>1050</v>
      </c>
      <c r="AV565" s="27">
        <f t="shared" si="317"/>
        <v>0</v>
      </c>
      <c r="AW565" s="27">
        <f t="shared" si="318"/>
        <v>0</v>
      </c>
      <c r="AX565" s="27">
        <f t="shared" si="319"/>
        <v>0</v>
      </c>
      <c r="AY565" s="28" t="s">
        <v>1092</v>
      </c>
      <c r="AZ565" s="28" t="s">
        <v>1105</v>
      </c>
      <c r="BA565" s="20" t="s">
        <v>1106</v>
      </c>
      <c r="BC565" s="27">
        <f t="shared" si="320"/>
        <v>0</v>
      </c>
      <c r="BD565" s="27">
        <f t="shared" si="321"/>
        <v>0</v>
      </c>
      <c r="BE565" s="27">
        <v>0</v>
      </c>
      <c r="BF565" s="27">
        <f t="shared" si="322"/>
        <v>0</v>
      </c>
      <c r="BH565" s="14">
        <f t="shared" si="323"/>
        <v>0</v>
      </c>
      <c r="BI565" s="14">
        <f t="shared" si="324"/>
        <v>0</v>
      </c>
      <c r="BJ565" s="14">
        <f t="shared" si="325"/>
        <v>0</v>
      </c>
    </row>
    <row r="566" spans="1:62" ht="12.75">
      <c r="A566" s="123"/>
      <c r="B566" s="124"/>
      <c r="C566" s="99" t="s">
        <v>1836</v>
      </c>
      <c r="D566" s="100" t="s">
        <v>1005</v>
      </c>
      <c r="E566" s="101">
        <f>+(1.26+1.15+1.1)</f>
        <v>3.5100000000000002</v>
      </c>
      <c r="F566" s="135"/>
      <c r="G566" s="145"/>
      <c r="H566" s="126"/>
      <c r="I566" s="146"/>
      <c r="J566" s="219"/>
      <c r="K566" s="220"/>
      <c r="L566" s="153"/>
      <c r="Z566" s="27"/>
      <c r="AB566" s="27"/>
      <c r="AC566" s="27"/>
      <c r="AD566" s="27"/>
      <c r="AE566" s="27"/>
      <c r="AF566" s="27"/>
      <c r="AG566" s="27"/>
      <c r="AH566" s="27"/>
      <c r="AI566" s="20"/>
      <c r="AJ566" s="14"/>
      <c r="AK566" s="14"/>
      <c r="AL566" s="14"/>
      <c r="AN566" s="27"/>
      <c r="AO566" s="27"/>
      <c r="AP566" s="27"/>
      <c r="AQ566" s="24"/>
      <c r="AV566" s="27"/>
      <c r="AW566" s="27"/>
      <c r="AX566" s="27"/>
      <c r="AY566" s="28"/>
      <c r="AZ566" s="28"/>
      <c r="BA566" s="20"/>
      <c r="BC566" s="27"/>
      <c r="BD566" s="27"/>
      <c r="BE566" s="27"/>
      <c r="BF566" s="27"/>
      <c r="BH566" s="14"/>
      <c r="BI566" s="14"/>
      <c r="BJ566" s="14"/>
    </row>
    <row r="567" spans="1:62" ht="12.75">
      <c r="A567" s="123" t="s">
        <v>289</v>
      </c>
      <c r="B567" s="124" t="s">
        <v>612</v>
      </c>
      <c r="C567" s="125" t="s">
        <v>968</v>
      </c>
      <c r="D567" s="209" t="s">
        <v>1007</v>
      </c>
      <c r="E567" s="126">
        <v>1</v>
      </c>
      <c r="F567" s="135">
        <v>0</v>
      </c>
      <c r="G567" s="145">
        <f t="shared" si="300"/>
        <v>0</v>
      </c>
      <c r="H567" s="126">
        <f t="shared" si="301"/>
        <v>0</v>
      </c>
      <c r="I567" s="146">
        <f t="shared" si="302"/>
        <v>0</v>
      </c>
      <c r="J567" s="219">
        <v>0.5</v>
      </c>
      <c r="K567" s="220">
        <f t="shared" si="303"/>
        <v>0.5</v>
      </c>
      <c r="L567" s="153" t="s">
        <v>1039</v>
      </c>
      <c r="Z567" s="27">
        <f t="shared" si="304"/>
        <v>0</v>
      </c>
      <c r="AB567" s="27">
        <f t="shared" si="305"/>
        <v>0</v>
      </c>
      <c r="AC567" s="27">
        <f t="shared" si="306"/>
        <v>0</v>
      </c>
      <c r="AD567" s="27">
        <f t="shared" si="307"/>
        <v>0</v>
      </c>
      <c r="AE567" s="27">
        <f t="shared" si="308"/>
        <v>0</v>
      </c>
      <c r="AF567" s="27">
        <f t="shared" si="309"/>
        <v>0</v>
      </c>
      <c r="AG567" s="27">
        <f t="shared" si="310"/>
        <v>0</v>
      </c>
      <c r="AH567" s="27">
        <f t="shared" si="311"/>
        <v>0</v>
      </c>
      <c r="AI567" s="20"/>
      <c r="AJ567" s="14">
        <f t="shared" si="312"/>
        <v>0</v>
      </c>
      <c r="AK567" s="14">
        <f t="shared" si="313"/>
        <v>0</v>
      </c>
      <c r="AL567" s="14">
        <f t="shared" si="314"/>
        <v>0</v>
      </c>
      <c r="AN567" s="27">
        <v>21</v>
      </c>
      <c r="AO567" s="27">
        <f t="shared" si="315"/>
        <v>0</v>
      </c>
      <c r="AP567" s="27">
        <f t="shared" si="316"/>
        <v>0</v>
      </c>
      <c r="AQ567" s="24" t="s">
        <v>1050</v>
      </c>
      <c r="AV567" s="27">
        <f t="shared" si="317"/>
        <v>0</v>
      </c>
      <c r="AW567" s="27">
        <f t="shared" si="318"/>
        <v>0</v>
      </c>
      <c r="AX567" s="27">
        <f t="shared" si="319"/>
        <v>0</v>
      </c>
      <c r="AY567" s="28" t="s">
        <v>1092</v>
      </c>
      <c r="AZ567" s="28" t="s">
        <v>1105</v>
      </c>
      <c r="BA567" s="20" t="s">
        <v>1106</v>
      </c>
      <c r="BC567" s="27">
        <f t="shared" si="320"/>
        <v>0</v>
      </c>
      <c r="BD567" s="27">
        <f t="shared" si="321"/>
        <v>0</v>
      </c>
      <c r="BE567" s="27">
        <v>0</v>
      </c>
      <c r="BF567" s="27">
        <f t="shared" si="322"/>
        <v>0.5</v>
      </c>
      <c r="BH567" s="14">
        <f t="shared" si="323"/>
        <v>0</v>
      </c>
      <c r="BI567" s="14">
        <f t="shared" si="324"/>
        <v>0</v>
      </c>
      <c r="BJ567" s="14">
        <f t="shared" si="325"/>
        <v>0</v>
      </c>
    </row>
    <row r="568" spans="1:62" ht="12.75">
      <c r="A568" s="123" t="s">
        <v>290</v>
      </c>
      <c r="B568" s="124" t="s">
        <v>613</v>
      </c>
      <c r="C568" s="125" t="s">
        <v>969</v>
      </c>
      <c r="D568" s="209" t="s">
        <v>1007</v>
      </c>
      <c r="E568" s="126">
        <v>32.32</v>
      </c>
      <c r="F568" s="135">
        <v>0</v>
      </c>
      <c r="G568" s="145">
        <f t="shared" si="300"/>
        <v>0</v>
      </c>
      <c r="H568" s="126">
        <f t="shared" si="301"/>
        <v>0</v>
      </c>
      <c r="I568" s="146">
        <f t="shared" si="302"/>
        <v>0</v>
      </c>
      <c r="J568" s="219">
        <v>0.585</v>
      </c>
      <c r="K568" s="220">
        <f t="shared" si="303"/>
        <v>18.9072</v>
      </c>
      <c r="L568" s="153" t="s">
        <v>1039</v>
      </c>
      <c r="Z568" s="27">
        <f t="shared" si="304"/>
        <v>0</v>
      </c>
      <c r="AB568" s="27">
        <f t="shared" si="305"/>
        <v>0</v>
      </c>
      <c r="AC568" s="27">
        <f t="shared" si="306"/>
        <v>0</v>
      </c>
      <c r="AD568" s="27">
        <f t="shared" si="307"/>
        <v>0</v>
      </c>
      <c r="AE568" s="27">
        <f t="shared" si="308"/>
        <v>0</v>
      </c>
      <c r="AF568" s="27">
        <f t="shared" si="309"/>
        <v>0</v>
      </c>
      <c r="AG568" s="27">
        <f t="shared" si="310"/>
        <v>0</v>
      </c>
      <c r="AH568" s="27">
        <f t="shared" si="311"/>
        <v>0</v>
      </c>
      <c r="AI568" s="20"/>
      <c r="AJ568" s="14">
        <f t="shared" si="312"/>
        <v>0</v>
      </c>
      <c r="AK568" s="14">
        <f t="shared" si="313"/>
        <v>0</v>
      </c>
      <c r="AL568" s="14">
        <f t="shared" si="314"/>
        <v>0</v>
      </c>
      <c r="AN568" s="27">
        <v>21</v>
      </c>
      <c r="AO568" s="27">
        <f t="shared" si="315"/>
        <v>0</v>
      </c>
      <c r="AP568" s="27">
        <f t="shared" si="316"/>
        <v>0</v>
      </c>
      <c r="AQ568" s="24" t="s">
        <v>1050</v>
      </c>
      <c r="AV568" s="27">
        <f t="shared" si="317"/>
        <v>0</v>
      </c>
      <c r="AW568" s="27">
        <f t="shared" si="318"/>
        <v>0</v>
      </c>
      <c r="AX568" s="27">
        <f t="shared" si="319"/>
        <v>0</v>
      </c>
      <c r="AY568" s="28" t="s">
        <v>1092</v>
      </c>
      <c r="AZ568" s="28" t="s">
        <v>1105</v>
      </c>
      <c r="BA568" s="20" t="s">
        <v>1106</v>
      </c>
      <c r="BC568" s="27">
        <f t="shared" si="320"/>
        <v>0</v>
      </c>
      <c r="BD568" s="27">
        <f t="shared" si="321"/>
        <v>0</v>
      </c>
      <c r="BE568" s="27">
        <v>0</v>
      </c>
      <c r="BF568" s="27">
        <f t="shared" si="322"/>
        <v>18.9072</v>
      </c>
      <c r="BH568" s="14">
        <f t="shared" si="323"/>
        <v>0</v>
      </c>
      <c r="BI568" s="14">
        <f t="shared" si="324"/>
        <v>0</v>
      </c>
      <c r="BJ568" s="14">
        <f t="shared" si="325"/>
        <v>0</v>
      </c>
    </row>
    <row r="569" spans="1:62" ht="12.75">
      <c r="A569" s="123" t="s">
        <v>291</v>
      </c>
      <c r="B569" s="124" t="s">
        <v>614</v>
      </c>
      <c r="C569" s="125" t="s">
        <v>970</v>
      </c>
      <c r="D569" s="209" t="s">
        <v>1007</v>
      </c>
      <c r="E569" s="126">
        <v>1</v>
      </c>
      <c r="F569" s="135">
        <v>0</v>
      </c>
      <c r="G569" s="145">
        <f t="shared" si="300"/>
        <v>0</v>
      </c>
      <c r="H569" s="126">
        <f t="shared" si="301"/>
        <v>0</v>
      </c>
      <c r="I569" s="146">
        <f t="shared" si="302"/>
        <v>0</v>
      </c>
      <c r="J569" s="219">
        <v>4.49</v>
      </c>
      <c r="K569" s="220">
        <f t="shared" si="303"/>
        <v>4.49</v>
      </c>
      <c r="L569" s="153"/>
      <c r="Z569" s="27">
        <f t="shared" si="304"/>
        <v>0</v>
      </c>
      <c r="AB569" s="27">
        <f t="shared" si="305"/>
        <v>0</v>
      </c>
      <c r="AC569" s="27">
        <f t="shared" si="306"/>
        <v>0</v>
      </c>
      <c r="AD569" s="27">
        <f t="shared" si="307"/>
        <v>0</v>
      </c>
      <c r="AE569" s="27">
        <f t="shared" si="308"/>
        <v>0</v>
      </c>
      <c r="AF569" s="27">
        <f t="shared" si="309"/>
        <v>0</v>
      </c>
      <c r="AG569" s="27">
        <f t="shared" si="310"/>
        <v>0</v>
      </c>
      <c r="AH569" s="27">
        <f t="shared" si="311"/>
        <v>0</v>
      </c>
      <c r="AI569" s="20"/>
      <c r="AJ569" s="14">
        <f t="shared" si="312"/>
        <v>0</v>
      </c>
      <c r="AK569" s="14">
        <f t="shared" si="313"/>
        <v>0</v>
      </c>
      <c r="AL569" s="14">
        <f t="shared" si="314"/>
        <v>0</v>
      </c>
      <c r="AN569" s="27">
        <v>21</v>
      </c>
      <c r="AO569" s="27">
        <f t="shared" si="315"/>
        <v>0</v>
      </c>
      <c r="AP569" s="27">
        <f t="shared" si="316"/>
        <v>0</v>
      </c>
      <c r="AQ569" s="24" t="s">
        <v>1050</v>
      </c>
      <c r="AV569" s="27">
        <f t="shared" si="317"/>
        <v>0</v>
      </c>
      <c r="AW569" s="27">
        <f t="shared" si="318"/>
        <v>0</v>
      </c>
      <c r="AX569" s="27">
        <f t="shared" si="319"/>
        <v>0</v>
      </c>
      <c r="AY569" s="28" t="s">
        <v>1092</v>
      </c>
      <c r="AZ569" s="28" t="s">
        <v>1105</v>
      </c>
      <c r="BA569" s="20" t="s">
        <v>1106</v>
      </c>
      <c r="BC569" s="27">
        <f t="shared" si="320"/>
        <v>0</v>
      </c>
      <c r="BD569" s="27">
        <f t="shared" si="321"/>
        <v>0</v>
      </c>
      <c r="BE569" s="27">
        <v>0</v>
      </c>
      <c r="BF569" s="27">
        <f t="shared" si="322"/>
        <v>4.49</v>
      </c>
      <c r="BH569" s="14">
        <f t="shared" si="323"/>
        <v>0</v>
      </c>
      <c r="BI569" s="14">
        <f t="shared" si="324"/>
        <v>0</v>
      </c>
      <c r="BJ569" s="14">
        <f t="shared" si="325"/>
        <v>0</v>
      </c>
    </row>
    <row r="570" spans="1:62" ht="12.75">
      <c r="A570" s="123" t="s">
        <v>292</v>
      </c>
      <c r="B570" s="124" t="s">
        <v>615</v>
      </c>
      <c r="C570" s="125" t="s">
        <v>971</v>
      </c>
      <c r="D570" s="209" t="s">
        <v>1007</v>
      </c>
      <c r="E570" s="126">
        <v>2</v>
      </c>
      <c r="F570" s="135">
        <v>0</v>
      </c>
      <c r="G570" s="145">
        <f t="shared" si="300"/>
        <v>0</v>
      </c>
      <c r="H570" s="126">
        <f t="shared" si="301"/>
        <v>0</v>
      </c>
      <c r="I570" s="146">
        <f t="shared" si="302"/>
        <v>0</v>
      </c>
      <c r="J570" s="219">
        <v>6.26</v>
      </c>
      <c r="K570" s="220">
        <f t="shared" si="303"/>
        <v>12.52</v>
      </c>
      <c r="L570" s="153"/>
      <c r="Z570" s="27">
        <f t="shared" si="304"/>
        <v>0</v>
      </c>
      <c r="AB570" s="27">
        <f t="shared" si="305"/>
        <v>0</v>
      </c>
      <c r="AC570" s="27">
        <f t="shared" si="306"/>
        <v>0</v>
      </c>
      <c r="AD570" s="27">
        <f t="shared" si="307"/>
        <v>0</v>
      </c>
      <c r="AE570" s="27">
        <f t="shared" si="308"/>
        <v>0</v>
      </c>
      <c r="AF570" s="27">
        <f t="shared" si="309"/>
        <v>0</v>
      </c>
      <c r="AG570" s="27">
        <f t="shared" si="310"/>
        <v>0</v>
      </c>
      <c r="AH570" s="27">
        <f t="shared" si="311"/>
        <v>0</v>
      </c>
      <c r="AI570" s="20"/>
      <c r="AJ570" s="14">
        <f t="shared" si="312"/>
        <v>0</v>
      </c>
      <c r="AK570" s="14">
        <f t="shared" si="313"/>
        <v>0</v>
      </c>
      <c r="AL570" s="14">
        <f t="shared" si="314"/>
        <v>0</v>
      </c>
      <c r="AN570" s="27">
        <v>21</v>
      </c>
      <c r="AO570" s="27">
        <f t="shared" si="315"/>
        <v>0</v>
      </c>
      <c r="AP570" s="27">
        <f t="shared" si="316"/>
        <v>0</v>
      </c>
      <c r="AQ570" s="24" t="s">
        <v>1050</v>
      </c>
      <c r="AV570" s="27">
        <f t="shared" si="317"/>
        <v>0</v>
      </c>
      <c r="AW570" s="27">
        <f t="shared" si="318"/>
        <v>0</v>
      </c>
      <c r="AX570" s="27">
        <f t="shared" si="319"/>
        <v>0</v>
      </c>
      <c r="AY570" s="28" t="s">
        <v>1092</v>
      </c>
      <c r="AZ570" s="28" t="s">
        <v>1105</v>
      </c>
      <c r="BA570" s="20" t="s">
        <v>1106</v>
      </c>
      <c r="BC570" s="27">
        <f t="shared" si="320"/>
        <v>0</v>
      </c>
      <c r="BD570" s="27">
        <f t="shared" si="321"/>
        <v>0</v>
      </c>
      <c r="BE570" s="27">
        <v>0</v>
      </c>
      <c r="BF570" s="27">
        <f t="shared" si="322"/>
        <v>12.52</v>
      </c>
      <c r="BH570" s="14">
        <f t="shared" si="323"/>
        <v>0</v>
      </c>
      <c r="BI570" s="14">
        <f t="shared" si="324"/>
        <v>0</v>
      </c>
      <c r="BJ570" s="14">
        <f t="shared" si="325"/>
        <v>0</v>
      </c>
    </row>
    <row r="571" spans="1:62" ht="12.75">
      <c r="A571" s="123" t="s">
        <v>293</v>
      </c>
      <c r="B571" s="124" t="s">
        <v>616</v>
      </c>
      <c r="C571" s="125" t="s">
        <v>972</v>
      </c>
      <c r="D571" s="209" t="s">
        <v>1007</v>
      </c>
      <c r="E571" s="126">
        <v>4</v>
      </c>
      <c r="F571" s="135">
        <v>0</v>
      </c>
      <c r="G571" s="145">
        <f t="shared" si="300"/>
        <v>0</v>
      </c>
      <c r="H571" s="126">
        <f t="shared" si="301"/>
        <v>0</v>
      </c>
      <c r="I571" s="146">
        <f t="shared" si="302"/>
        <v>0</v>
      </c>
      <c r="J571" s="219">
        <v>1.22</v>
      </c>
      <c r="K571" s="220">
        <f t="shared" si="303"/>
        <v>4.88</v>
      </c>
      <c r="L571" s="153"/>
      <c r="Z571" s="27">
        <f t="shared" si="304"/>
        <v>0</v>
      </c>
      <c r="AB571" s="27">
        <f t="shared" si="305"/>
        <v>0</v>
      </c>
      <c r="AC571" s="27">
        <f t="shared" si="306"/>
        <v>0</v>
      </c>
      <c r="AD571" s="27">
        <f t="shared" si="307"/>
        <v>0</v>
      </c>
      <c r="AE571" s="27">
        <f t="shared" si="308"/>
        <v>0</v>
      </c>
      <c r="AF571" s="27">
        <f t="shared" si="309"/>
        <v>0</v>
      </c>
      <c r="AG571" s="27">
        <f t="shared" si="310"/>
        <v>0</v>
      </c>
      <c r="AH571" s="27">
        <f t="shared" si="311"/>
        <v>0</v>
      </c>
      <c r="AI571" s="20"/>
      <c r="AJ571" s="14">
        <f t="shared" si="312"/>
        <v>0</v>
      </c>
      <c r="AK571" s="14">
        <f t="shared" si="313"/>
        <v>0</v>
      </c>
      <c r="AL571" s="14">
        <f t="shared" si="314"/>
        <v>0</v>
      </c>
      <c r="AN571" s="27">
        <v>21</v>
      </c>
      <c r="AO571" s="27">
        <f t="shared" si="315"/>
        <v>0</v>
      </c>
      <c r="AP571" s="27">
        <f t="shared" si="316"/>
        <v>0</v>
      </c>
      <c r="AQ571" s="24" t="s">
        <v>1050</v>
      </c>
      <c r="AV571" s="27">
        <f t="shared" si="317"/>
        <v>0</v>
      </c>
      <c r="AW571" s="27">
        <f t="shared" si="318"/>
        <v>0</v>
      </c>
      <c r="AX571" s="27">
        <f t="shared" si="319"/>
        <v>0</v>
      </c>
      <c r="AY571" s="28" t="s">
        <v>1092</v>
      </c>
      <c r="AZ571" s="28" t="s">
        <v>1105</v>
      </c>
      <c r="BA571" s="20" t="s">
        <v>1106</v>
      </c>
      <c r="BC571" s="27">
        <f t="shared" si="320"/>
        <v>0</v>
      </c>
      <c r="BD571" s="27">
        <f t="shared" si="321"/>
        <v>0</v>
      </c>
      <c r="BE571" s="27">
        <v>0</v>
      </c>
      <c r="BF571" s="27">
        <f t="shared" si="322"/>
        <v>4.88</v>
      </c>
      <c r="BH571" s="14">
        <f t="shared" si="323"/>
        <v>0</v>
      </c>
      <c r="BI571" s="14">
        <f t="shared" si="324"/>
        <v>0</v>
      </c>
      <c r="BJ571" s="14">
        <f t="shared" si="325"/>
        <v>0</v>
      </c>
    </row>
    <row r="572" spans="1:62" ht="12.75">
      <c r="A572" s="123" t="s">
        <v>294</v>
      </c>
      <c r="B572" s="124" t="s">
        <v>617</v>
      </c>
      <c r="C572" s="125" t="s">
        <v>973</v>
      </c>
      <c r="D572" s="209" t="s">
        <v>1007</v>
      </c>
      <c r="E572" s="126">
        <v>1</v>
      </c>
      <c r="F572" s="135">
        <v>0</v>
      </c>
      <c r="G572" s="145">
        <f aca="true" t="shared" si="326" ref="G572:G602">E572*AO572</f>
        <v>0</v>
      </c>
      <c r="H572" s="126">
        <f aca="true" t="shared" si="327" ref="H572:H602">E572*AP572</f>
        <v>0</v>
      </c>
      <c r="I572" s="146">
        <f aca="true" t="shared" si="328" ref="I572:I602">E572*F572</f>
        <v>0</v>
      </c>
      <c r="J572" s="219">
        <v>1.4</v>
      </c>
      <c r="K572" s="220">
        <f aca="true" t="shared" si="329" ref="K572:K602">E572*J572</f>
        <v>1.4</v>
      </c>
      <c r="L572" s="153"/>
      <c r="Z572" s="27">
        <f aca="true" t="shared" si="330" ref="Z572:Z602">IF(AQ572="5",BJ572,0)</f>
        <v>0</v>
      </c>
      <c r="AB572" s="27">
        <f aca="true" t="shared" si="331" ref="AB572:AB602">IF(AQ572="1",BH572,0)</f>
        <v>0</v>
      </c>
      <c r="AC572" s="27">
        <f aca="true" t="shared" si="332" ref="AC572:AC602">IF(AQ572="1",BI572,0)</f>
        <v>0</v>
      </c>
      <c r="AD572" s="27">
        <f aca="true" t="shared" si="333" ref="AD572:AD602">IF(AQ572="7",BH572,0)</f>
        <v>0</v>
      </c>
      <c r="AE572" s="27">
        <f aca="true" t="shared" si="334" ref="AE572:AE602">IF(AQ572="7",BI572,0)</f>
        <v>0</v>
      </c>
      <c r="AF572" s="27">
        <f aca="true" t="shared" si="335" ref="AF572:AF602">IF(AQ572="2",BH572,0)</f>
        <v>0</v>
      </c>
      <c r="AG572" s="27">
        <f aca="true" t="shared" si="336" ref="AG572:AG602">IF(AQ572="2",BI572,0)</f>
        <v>0</v>
      </c>
      <c r="AH572" s="27">
        <f aca="true" t="shared" si="337" ref="AH572:AH602">IF(AQ572="0",BJ572,0)</f>
        <v>0</v>
      </c>
      <c r="AI572" s="20"/>
      <c r="AJ572" s="14">
        <f aca="true" t="shared" si="338" ref="AJ572:AJ602">IF(AN572=0,I572,0)</f>
        <v>0</v>
      </c>
      <c r="AK572" s="14">
        <f aca="true" t="shared" si="339" ref="AK572:AK602">IF(AN572=15,I572,0)</f>
        <v>0</v>
      </c>
      <c r="AL572" s="14">
        <f aca="true" t="shared" si="340" ref="AL572:AL602">IF(AN572=21,I572,0)</f>
        <v>0</v>
      </c>
      <c r="AN572" s="27">
        <v>21</v>
      </c>
      <c r="AO572" s="27">
        <f aca="true" t="shared" si="341" ref="AO572:AO599">F572*1</f>
        <v>0</v>
      </c>
      <c r="AP572" s="27">
        <f aca="true" t="shared" si="342" ref="AP572:AP599">F572*(1-1)</f>
        <v>0</v>
      </c>
      <c r="AQ572" s="24" t="s">
        <v>1050</v>
      </c>
      <c r="AV572" s="27">
        <f aca="true" t="shared" si="343" ref="AV572:AV602">AW572+AX572</f>
        <v>0</v>
      </c>
      <c r="AW572" s="27">
        <f aca="true" t="shared" si="344" ref="AW572:AW602">E572*AO572</f>
        <v>0</v>
      </c>
      <c r="AX572" s="27">
        <f aca="true" t="shared" si="345" ref="AX572:AX602">E572*AP572</f>
        <v>0</v>
      </c>
      <c r="AY572" s="28" t="s">
        <v>1092</v>
      </c>
      <c r="AZ572" s="28" t="s">
        <v>1105</v>
      </c>
      <c r="BA572" s="20" t="s">
        <v>1106</v>
      </c>
      <c r="BC572" s="27">
        <f aca="true" t="shared" si="346" ref="BC572:BC602">AW572+AX572</f>
        <v>0</v>
      </c>
      <c r="BD572" s="27">
        <f aca="true" t="shared" si="347" ref="BD572:BD602">F572/(100-BE572)*100</f>
        <v>0</v>
      </c>
      <c r="BE572" s="27">
        <v>0</v>
      </c>
      <c r="BF572" s="27">
        <f aca="true" t="shared" si="348" ref="BF572:BF602">K572</f>
        <v>1.4</v>
      </c>
      <c r="BH572" s="14">
        <f aca="true" t="shared" si="349" ref="BH572:BH602">E572*AO572</f>
        <v>0</v>
      </c>
      <c r="BI572" s="14">
        <f aca="true" t="shared" si="350" ref="BI572:BI602">E572*AP572</f>
        <v>0</v>
      </c>
      <c r="BJ572" s="14">
        <f aca="true" t="shared" si="351" ref="BJ572:BJ602">E572*F572</f>
        <v>0</v>
      </c>
    </row>
    <row r="573" spans="1:62" ht="12.75">
      <c r="A573" s="123" t="s">
        <v>295</v>
      </c>
      <c r="B573" s="124" t="s">
        <v>618</v>
      </c>
      <c r="C573" s="125" t="s">
        <v>974</v>
      </c>
      <c r="D573" s="209" t="s">
        <v>1007</v>
      </c>
      <c r="E573" s="126">
        <v>3</v>
      </c>
      <c r="F573" s="135">
        <v>0</v>
      </c>
      <c r="G573" s="145">
        <f t="shared" si="326"/>
        <v>0</v>
      </c>
      <c r="H573" s="126">
        <f t="shared" si="327"/>
        <v>0</v>
      </c>
      <c r="I573" s="146">
        <f t="shared" si="328"/>
        <v>0</v>
      </c>
      <c r="J573" s="219">
        <v>1.4</v>
      </c>
      <c r="K573" s="220">
        <f t="shared" si="329"/>
        <v>4.199999999999999</v>
      </c>
      <c r="L573" s="153"/>
      <c r="Z573" s="27">
        <f t="shared" si="330"/>
        <v>0</v>
      </c>
      <c r="AB573" s="27">
        <f t="shared" si="331"/>
        <v>0</v>
      </c>
      <c r="AC573" s="27">
        <f t="shared" si="332"/>
        <v>0</v>
      </c>
      <c r="AD573" s="27">
        <f t="shared" si="333"/>
        <v>0</v>
      </c>
      <c r="AE573" s="27">
        <f t="shared" si="334"/>
        <v>0</v>
      </c>
      <c r="AF573" s="27">
        <f t="shared" si="335"/>
        <v>0</v>
      </c>
      <c r="AG573" s="27">
        <f t="shared" si="336"/>
        <v>0</v>
      </c>
      <c r="AH573" s="27">
        <f t="shared" si="337"/>
        <v>0</v>
      </c>
      <c r="AI573" s="20"/>
      <c r="AJ573" s="14">
        <f t="shared" si="338"/>
        <v>0</v>
      </c>
      <c r="AK573" s="14">
        <f t="shared" si="339"/>
        <v>0</v>
      </c>
      <c r="AL573" s="14">
        <f t="shared" si="340"/>
        <v>0</v>
      </c>
      <c r="AN573" s="27">
        <v>21</v>
      </c>
      <c r="AO573" s="27">
        <f t="shared" si="341"/>
        <v>0</v>
      </c>
      <c r="AP573" s="27">
        <f t="shared" si="342"/>
        <v>0</v>
      </c>
      <c r="AQ573" s="24" t="s">
        <v>1050</v>
      </c>
      <c r="AV573" s="27">
        <f t="shared" si="343"/>
        <v>0</v>
      </c>
      <c r="AW573" s="27">
        <f t="shared" si="344"/>
        <v>0</v>
      </c>
      <c r="AX573" s="27">
        <f t="shared" si="345"/>
        <v>0</v>
      </c>
      <c r="AY573" s="28" t="s">
        <v>1092</v>
      </c>
      <c r="AZ573" s="28" t="s">
        <v>1105</v>
      </c>
      <c r="BA573" s="20" t="s">
        <v>1106</v>
      </c>
      <c r="BC573" s="27">
        <f t="shared" si="346"/>
        <v>0</v>
      </c>
      <c r="BD573" s="27">
        <f t="shared" si="347"/>
        <v>0</v>
      </c>
      <c r="BE573" s="27">
        <v>0</v>
      </c>
      <c r="BF573" s="27">
        <f t="shared" si="348"/>
        <v>4.199999999999999</v>
      </c>
      <c r="BH573" s="14">
        <f t="shared" si="349"/>
        <v>0</v>
      </c>
      <c r="BI573" s="14">
        <f t="shared" si="350"/>
        <v>0</v>
      </c>
      <c r="BJ573" s="14">
        <f t="shared" si="351"/>
        <v>0</v>
      </c>
    </row>
    <row r="574" spans="1:62" ht="12.75">
      <c r="A574" s="123" t="s">
        <v>296</v>
      </c>
      <c r="B574" s="124" t="s">
        <v>619</v>
      </c>
      <c r="C574" s="125" t="s">
        <v>975</v>
      </c>
      <c r="D574" s="209" t="s">
        <v>1007</v>
      </c>
      <c r="E574" s="126">
        <v>3</v>
      </c>
      <c r="F574" s="135">
        <v>0</v>
      </c>
      <c r="G574" s="145">
        <f t="shared" si="326"/>
        <v>0</v>
      </c>
      <c r="H574" s="126">
        <f t="shared" si="327"/>
        <v>0</v>
      </c>
      <c r="I574" s="146">
        <f t="shared" si="328"/>
        <v>0</v>
      </c>
      <c r="J574" s="219">
        <v>1.43</v>
      </c>
      <c r="K574" s="220">
        <f t="shared" si="329"/>
        <v>4.29</v>
      </c>
      <c r="L574" s="153"/>
      <c r="Z574" s="27">
        <f t="shared" si="330"/>
        <v>0</v>
      </c>
      <c r="AB574" s="27">
        <f t="shared" si="331"/>
        <v>0</v>
      </c>
      <c r="AC574" s="27">
        <f t="shared" si="332"/>
        <v>0</v>
      </c>
      <c r="AD574" s="27">
        <f t="shared" si="333"/>
        <v>0</v>
      </c>
      <c r="AE574" s="27">
        <f t="shared" si="334"/>
        <v>0</v>
      </c>
      <c r="AF574" s="27">
        <f t="shared" si="335"/>
        <v>0</v>
      </c>
      <c r="AG574" s="27">
        <f t="shared" si="336"/>
        <v>0</v>
      </c>
      <c r="AH574" s="27">
        <f t="shared" si="337"/>
        <v>0</v>
      </c>
      <c r="AI574" s="20"/>
      <c r="AJ574" s="14">
        <f t="shared" si="338"/>
        <v>0</v>
      </c>
      <c r="AK574" s="14">
        <f t="shared" si="339"/>
        <v>0</v>
      </c>
      <c r="AL574" s="14">
        <f t="shared" si="340"/>
        <v>0</v>
      </c>
      <c r="AN574" s="27">
        <v>21</v>
      </c>
      <c r="AO574" s="27">
        <f t="shared" si="341"/>
        <v>0</v>
      </c>
      <c r="AP574" s="27">
        <f t="shared" si="342"/>
        <v>0</v>
      </c>
      <c r="AQ574" s="24" t="s">
        <v>1050</v>
      </c>
      <c r="AV574" s="27">
        <f t="shared" si="343"/>
        <v>0</v>
      </c>
      <c r="AW574" s="27">
        <f t="shared" si="344"/>
        <v>0</v>
      </c>
      <c r="AX574" s="27">
        <f t="shared" si="345"/>
        <v>0</v>
      </c>
      <c r="AY574" s="28" t="s">
        <v>1092</v>
      </c>
      <c r="AZ574" s="28" t="s">
        <v>1105</v>
      </c>
      <c r="BA574" s="20" t="s">
        <v>1106</v>
      </c>
      <c r="BC574" s="27">
        <f t="shared" si="346"/>
        <v>0</v>
      </c>
      <c r="BD574" s="27">
        <f t="shared" si="347"/>
        <v>0</v>
      </c>
      <c r="BE574" s="27">
        <v>0</v>
      </c>
      <c r="BF574" s="27">
        <f t="shared" si="348"/>
        <v>4.29</v>
      </c>
      <c r="BH574" s="14">
        <f t="shared" si="349"/>
        <v>0</v>
      </c>
      <c r="BI574" s="14">
        <f t="shared" si="350"/>
        <v>0</v>
      </c>
      <c r="BJ574" s="14">
        <f t="shared" si="351"/>
        <v>0</v>
      </c>
    </row>
    <row r="575" spans="1:62" ht="12.75">
      <c r="A575" s="123" t="s">
        <v>297</v>
      </c>
      <c r="B575" s="124" t="s">
        <v>620</v>
      </c>
      <c r="C575" s="125" t="s">
        <v>976</v>
      </c>
      <c r="D575" s="209" t="s">
        <v>1007</v>
      </c>
      <c r="E575" s="126">
        <v>1</v>
      </c>
      <c r="F575" s="135">
        <v>0</v>
      </c>
      <c r="G575" s="145">
        <f t="shared" si="326"/>
        <v>0</v>
      </c>
      <c r="H575" s="126">
        <f t="shared" si="327"/>
        <v>0</v>
      </c>
      <c r="I575" s="146">
        <f t="shared" si="328"/>
        <v>0</v>
      </c>
      <c r="J575" s="219">
        <v>1.46</v>
      </c>
      <c r="K575" s="220">
        <f t="shared" si="329"/>
        <v>1.46</v>
      </c>
      <c r="L575" s="153"/>
      <c r="Z575" s="27">
        <f t="shared" si="330"/>
        <v>0</v>
      </c>
      <c r="AB575" s="27">
        <f t="shared" si="331"/>
        <v>0</v>
      </c>
      <c r="AC575" s="27">
        <f t="shared" si="332"/>
        <v>0</v>
      </c>
      <c r="AD575" s="27">
        <f t="shared" si="333"/>
        <v>0</v>
      </c>
      <c r="AE575" s="27">
        <f t="shared" si="334"/>
        <v>0</v>
      </c>
      <c r="AF575" s="27">
        <f t="shared" si="335"/>
        <v>0</v>
      </c>
      <c r="AG575" s="27">
        <f t="shared" si="336"/>
        <v>0</v>
      </c>
      <c r="AH575" s="27">
        <f t="shared" si="337"/>
        <v>0</v>
      </c>
      <c r="AI575" s="20"/>
      <c r="AJ575" s="14">
        <f t="shared" si="338"/>
        <v>0</v>
      </c>
      <c r="AK575" s="14">
        <f t="shared" si="339"/>
        <v>0</v>
      </c>
      <c r="AL575" s="14">
        <f t="shared" si="340"/>
        <v>0</v>
      </c>
      <c r="AN575" s="27">
        <v>21</v>
      </c>
      <c r="AO575" s="27">
        <f t="shared" si="341"/>
        <v>0</v>
      </c>
      <c r="AP575" s="27">
        <f t="shared" si="342"/>
        <v>0</v>
      </c>
      <c r="AQ575" s="24" t="s">
        <v>1050</v>
      </c>
      <c r="AV575" s="27">
        <f t="shared" si="343"/>
        <v>0</v>
      </c>
      <c r="AW575" s="27">
        <f t="shared" si="344"/>
        <v>0</v>
      </c>
      <c r="AX575" s="27">
        <f t="shared" si="345"/>
        <v>0</v>
      </c>
      <c r="AY575" s="28" t="s">
        <v>1092</v>
      </c>
      <c r="AZ575" s="28" t="s">
        <v>1105</v>
      </c>
      <c r="BA575" s="20" t="s">
        <v>1106</v>
      </c>
      <c r="BC575" s="27">
        <f t="shared" si="346"/>
        <v>0</v>
      </c>
      <c r="BD575" s="27">
        <f t="shared" si="347"/>
        <v>0</v>
      </c>
      <c r="BE575" s="27">
        <v>0</v>
      </c>
      <c r="BF575" s="27">
        <f t="shared" si="348"/>
        <v>1.46</v>
      </c>
      <c r="BH575" s="14">
        <f t="shared" si="349"/>
        <v>0</v>
      </c>
      <c r="BI575" s="14">
        <f t="shared" si="350"/>
        <v>0</v>
      </c>
      <c r="BJ575" s="14">
        <f t="shared" si="351"/>
        <v>0</v>
      </c>
    </row>
    <row r="576" spans="1:62" ht="12.75">
      <c r="A576" s="123" t="s">
        <v>298</v>
      </c>
      <c r="B576" s="124" t="s">
        <v>621</v>
      </c>
      <c r="C576" s="125" t="s">
        <v>977</v>
      </c>
      <c r="D576" s="209" t="s">
        <v>1007</v>
      </c>
      <c r="E576" s="126">
        <v>1</v>
      </c>
      <c r="F576" s="135">
        <v>0</v>
      </c>
      <c r="G576" s="145">
        <f t="shared" si="326"/>
        <v>0</v>
      </c>
      <c r="H576" s="126">
        <f t="shared" si="327"/>
        <v>0</v>
      </c>
      <c r="I576" s="146">
        <f t="shared" si="328"/>
        <v>0</v>
      </c>
      <c r="J576" s="219">
        <v>1.48</v>
      </c>
      <c r="K576" s="220">
        <f t="shared" si="329"/>
        <v>1.48</v>
      </c>
      <c r="L576" s="153"/>
      <c r="Z576" s="27">
        <f t="shared" si="330"/>
        <v>0</v>
      </c>
      <c r="AB576" s="27">
        <f t="shared" si="331"/>
        <v>0</v>
      </c>
      <c r="AC576" s="27">
        <f t="shared" si="332"/>
        <v>0</v>
      </c>
      <c r="AD576" s="27">
        <f t="shared" si="333"/>
        <v>0</v>
      </c>
      <c r="AE576" s="27">
        <f t="shared" si="334"/>
        <v>0</v>
      </c>
      <c r="AF576" s="27">
        <f t="shared" si="335"/>
        <v>0</v>
      </c>
      <c r="AG576" s="27">
        <f t="shared" si="336"/>
        <v>0</v>
      </c>
      <c r="AH576" s="27">
        <f t="shared" si="337"/>
        <v>0</v>
      </c>
      <c r="AI576" s="20"/>
      <c r="AJ576" s="14">
        <f t="shared" si="338"/>
        <v>0</v>
      </c>
      <c r="AK576" s="14">
        <f t="shared" si="339"/>
        <v>0</v>
      </c>
      <c r="AL576" s="14">
        <f t="shared" si="340"/>
        <v>0</v>
      </c>
      <c r="AN576" s="27">
        <v>21</v>
      </c>
      <c r="AO576" s="27">
        <f t="shared" si="341"/>
        <v>0</v>
      </c>
      <c r="AP576" s="27">
        <f t="shared" si="342"/>
        <v>0</v>
      </c>
      <c r="AQ576" s="24" t="s">
        <v>1050</v>
      </c>
      <c r="AV576" s="27">
        <f t="shared" si="343"/>
        <v>0</v>
      </c>
      <c r="AW576" s="27">
        <f t="shared" si="344"/>
        <v>0</v>
      </c>
      <c r="AX576" s="27">
        <f t="shared" si="345"/>
        <v>0</v>
      </c>
      <c r="AY576" s="28" t="s">
        <v>1092</v>
      </c>
      <c r="AZ576" s="28" t="s">
        <v>1105</v>
      </c>
      <c r="BA576" s="20" t="s">
        <v>1106</v>
      </c>
      <c r="BC576" s="27">
        <f t="shared" si="346"/>
        <v>0</v>
      </c>
      <c r="BD576" s="27">
        <f t="shared" si="347"/>
        <v>0</v>
      </c>
      <c r="BE576" s="27">
        <v>0</v>
      </c>
      <c r="BF576" s="27">
        <f t="shared" si="348"/>
        <v>1.48</v>
      </c>
      <c r="BH576" s="14">
        <f t="shared" si="349"/>
        <v>0</v>
      </c>
      <c r="BI576" s="14">
        <f t="shared" si="350"/>
        <v>0</v>
      </c>
      <c r="BJ576" s="14">
        <f t="shared" si="351"/>
        <v>0</v>
      </c>
    </row>
    <row r="577" spans="1:62" ht="12.75">
      <c r="A577" s="123" t="s">
        <v>299</v>
      </c>
      <c r="B577" s="124" t="s">
        <v>622</v>
      </c>
      <c r="C577" s="125" t="s">
        <v>978</v>
      </c>
      <c r="D577" s="209" t="s">
        <v>1007</v>
      </c>
      <c r="E577" s="126">
        <v>7</v>
      </c>
      <c r="F577" s="135">
        <v>0</v>
      </c>
      <c r="G577" s="145">
        <f t="shared" si="326"/>
        <v>0</v>
      </c>
      <c r="H577" s="126">
        <f t="shared" si="327"/>
        <v>0</v>
      </c>
      <c r="I577" s="146">
        <f t="shared" si="328"/>
        <v>0</v>
      </c>
      <c r="J577" s="219">
        <v>1.54</v>
      </c>
      <c r="K577" s="220">
        <f t="shared" si="329"/>
        <v>10.780000000000001</v>
      </c>
      <c r="L577" s="153"/>
      <c r="Z577" s="27">
        <f t="shared" si="330"/>
        <v>0</v>
      </c>
      <c r="AB577" s="27">
        <f t="shared" si="331"/>
        <v>0</v>
      </c>
      <c r="AC577" s="27">
        <f t="shared" si="332"/>
        <v>0</v>
      </c>
      <c r="AD577" s="27">
        <f t="shared" si="333"/>
        <v>0</v>
      </c>
      <c r="AE577" s="27">
        <f t="shared" si="334"/>
        <v>0</v>
      </c>
      <c r="AF577" s="27">
        <f t="shared" si="335"/>
        <v>0</v>
      </c>
      <c r="AG577" s="27">
        <f t="shared" si="336"/>
        <v>0</v>
      </c>
      <c r="AH577" s="27">
        <f t="shared" si="337"/>
        <v>0</v>
      </c>
      <c r="AI577" s="20"/>
      <c r="AJ577" s="14">
        <f t="shared" si="338"/>
        <v>0</v>
      </c>
      <c r="AK577" s="14">
        <f t="shared" si="339"/>
        <v>0</v>
      </c>
      <c r="AL577" s="14">
        <f t="shared" si="340"/>
        <v>0</v>
      </c>
      <c r="AN577" s="27">
        <v>21</v>
      </c>
      <c r="AO577" s="27">
        <f t="shared" si="341"/>
        <v>0</v>
      </c>
      <c r="AP577" s="27">
        <f t="shared" si="342"/>
        <v>0</v>
      </c>
      <c r="AQ577" s="24" t="s">
        <v>1050</v>
      </c>
      <c r="AV577" s="27">
        <f t="shared" si="343"/>
        <v>0</v>
      </c>
      <c r="AW577" s="27">
        <f t="shared" si="344"/>
        <v>0</v>
      </c>
      <c r="AX577" s="27">
        <f t="shared" si="345"/>
        <v>0</v>
      </c>
      <c r="AY577" s="28" t="s">
        <v>1092</v>
      </c>
      <c r="AZ577" s="28" t="s">
        <v>1105</v>
      </c>
      <c r="BA577" s="20" t="s">
        <v>1106</v>
      </c>
      <c r="BC577" s="27">
        <f t="shared" si="346"/>
        <v>0</v>
      </c>
      <c r="BD577" s="27">
        <f t="shared" si="347"/>
        <v>0</v>
      </c>
      <c r="BE577" s="27">
        <v>0</v>
      </c>
      <c r="BF577" s="27">
        <f t="shared" si="348"/>
        <v>10.780000000000001</v>
      </c>
      <c r="BH577" s="14">
        <f t="shared" si="349"/>
        <v>0</v>
      </c>
      <c r="BI577" s="14">
        <f t="shared" si="350"/>
        <v>0</v>
      </c>
      <c r="BJ577" s="14">
        <f t="shared" si="351"/>
        <v>0</v>
      </c>
    </row>
    <row r="578" spans="1:62" ht="12.75">
      <c r="A578" s="123" t="s">
        <v>300</v>
      </c>
      <c r="B578" s="124" t="s">
        <v>623</v>
      </c>
      <c r="C578" s="125" t="s">
        <v>979</v>
      </c>
      <c r="D578" s="209" t="s">
        <v>1007</v>
      </c>
      <c r="E578" s="126">
        <v>2</v>
      </c>
      <c r="F578" s="135">
        <v>0</v>
      </c>
      <c r="G578" s="145">
        <f t="shared" si="326"/>
        <v>0</v>
      </c>
      <c r="H578" s="126">
        <f t="shared" si="327"/>
        <v>0</v>
      </c>
      <c r="I578" s="146">
        <f t="shared" si="328"/>
        <v>0</v>
      </c>
      <c r="J578" s="219">
        <v>1.94</v>
      </c>
      <c r="K578" s="220">
        <f t="shared" si="329"/>
        <v>3.88</v>
      </c>
      <c r="L578" s="153"/>
      <c r="Z578" s="27">
        <f t="shared" si="330"/>
        <v>0</v>
      </c>
      <c r="AB578" s="27">
        <f t="shared" si="331"/>
        <v>0</v>
      </c>
      <c r="AC578" s="27">
        <f t="shared" si="332"/>
        <v>0</v>
      </c>
      <c r="AD578" s="27">
        <f t="shared" si="333"/>
        <v>0</v>
      </c>
      <c r="AE578" s="27">
        <f t="shared" si="334"/>
        <v>0</v>
      </c>
      <c r="AF578" s="27">
        <f t="shared" si="335"/>
        <v>0</v>
      </c>
      <c r="AG578" s="27">
        <f t="shared" si="336"/>
        <v>0</v>
      </c>
      <c r="AH578" s="27">
        <f t="shared" si="337"/>
        <v>0</v>
      </c>
      <c r="AI578" s="20"/>
      <c r="AJ578" s="14">
        <f t="shared" si="338"/>
        <v>0</v>
      </c>
      <c r="AK578" s="14">
        <f t="shared" si="339"/>
        <v>0</v>
      </c>
      <c r="AL578" s="14">
        <f t="shared" si="340"/>
        <v>0</v>
      </c>
      <c r="AN578" s="27">
        <v>21</v>
      </c>
      <c r="AO578" s="27">
        <f t="shared" si="341"/>
        <v>0</v>
      </c>
      <c r="AP578" s="27">
        <f t="shared" si="342"/>
        <v>0</v>
      </c>
      <c r="AQ578" s="24" t="s">
        <v>1050</v>
      </c>
      <c r="AV578" s="27">
        <f t="shared" si="343"/>
        <v>0</v>
      </c>
      <c r="AW578" s="27">
        <f t="shared" si="344"/>
        <v>0</v>
      </c>
      <c r="AX578" s="27">
        <f t="shared" si="345"/>
        <v>0</v>
      </c>
      <c r="AY578" s="28" t="s">
        <v>1092</v>
      </c>
      <c r="AZ578" s="28" t="s">
        <v>1105</v>
      </c>
      <c r="BA578" s="20" t="s">
        <v>1106</v>
      </c>
      <c r="BC578" s="27">
        <f t="shared" si="346"/>
        <v>0</v>
      </c>
      <c r="BD578" s="27">
        <f t="shared" si="347"/>
        <v>0</v>
      </c>
      <c r="BE578" s="27">
        <v>0</v>
      </c>
      <c r="BF578" s="27">
        <f t="shared" si="348"/>
        <v>3.88</v>
      </c>
      <c r="BH578" s="14">
        <f t="shared" si="349"/>
        <v>0</v>
      </c>
      <c r="BI578" s="14">
        <f t="shared" si="350"/>
        <v>0</v>
      </c>
      <c r="BJ578" s="14">
        <f t="shared" si="351"/>
        <v>0</v>
      </c>
    </row>
    <row r="579" spans="1:62" ht="12.75">
      <c r="A579" s="123" t="s">
        <v>301</v>
      </c>
      <c r="B579" s="124" t="s">
        <v>624</v>
      </c>
      <c r="C579" s="125" t="s">
        <v>980</v>
      </c>
      <c r="D579" s="209" t="s">
        <v>1007</v>
      </c>
      <c r="E579" s="126">
        <v>3</v>
      </c>
      <c r="F579" s="135">
        <v>0</v>
      </c>
      <c r="G579" s="145">
        <f t="shared" si="326"/>
        <v>0</v>
      </c>
      <c r="H579" s="126">
        <f t="shared" si="327"/>
        <v>0</v>
      </c>
      <c r="I579" s="146">
        <f t="shared" si="328"/>
        <v>0</v>
      </c>
      <c r="J579" s="219">
        <v>2.5</v>
      </c>
      <c r="K579" s="220">
        <f t="shared" si="329"/>
        <v>7.5</v>
      </c>
      <c r="L579" s="153"/>
      <c r="Z579" s="27">
        <f t="shared" si="330"/>
        <v>0</v>
      </c>
      <c r="AB579" s="27">
        <f t="shared" si="331"/>
        <v>0</v>
      </c>
      <c r="AC579" s="27">
        <f t="shared" si="332"/>
        <v>0</v>
      </c>
      <c r="AD579" s="27">
        <f t="shared" si="333"/>
        <v>0</v>
      </c>
      <c r="AE579" s="27">
        <f t="shared" si="334"/>
        <v>0</v>
      </c>
      <c r="AF579" s="27">
        <f t="shared" si="335"/>
        <v>0</v>
      </c>
      <c r="AG579" s="27">
        <f t="shared" si="336"/>
        <v>0</v>
      </c>
      <c r="AH579" s="27">
        <f t="shared" si="337"/>
        <v>0</v>
      </c>
      <c r="AI579" s="20"/>
      <c r="AJ579" s="14">
        <f t="shared" si="338"/>
        <v>0</v>
      </c>
      <c r="AK579" s="14">
        <f t="shared" si="339"/>
        <v>0</v>
      </c>
      <c r="AL579" s="14">
        <f t="shared" si="340"/>
        <v>0</v>
      </c>
      <c r="AN579" s="27">
        <v>21</v>
      </c>
      <c r="AO579" s="27">
        <f t="shared" si="341"/>
        <v>0</v>
      </c>
      <c r="AP579" s="27">
        <f t="shared" si="342"/>
        <v>0</v>
      </c>
      <c r="AQ579" s="24" t="s">
        <v>1050</v>
      </c>
      <c r="AV579" s="27">
        <f t="shared" si="343"/>
        <v>0</v>
      </c>
      <c r="AW579" s="27">
        <f t="shared" si="344"/>
        <v>0</v>
      </c>
      <c r="AX579" s="27">
        <f t="shared" si="345"/>
        <v>0</v>
      </c>
      <c r="AY579" s="28" t="s">
        <v>1092</v>
      </c>
      <c r="AZ579" s="28" t="s">
        <v>1105</v>
      </c>
      <c r="BA579" s="20" t="s">
        <v>1106</v>
      </c>
      <c r="BC579" s="27">
        <f t="shared" si="346"/>
        <v>0</v>
      </c>
      <c r="BD579" s="27">
        <f t="shared" si="347"/>
        <v>0</v>
      </c>
      <c r="BE579" s="27">
        <v>0</v>
      </c>
      <c r="BF579" s="27">
        <f t="shared" si="348"/>
        <v>7.5</v>
      </c>
      <c r="BH579" s="14">
        <f t="shared" si="349"/>
        <v>0</v>
      </c>
      <c r="BI579" s="14">
        <f t="shared" si="350"/>
        <v>0</v>
      </c>
      <c r="BJ579" s="14">
        <f t="shared" si="351"/>
        <v>0</v>
      </c>
    </row>
    <row r="580" spans="1:62" ht="12.75">
      <c r="A580" s="123" t="s">
        <v>302</v>
      </c>
      <c r="B580" s="124" t="s">
        <v>625</v>
      </c>
      <c r="C580" s="125" t="s">
        <v>981</v>
      </c>
      <c r="D580" s="209" t="s">
        <v>1007</v>
      </c>
      <c r="E580" s="126">
        <v>1</v>
      </c>
      <c r="F580" s="135">
        <v>0</v>
      </c>
      <c r="G580" s="145">
        <f t="shared" si="326"/>
        <v>0</v>
      </c>
      <c r="H580" s="126">
        <f t="shared" si="327"/>
        <v>0</v>
      </c>
      <c r="I580" s="146">
        <f t="shared" si="328"/>
        <v>0</v>
      </c>
      <c r="J580" s="219">
        <v>2.54</v>
      </c>
      <c r="K580" s="220">
        <f t="shared" si="329"/>
        <v>2.54</v>
      </c>
      <c r="L580" s="153"/>
      <c r="Z580" s="27">
        <f t="shared" si="330"/>
        <v>0</v>
      </c>
      <c r="AB580" s="27">
        <f t="shared" si="331"/>
        <v>0</v>
      </c>
      <c r="AC580" s="27">
        <f t="shared" si="332"/>
        <v>0</v>
      </c>
      <c r="AD580" s="27">
        <f t="shared" si="333"/>
        <v>0</v>
      </c>
      <c r="AE580" s="27">
        <f t="shared" si="334"/>
        <v>0</v>
      </c>
      <c r="AF580" s="27">
        <f t="shared" si="335"/>
        <v>0</v>
      </c>
      <c r="AG580" s="27">
        <f t="shared" si="336"/>
        <v>0</v>
      </c>
      <c r="AH580" s="27">
        <f t="shared" si="337"/>
        <v>0</v>
      </c>
      <c r="AI580" s="20"/>
      <c r="AJ580" s="14">
        <f t="shared" si="338"/>
        <v>0</v>
      </c>
      <c r="AK580" s="14">
        <f t="shared" si="339"/>
        <v>0</v>
      </c>
      <c r="AL580" s="14">
        <f t="shared" si="340"/>
        <v>0</v>
      </c>
      <c r="AN580" s="27">
        <v>21</v>
      </c>
      <c r="AO580" s="27">
        <f t="shared" si="341"/>
        <v>0</v>
      </c>
      <c r="AP580" s="27">
        <f t="shared" si="342"/>
        <v>0</v>
      </c>
      <c r="AQ580" s="24" t="s">
        <v>1050</v>
      </c>
      <c r="AV580" s="27">
        <f t="shared" si="343"/>
        <v>0</v>
      </c>
      <c r="AW580" s="27">
        <f t="shared" si="344"/>
        <v>0</v>
      </c>
      <c r="AX580" s="27">
        <f t="shared" si="345"/>
        <v>0</v>
      </c>
      <c r="AY580" s="28" t="s">
        <v>1092</v>
      </c>
      <c r="AZ580" s="28" t="s">
        <v>1105</v>
      </c>
      <c r="BA580" s="20" t="s">
        <v>1106</v>
      </c>
      <c r="BC580" s="27">
        <f t="shared" si="346"/>
        <v>0</v>
      </c>
      <c r="BD580" s="27">
        <f t="shared" si="347"/>
        <v>0</v>
      </c>
      <c r="BE580" s="27">
        <v>0</v>
      </c>
      <c r="BF580" s="27">
        <f t="shared" si="348"/>
        <v>2.54</v>
      </c>
      <c r="BH580" s="14">
        <f t="shared" si="349"/>
        <v>0</v>
      </c>
      <c r="BI580" s="14">
        <f t="shared" si="350"/>
        <v>0</v>
      </c>
      <c r="BJ580" s="14">
        <f t="shared" si="351"/>
        <v>0</v>
      </c>
    </row>
    <row r="581" spans="1:62" ht="12.75">
      <c r="A581" s="123" t="s">
        <v>303</v>
      </c>
      <c r="B581" s="124" t="s">
        <v>626</v>
      </c>
      <c r="C581" s="125" t="s">
        <v>982</v>
      </c>
      <c r="D581" s="209" t="s">
        <v>1007</v>
      </c>
      <c r="E581" s="126">
        <v>1</v>
      </c>
      <c r="F581" s="135">
        <v>0</v>
      </c>
      <c r="G581" s="145">
        <f t="shared" si="326"/>
        <v>0</v>
      </c>
      <c r="H581" s="126">
        <f t="shared" si="327"/>
        <v>0</v>
      </c>
      <c r="I581" s="146">
        <f t="shared" si="328"/>
        <v>0</v>
      </c>
      <c r="J581" s="219">
        <v>2.59</v>
      </c>
      <c r="K581" s="220">
        <f t="shared" si="329"/>
        <v>2.59</v>
      </c>
      <c r="L581" s="153"/>
      <c r="Z581" s="27">
        <f t="shared" si="330"/>
        <v>0</v>
      </c>
      <c r="AB581" s="27">
        <f t="shared" si="331"/>
        <v>0</v>
      </c>
      <c r="AC581" s="27">
        <f t="shared" si="332"/>
        <v>0</v>
      </c>
      <c r="AD581" s="27">
        <f t="shared" si="333"/>
        <v>0</v>
      </c>
      <c r="AE581" s="27">
        <f t="shared" si="334"/>
        <v>0</v>
      </c>
      <c r="AF581" s="27">
        <f t="shared" si="335"/>
        <v>0</v>
      </c>
      <c r="AG581" s="27">
        <f t="shared" si="336"/>
        <v>0</v>
      </c>
      <c r="AH581" s="27">
        <f t="shared" si="337"/>
        <v>0</v>
      </c>
      <c r="AI581" s="20"/>
      <c r="AJ581" s="14">
        <f t="shared" si="338"/>
        <v>0</v>
      </c>
      <c r="AK581" s="14">
        <f t="shared" si="339"/>
        <v>0</v>
      </c>
      <c r="AL581" s="14">
        <f t="shared" si="340"/>
        <v>0</v>
      </c>
      <c r="AN581" s="27">
        <v>21</v>
      </c>
      <c r="AO581" s="27">
        <f t="shared" si="341"/>
        <v>0</v>
      </c>
      <c r="AP581" s="27">
        <f t="shared" si="342"/>
        <v>0</v>
      </c>
      <c r="AQ581" s="24" t="s">
        <v>1050</v>
      </c>
      <c r="AV581" s="27">
        <f t="shared" si="343"/>
        <v>0</v>
      </c>
      <c r="AW581" s="27">
        <f t="shared" si="344"/>
        <v>0</v>
      </c>
      <c r="AX581" s="27">
        <f t="shared" si="345"/>
        <v>0</v>
      </c>
      <c r="AY581" s="28" t="s">
        <v>1092</v>
      </c>
      <c r="AZ581" s="28" t="s">
        <v>1105</v>
      </c>
      <c r="BA581" s="20" t="s">
        <v>1106</v>
      </c>
      <c r="BC581" s="27">
        <f t="shared" si="346"/>
        <v>0</v>
      </c>
      <c r="BD581" s="27">
        <f t="shared" si="347"/>
        <v>0</v>
      </c>
      <c r="BE581" s="27">
        <v>0</v>
      </c>
      <c r="BF581" s="27">
        <f t="shared" si="348"/>
        <v>2.59</v>
      </c>
      <c r="BH581" s="14">
        <f t="shared" si="349"/>
        <v>0</v>
      </c>
      <c r="BI581" s="14">
        <f t="shared" si="350"/>
        <v>0</v>
      </c>
      <c r="BJ581" s="14">
        <f t="shared" si="351"/>
        <v>0</v>
      </c>
    </row>
    <row r="582" spans="1:62" ht="12.75">
      <c r="A582" s="123" t="s">
        <v>304</v>
      </c>
      <c r="B582" s="124" t="s">
        <v>627</v>
      </c>
      <c r="C582" s="125" t="s">
        <v>983</v>
      </c>
      <c r="D582" s="209" t="s">
        <v>1007</v>
      </c>
      <c r="E582" s="126">
        <v>1</v>
      </c>
      <c r="F582" s="135">
        <v>0</v>
      </c>
      <c r="G582" s="145">
        <f t="shared" si="326"/>
        <v>0</v>
      </c>
      <c r="H582" s="126">
        <f t="shared" si="327"/>
        <v>0</v>
      </c>
      <c r="I582" s="146">
        <f t="shared" si="328"/>
        <v>0</v>
      </c>
      <c r="J582" s="219">
        <v>3.9</v>
      </c>
      <c r="K582" s="220">
        <f t="shared" si="329"/>
        <v>3.9</v>
      </c>
      <c r="L582" s="153"/>
      <c r="Z582" s="27">
        <f t="shared" si="330"/>
        <v>0</v>
      </c>
      <c r="AB582" s="27">
        <f t="shared" si="331"/>
        <v>0</v>
      </c>
      <c r="AC582" s="27">
        <f t="shared" si="332"/>
        <v>0</v>
      </c>
      <c r="AD582" s="27">
        <f t="shared" si="333"/>
        <v>0</v>
      </c>
      <c r="AE582" s="27">
        <f t="shared" si="334"/>
        <v>0</v>
      </c>
      <c r="AF582" s="27">
        <f t="shared" si="335"/>
        <v>0</v>
      </c>
      <c r="AG582" s="27">
        <f t="shared" si="336"/>
        <v>0</v>
      </c>
      <c r="AH582" s="27">
        <f t="shared" si="337"/>
        <v>0</v>
      </c>
      <c r="AI582" s="20"/>
      <c r="AJ582" s="14">
        <f t="shared" si="338"/>
        <v>0</v>
      </c>
      <c r="AK582" s="14">
        <f t="shared" si="339"/>
        <v>0</v>
      </c>
      <c r="AL582" s="14">
        <f t="shared" si="340"/>
        <v>0</v>
      </c>
      <c r="AN582" s="27">
        <v>21</v>
      </c>
      <c r="AO582" s="27">
        <f t="shared" si="341"/>
        <v>0</v>
      </c>
      <c r="AP582" s="27">
        <f t="shared" si="342"/>
        <v>0</v>
      </c>
      <c r="AQ582" s="24" t="s">
        <v>1050</v>
      </c>
      <c r="AV582" s="27">
        <f t="shared" si="343"/>
        <v>0</v>
      </c>
      <c r="AW582" s="27">
        <f t="shared" si="344"/>
        <v>0</v>
      </c>
      <c r="AX582" s="27">
        <f t="shared" si="345"/>
        <v>0</v>
      </c>
      <c r="AY582" s="28" t="s">
        <v>1092</v>
      </c>
      <c r="AZ582" s="28" t="s">
        <v>1105</v>
      </c>
      <c r="BA582" s="20" t="s">
        <v>1106</v>
      </c>
      <c r="BC582" s="27">
        <f t="shared" si="346"/>
        <v>0</v>
      </c>
      <c r="BD582" s="27">
        <f t="shared" si="347"/>
        <v>0</v>
      </c>
      <c r="BE582" s="27">
        <v>0</v>
      </c>
      <c r="BF582" s="27">
        <f t="shared" si="348"/>
        <v>3.9</v>
      </c>
      <c r="BH582" s="14">
        <f t="shared" si="349"/>
        <v>0</v>
      </c>
      <c r="BI582" s="14">
        <f t="shared" si="350"/>
        <v>0</v>
      </c>
      <c r="BJ582" s="14">
        <f t="shared" si="351"/>
        <v>0</v>
      </c>
    </row>
    <row r="583" spans="1:62" ht="12.75">
      <c r="A583" s="123" t="s">
        <v>305</v>
      </c>
      <c r="B583" s="124" t="s">
        <v>628</v>
      </c>
      <c r="C583" s="125" t="s">
        <v>984</v>
      </c>
      <c r="D583" s="209" t="s">
        <v>1007</v>
      </c>
      <c r="E583" s="126">
        <v>103</v>
      </c>
      <c r="F583" s="135">
        <v>0</v>
      </c>
      <c r="G583" s="145">
        <f t="shared" si="326"/>
        <v>0</v>
      </c>
      <c r="H583" s="126">
        <f t="shared" si="327"/>
        <v>0</v>
      </c>
      <c r="I583" s="146">
        <f t="shared" si="328"/>
        <v>0</v>
      </c>
      <c r="J583" s="219">
        <v>0.002</v>
      </c>
      <c r="K583" s="220">
        <f t="shared" si="329"/>
        <v>0.20600000000000002</v>
      </c>
      <c r="L583" s="153" t="s">
        <v>1039</v>
      </c>
      <c r="Z583" s="27">
        <f t="shared" si="330"/>
        <v>0</v>
      </c>
      <c r="AB583" s="27">
        <f t="shared" si="331"/>
        <v>0</v>
      </c>
      <c r="AC583" s="27">
        <f t="shared" si="332"/>
        <v>0</v>
      </c>
      <c r="AD583" s="27">
        <f t="shared" si="333"/>
        <v>0</v>
      </c>
      <c r="AE583" s="27">
        <f t="shared" si="334"/>
        <v>0</v>
      </c>
      <c r="AF583" s="27">
        <f t="shared" si="335"/>
        <v>0</v>
      </c>
      <c r="AG583" s="27">
        <f t="shared" si="336"/>
        <v>0</v>
      </c>
      <c r="AH583" s="27">
        <f t="shared" si="337"/>
        <v>0</v>
      </c>
      <c r="AI583" s="20"/>
      <c r="AJ583" s="14">
        <f t="shared" si="338"/>
        <v>0</v>
      </c>
      <c r="AK583" s="14">
        <f t="shared" si="339"/>
        <v>0</v>
      </c>
      <c r="AL583" s="14">
        <f t="shared" si="340"/>
        <v>0</v>
      </c>
      <c r="AN583" s="27">
        <v>21</v>
      </c>
      <c r="AO583" s="27">
        <f t="shared" si="341"/>
        <v>0</v>
      </c>
      <c r="AP583" s="27">
        <f t="shared" si="342"/>
        <v>0</v>
      </c>
      <c r="AQ583" s="24" t="s">
        <v>1050</v>
      </c>
      <c r="AV583" s="27">
        <f t="shared" si="343"/>
        <v>0</v>
      </c>
      <c r="AW583" s="27">
        <f t="shared" si="344"/>
        <v>0</v>
      </c>
      <c r="AX583" s="27">
        <f t="shared" si="345"/>
        <v>0</v>
      </c>
      <c r="AY583" s="28" t="s">
        <v>1092</v>
      </c>
      <c r="AZ583" s="28" t="s">
        <v>1105</v>
      </c>
      <c r="BA583" s="20" t="s">
        <v>1106</v>
      </c>
      <c r="BC583" s="27">
        <f t="shared" si="346"/>
        <v>0</v>
      </c>
      <c r="BD583" s="27">
        <f t="shared" si="347"/>
        <v>0</v>
      </c>
      <c r="BE583" s="27">
        <v>0</v>
      </c>
      <c r="BF583" s="27">
        <f t="shared" si="348"/>
        <v>0.20600000000000002</v>
      </c>
      <c r="BH583" s="14">
        <f t="shared" si="349"/>
        <v>0</v>
      </c>
      <c r="BI583" s="14">
        <f t="shared" si="350"/>
        <v>0</v>
      </c>
      <c r="BJ583" s="14">
        <f t="shared" si="351"/>
        <v>0</v>
      </c>
    </row>
    <row r="584" spans="1:62" ht="12.75">
      <c r="A584" s="123" t="s">
        <v>306</v>
      </c>
      <c r="B584" s="124" t="s">
        <v>629</v>
      </c>
      <c r="C584" s="125" t="s">
        <v>985</v>
      </c>
      <c r="D584" s="209" t="s">
        <v>1007</v>
      </c>
      <c r="E584" s="126">
        <v>1</v>
      </c>
      <c r="F584" s="135">
        <v>0</v>
      </c>
      <c r="G584" s="145">
        <f t="shared" si="326"/>
        <v>0</v>
      </c>
      <c r="H584" s="126">
        <f t="shared" si="327"/>
        <v>0</v>
      </c>
      <c r="I584" s="146">
        <f t="shared" si="328"/>
        <v>0</v>
      </c>
      <c r="J584" s="219">
        <v>0.003</v>
      </c>
      <c r="K584" s="220">
        <f t="shared" si="329"/>
        <v>0.003</v>
      </c>
      <c r="L584" s="153" t="s">
        <v>1039</v>
      </c>
      <c r="Z584" s="27">
        <f t="shared" si="330"/>
        <v>0</v>
      </c>
      <c r="AB584" s="27">
        <f t="shared" si="331"/>
        <v>0</v>
      </c>
      <c r="AC584" s="27">
        <f t="shared" si="332"/>
        <v>0</v>
      </c>
      <c r="AD584" s="27">
        <f t="shared" si="333"/>
        <v>0</v>
      </c>
      <c r="AE584" s="27">
        <f t="shared" si="334"/>
        <v>0</v>
      </c>
      <c r="AF584" s="27">
        <f t="shared" si="335"/>
        <v>0</v>
      </c>
      <c r="AG584" s="27">
        <f t="shared" si="336"/>
        <v>0</v>
      </c>
      <c r="AH584" s="27">
        <f t="shared" si="337"/>
        <v>0</v>
      </c>
      <c r="AI584" s="20"/>
      <c r="AJ584" s="14">
        <f t="shared" si="338"/>
        <v>0</v>
      </c>
      <c r="AK584" s="14">
        <f t="shared" si="339"/>
        <v>0</v>
      </c>
      <c r="AL584" s="14">
        <f t="shared" si="340"/>
        <v>0</v>
      </c>
      <c r="AN584" s="27">
        <v>21</v>
      </c>
      <c r="AO584" s="27">
        <f t="shared" si="341"/>
        <v>0</v>
      </c>
      <c r="AP584" s="27">
        <f t="shared" si="342"/>
        <v>0</v>
      </c>
      <c r="AQ584" s="24" t="s">
        <v>1050</v>
      </c>
      <c r="AV584" s="27">
        <f t="shared" si="343"/>
        <v>0</v>
      </c>
      <c r="AW584" s="27">
        <f t="shared" si="344"/>
        <v>0</v>
      </c>
      <c r="AX584" s="27">
        <f t="shared" si="345"/>
        <v>0</v>
      </c>
      <c r="AY584" s="28" t="s">
        <v>1092</v>
      </c>
      <c r="AZ584" s="28" t="s">
        <v>1105</v>
      </c>
      <c r="BA584" s="20" t="s">
        <v>1106</v>
      </c>
      <c r="BC584" s="27">
        <f t="shared" si="346"/>
        <v>0</v>
      </c>
      <c r="BD584" s="27">
        <f t="shared" si="347"/>
        <v>0</v>
      </c>
      <c r="BE584" s="27">
        <v>0</v>
      </c>
      <c r="BF584" s="27">
        <f t="shared" si="348"/>
        <v>0.003</v>
      </c>
      <c r="BH584" s="14">
        <f t="shared" si="349"/>
        <v>0</v>
      </c>
      <c r="BI584" s="14">
        <f t="shared" si="350"/>
        <v>0</v>
      </c>
      <c r="BJ584" s="14">
        <f t="shared" si="351"/>
        <v>0</v>
      </c>
    </row>
    <row r="585" spans="1:62" ht="12.75">
      <c r="A585" s="123" t="s">
        <v>307</v>
      </c>
      <c r="B585" s="124" t="s">
        <v>630</v>
      </c>
      <c r="C585" s="125" t="s">
        <v>986</v>
      </c>
      <c r="D585" s="209" t="s">
        <v>1007</v>
      </c>
      <c r="E585" s="126">
        <v>1</v>
      </c>
      <c r="F585" s="135">
        <v>0</v>
      </c>
      <c r="G585" s="145">
        <f t="shared" si="326"/>
        <v>0</v>
      </c>
      <c r="H585" s="126">
        <f t="shared" si="327"/>
        <v>0</v>
      </c>
      <c r="I585" s="146">
        <f t="shared" si="328"/>
        <v>0</v>
      </c>
      <c r="J585" s="219">
        <v>5.99</v>
      </c>
      <c r="K585" s="220">
        <f t="shared" si="329"/>
        <v>5.99</v>
      </c>
      <c r="L585" s="153" t="s">
        <v>1039</v>
      </c>
      <c r="Z585" s="27">
        <f t="shared" si="330"/>
        <v>0</v>
      </c>
      <c r="AB585" s="27">
        <f t="shared" si="331"/>
        <v>0</v>
      </c>
      <c r="AC585" s="27">
        <f t="shared" si="332"/>
        <v>0</v>
      </c>
      <c r="AD585" s="27">
        <f t="shared" si="333"/>
        <v>0</v>
      </c>
      <c r="AE585" s="27">
        <f t="shared" si="334"/>
        <v>0</v>
      </c>
      <c r="AF585" s="27">
        <f t="shared" si="335"/>
        <v>0</v>
      </c>
      <c r="AG585" s="27">
        <f t="shared" si="336"/>
        <v>0</v>
      </c>
      <c r="AH585" s="27">
        <f t="shared" si="337"/>
        <v>0</v>
      </c>
      <c r="AI585" s="20"/>
      <c r="AJ585" s="14">
        <f t="shared" si="338"/>
        <v>0</v>
      </c>
      <c r="AK585" s="14">
        <f t="shared" si="339"/>
        <v>0</v>
      </c>
      <c r="AL585" s="14">
        <f t="shared" si="340"/>
        <v>0</v>
      </c>
      <c r="AN585" s="27">
        <v>21</v>
      </c>
      <c r="AO585" s="27">
        <f t="shared" si="341"/>
        <v>0</v>
      </c>
      <c r="AP585" s="27">
        <f t="shared" si="342"/>
        <v>0</v>
      </c>
      <c r="AQ585" s="24" t="s">
        <v>1050</v>
      </c>
      <c r="AV585" s="27">
        <f t="shared" si="343"/>
        <v>0</v>
      </c>
      <c r="AW585" s="27">
        <f t="shared" si="344"/>
        <v>0</v>
      </c>
      <c r="AX585" s="27">
        <f t="shared" si="345"/>
        <v>0</v>
      </c>
      <c r="AY585" s="28" t="s">
        <v>1092</v>
      </c>
      <c r="AZ585" s="28" t="s">
        <v>1105</v>
      </c>
      <c r="BA585" s="20" t="s">
        <v>1106</v>
      </c>
      <c r="BC585" s="27">
        <f t="shared" si="346"/>
        <v>0</v>
      </c>
      <c r="BD585" s="27">
        <f t="shared" si="347"/>
        <v>0</v>
      </c>
      <c r="BE585" s="27">
        <v>0</v>
      </c>
      <c r="BF585" s="27">
        <f t="shared" si="348"/>
        <v>5.99</v>
      </c>
      <c r="BH585" s="14">
        <f t="shared" si="349"/>
        <v>0</v>
      </c>
      <c r="BI585" s="14">
        <f t="shared" si="350"/>
        <v>0</v>
      </c>
      <c r="BJ585" s="14">
        <f t="shared" si="351"/>
        <v>0</v>
      </c>
    </row>
    <row r="586" spans="1:62" ht="12.75">
      <c r="A586" s="123" t="s">
        <v>308</v>
      </c>
      <c r="B586" s="124" t="s">
        <v>631</v>
      </c>
      <c r="C586" s="125" t="s">
        <v>987</v>
      </c>
      <c r="D586" s="209" t="s">
        <v>1007</v>
      </c>
      <c r="E586" s="126">
        <v>2</v>
      </c>
      <c r="F586" s="135">
        <v>0</v>
      </c>
      <c r="G586" s="145">
        <f t="shared" si="326"/>
        <v>0</v>
      </c>
      <c r="H586" s="126">
        <f t="shared" si="327"/>
        <v>0</v>
      </c>
      <c r="I586" s="146">
        <f t="shared" si="328"/>
        <v>0</v>
      </c>
      <c r="J586" s="219">
        <v>0</v>
      </c>
      <c r="K586" s="220">
        <f t="shared" si="329"/>
        <v>0</v>
      </c>
      <c r="L586" s="153"/>
      <c r="Z586" s="27">
        <f t="shared" si="330"/>
        <v>0</v>
      </c>
      <c r="AB586" s="27">
        <f t="shared" si="331"/>
        <v>0</v>
      </c>
      <c r="AC586" s="27">
        <f t="shared" si="332"/>
        <v>0</v>
      </c>
      <c r="AD586" s="27">
        <f t="shared" si="333"/>
        <v>0</v>
      </c>
      <c r="AE586" s="27">
        <f t="shared" si="334"/>
        <v>0</v>
      </c>
      <c r="AF586" s="27">
        <f t="shared" si="335"/>
        <v>0</v>
      </c>
      <c r="AG586" s="27">
        <f t="shared" si="336"/>
        <v>0</v>
      </c>
      <c r="AH586" s="27">
        <f t="shared" si="337"/>
        <v>0</v>
      </c>
      <c r="AI586" s="20"/>
      <c r="AJ586" s="14">
        <f t="shared" si="338"/>
        <v>0</v>
      </c>
      <c r="AK586" s="14">
        <f t="shared" si="339"/>
        <v>0</v>
      </c>
      <c r="AL586" s="14">
        <f t="shared" si="340"/>
        <v>0</v>
      </c>
      <c r="AN586" s="27">
        <v>21</v>
      </c>
      <c r="AO586" s="27">
        <f t="shared" si="341"/>
        <v>0</v>
      </c>
      <c r="AP586" s="27">
        <f t="shared" si="342"/>
        <v>0</v>
      </c>
      <c r="AQ586" s="24" t="s">
        <v>1050</v>
      </c>
      <c r="AV586" s="27">
        <f t="shared" si="343"/>
        <v>0</v>
      </c>
      <c r="AW586" s="27">
        <f t="shared" si="344"/>
        <v>0</v>
      </c>
      <c r="AX586" s="27">
        <f t="shared" si="345"/>
        <v>0</v>
      </c>
      <c r="AY586" s="28" t="s">
        <v>1092</v>
      </c>
      <c r="AZ586" s="28" t="s">
        <v>1105</v>
      </c>
      <c r="BA586" s="20" t="s">
        <v>1106</v>
      </c>
      <c r="BC586" s="27">
        <f t="shared" si="346"/>
        <v>0</v>
      </c>
      <c r="BD586" s="27">
        <f t="shared" si="347"/>
        <v>0</v>
      </c>
      <c r="BE586" s="27">
        <v>0</v>
      </c>
      <c r="BF586" s="27">
        <f t="shared" si="348"/>
        <v>0</v>
      </c>
      <c r="BH586" s="14">
        <f t="shared" si="349"/>
        <v>0</v>
      </c>
      <c r="BI586" s="14">
        <f t="shared" si="350"/>
        <v>0</v>
      </c>
      <c r="BJ586" s="14">
        <f t="shared" si="351"/>
        <v>0</v>
      </c>
    </row>
    <row r="587" spans="1:62" ht="12.75">
      <c r="A587" s="123"/>
      <c r="B587" s="124"/>
      <c r="C587" s="99" t="s">
        <v>1834</v>
      </c>
      <c r="D587" s="209"/>
      <c r="E587" s="126"/>
      <c r="F587" s="135"/>
      <c r="G587" s="145"/>
      <c r="H587" s="126"/>
      <c r="I587" s="146"/>
      <c r="J587" s="219"/>
      <c r="K587" s="220"/>
      <c r="L587" s="153"/>
      <c r="Z587" s="27"/>
      <c r="AB587" s="27"/>
      <c r="AC587" s="27"/>
      <c r="AD587" s="27"/>
      <c r="AE587" s="27"/>
      <c r="AF587" s="27"/>
      <c r="AG587" s="27"/>
      <c r="AH587" s="27"/>
      <c r="AI587" s="20"/>
      <c r="AJ587" s="14"/>
      <c r="AK587" s="14"/>
      <c r="AL587" s="14"/>
      <c r="AN587" s="27"/>
      <c r="AO587" s="27"/>
      <c r="AP587" s="27"/>
      <c r="AQ587" s="24"/>
      <c r="AV587" s="27"/>
      <c r="AW587" s="27"/>
      <c r="AX587" s="27"/>
      <c r="AY587" s="28"/>
      <c r="AZ587" s="28"/>
      <c r="BA587" s="20"/>
      <c r="BC587" s="27"/>
      <c r="BD587" s="27"/>
      <c r="BE587" s="27"/>
      <c r="BF587" s="27"/>
      <c r="BH587" s="14"/>
      <c r="BI587" s="14"/>
      <c r="BJ587" s="14"/>
    </row>
    <row r="588" spans="1:62" ht="12.75">
      <c r="A588" s="123" t="s">
        <v>309</v>
      </c>
      <c r="B588" s="124" t="s">
        <v>632</v>
      </c>
      <c r="C588" s="125" t="s">
        <v>988</v>
      </c>
      <c r="D588" s="209" t="s">
        <v>1007</v>
      </c>
      <c r="E588" s="126">
        <v>1</v>
      </c>
      <c r="F588" s="135">
        <v>0</v>
      </c>
      <c r="G588" s="145">
        <f t="shared" si="326"/>
        <v>0</v>
      </c>
      <c r="H588" s="126">
        <f t="shared" si="327"/>
        <v>0</v>
      </c>
      <c r="I588" s="146">
        <f t="shared" si="328"/>
        <v>0</v>
      </c>
      <c r="J588" s="219">
        <v>1.27</v>
      </c>
      <c r="K588" s="220">
        <f t="shared" si="329"/>
        <v>1.27</v>
      </c>
      <c r="L588" s="153" t="s">
        <v>1039</v>
      </c>
      <c r="Z588" s="27">
        <f t="shared" si="330"/>
        <v>0</v>
      </c>
      <c r="AB588" s="27">
        <f t="shared" si="331"/>
        <v>0</v>
      </c>
      <c r="AC588" s="27">
        <f t="shared" si="332"/>
        <v>0</v>
      </c>
      <c r="AD588" s="27">
        <f t="shared" si="333"/>
        <v>0</v>
      </c>
      <c r="AE588" s="27">
        <f t="shared" si="334"/>
        <v>0</v>
      </c>
      <c r="AF588" s="27">
        <f t="shared" si="335"/>
        <v>0</v>
      </c>
      <c r="AG588" s="27">
        <f t="shared" si="336"/>
        <v>0</v>
      </c>
      <c r="AH588" s="27">
        <f t="shared" si="337"/>
        <v>0</v>
      </c>
      <c r="AI588" s="20"/>
      <c r="AJ588" s="14">
        <f t="shared" si="338"/>
        <v>0</v>
      </c>
      <c r="AK588" s="14">
        <f t="shared" si="339"/>
        <v>0</v>
      </c>
      <c r="AL588" s="14">
        <f t="shared" si="340"/>
        <v>0</v>
      </c>
      <c r="AN588" s="27">
        <v>21</v>
      </c>
      <c r="AO588" s="27">
        <f t="shared" si="341"/>
        <v>0</v>
      </c>
      <c r="AP588" s="27">
        <f t="shared" si="342"/>
        <v>0</v>
      </c>
      <c r="AQ588" s="24" t="s">
        <v>1050</v>
      </c>
      <c r="AV588" s="27">
        <f t="shared" si="343"/>
        <v>0</v>
      </c>
      <c r="AW588" s="27">
        <f t="shared" si="344"/>
        <v>0</v>
      </c>
      <c r="AX588" s="27">
        <f t="shared" si="345"/>
        <v>0</v>
      </c>
      <c r="AY588" s="28" t="s">
        <v>1092</v>
      </c>
      <c r="AZ588" s="28" t="s">
        <v>1105</v>
      </c>
      <c r="BA588" s="20" t="s">
        <v>1106</v>
      </c>
      <c r="BC588" s="27">
        <f t="shared" si="346"/>
        <v>0</v>
      </c>
      <c r="BD588" s="27">
        <f t="shared" si="347"/>
        <v>0</v>
      </c>
      <c r="BE588" s="27">
        <v>0</v>
      </c>
      <c r="BF588" s="27">
        <f t="shared" si="348"/>
        <v>1.27</v>
      </c>
      <c r="BH588" s="14">
        <f t="shared" si="349"/>
        <v>0</v>
      </c>
      <c r="BI588" s="14">
        <f t="shared" si="350"/>
        <v>0</v>
      </c>
      <c r="BJ588" s="14">
        <f t="shared" si="351"/>
        <v>0</v>
      </c>
    </row>
    <row r="589" spans="1:62" ht="12.75">
      <c r="A589" s="123" t="s">
        <v>310</v>
      </c>
      <c r="B589" s="124" t="s">
        <v>633</v>
      </c>
      <c r="C589" s="125" t="s">
        <v>989</v>
      </c>
      <c r="D589" s="209" t="s">
        <v>1007</v>
      </c>
      <c r="E589" s="126">
        <v>1</v>
      </c>
      <c r="F589" s="135">
        <v>0</v>
      </c>
      <c r="G589" s="145">
        <f t="shared" si="326"/>
        <v>0</v>
      </c>
      <c r="H589" s="126">
        <f t="shared" si="327"/>
        <v>0</v>
      </c>
      <c r="I589" s="146">
        <f t="shared" si="328"/>
        <v>0</v>
      </c>
      <c r="J589" s="219">
        <v>2.54</v>
      </c>
      <c r="K589" s="220">
        <f t="shared" si="329"/>
        <v>2.54</v>
      </c>
      <c r="L589" s="153" t="s">
        <v>1039</v>
      </c>
      <c r="Z589" s="27">
        <f t="shared" si="330"/>
        <v>0</v>
      </c>
      <c r="AB589" s="27">
        <f t="shared" si="331"/>
        <v>0</v>
      </c>
      <c r="AC589" s="27">
        <f t="shared" si="332"/>
        <v>0</v>
      </c>
      <c r="AD589" s="27">
        <f t="shared" si="333"/>
        <v>0</v>
      </c>
      <c r="AE589" s="27">
        <f t="shared" si="334"/>
        <v>0</v>
      </c>
      <c r="AF589" s="27">
        <f t="shared" si="335"/>
        <v>0</v>
      </c>
      <c r="AG589" s="27">
        <f t="shared" si="336"/>
        <v>0</v>
      </c>
      <c r="AH589" s="27">
        <f t="shared" si="337"/>
        <v>0</v>
      </c>
      <c r="AI589" s="20"/>
      <c r="AJ589" s="14">
        <f t="shared" si="338"/>
        <v>0</v>
      </c>
      <c r="AK589" s="14">
        <f t="shared" si="339"/>
        <v>0</v>
      </c>
      <c r="AL589" s="14">
        <f t="shared" si="340"/>
        <v>0</v>
      </c>
      <c r="AN589" s="27">
        <v>21</v>
      </c>
      <c r="AO589" s="27">
        <f t="shared" si="341"/>
        <v>0</v>
      </c>
      <c r="AP589" s="27">
        <f t="shared" si="342"/>
        <v>0</v>
      </c>
      <c r="AQ589" s="24" t="s">
        <v>1050</v>
      </c>
      <c r="AV589" s="27">
        <f t="shared" si="343"/>
        <v>0</v>
      </c>
      <c r="AW589" s="27">
        <f t="shared" si="344"/>
        <v>0</v>
      </c>
      <c r="AX589" s="27">
        <f t="shared" si="345"/>
        <v>0</v>
      </c>
      <c r="AY589" s="28" t="s">
        <v>1092</v>
      </c>
      <c r="AZ589" s="28" t="s">
        <v>1105</v>
      </c>
      <c r="BA589" s="20" t="s">
        <v>1106</v>
      </c>
      <c r="BC589" s="27">
        <f t="shared" si="346"/>
        <v>0</v>
      </c>
      <c r="BD589" s="27">
        <f t="shared" si="347"/>
        <v>0</v>
      </c>
      <c r="BE589" s="27">
        <v>0</v>
      </c>
      <c r="BF589" s="27">
        <f t="shared" si="348"/>
        <v>2.54</v>
      </c>
      <c r="BH589" s="14">
        <f t="shared" si="349"/>
        <v>0</v>
      </c>
      <c r="BI589" s="14">
        <f t="shared" si="350"/>
        <v>0</v>
      </c>
      <c r="BJ589" s="14">
        <f t="shared" si="351"/>
        <v>0</v>
      </c>
    </row>
    <row r="590" spans="1:62" ht="12.75">
      <c r="A590" s="123" t="s">
        <v>311</v>
      </c>
      <c r="B590" s="124" t="s">
        <v>634</v>
      </c>
      <c r="C590" s="125" t="s">
        <v>990</v>
      </c>
      <c r="D590" s="209" t="s">
        <v>1007</v>
      </c>
      <c r="E590" s="126">
        <v>1</v>
      </c>
      <c r="F590" s="135">
        <v>0</v>
      </c>
      <c r="G590" s="145">
        <f t="shared" si="326"/>
        <v>0</v>
      </c>
      <c r="H590" s="126">
        <f t="shared" si="327"/>
        <v>0</v>
      </c>
      <c r="I590" s="146">
        <f t="shared" si="328"/>
        <v>0</v>
      </c>
      <c r="J590" s="219">
        <v>2.24</v>
      </c>
      <c r="K590" s="220">
        <f t="shared" si="329"/>
        <v>2.24</v>
      </c>
      <c r="L590" s="153" t="s">
        <v>1039</v>
      </c>
      <c r="Z590" s="27">
        <f t="shared" si="330"/>
        <v>0</v>
      </c>
      <c r="AB590" s="27">
        <f t="shared" si="331"/>
        <v>0</v>
      </c>
      <c r="AC590" s="27">
        <f t="shared" si="332"/>
        <v>0</v>
      </c>
      <c r="AD590" s="27">
        <f t="shared" si="333"/>
        <v>0</v>
      </c>
      <c r="AE590" s="27">
        <f t="shared" si="334"/>
        <v>0</v>
      </c>
      <c r="AF590" s="27">
        <f t="shared" si="335"/>
        <v>0</v>
      </c>
      <c r="AG590" s="27">
        <f t="shared" si="336"/>
        <v>0</v>
      </c>
      <c r="AH590" s="27">
        <f t="shared" si="337"/>
        <v>0</v>
      </c>
      <c r="AI590" s="20"/>
      <c r="AJ590" s="14">
        <f t="shared" si="338"/>
        <v>0</v>
      </c>
      <c r="AK590" s="14">
        <f t="shared" si="339"/>
        <v>0</v>
      </c>
      <c r="AL590" s="14">
        <f t="shared" si="340"/>
        <v>0</v>
      </c>
      <c r="AN590" s="27">
        <v>21</v>
      </c>
      <c r="AO590" s="27">
        <f t="shared" si="341"/>
        <v>0</v>
      </c>
      <c r="AP590" s="27">
        <f t="shared" si="342"/>
        <v>0</v>
      </c>
      <c r="AQ590" s="24" t="s">
        <v>1050</v>
      </c>
      <c r="AV590" s="27">
        <f t="shared" si="343"/>
        <v>0</v>
      </c>
      <c r="AW590" s="27">
        <f t="shared" si="344"/>
        <v>0</v>
      </c>
      <c r="AX590" s="27">
        <f t="shared" si="345"/>
        <v>0</v>
      </c>
      <c r="AY590" s="28" t="s">
        <v>1092</v>
      </c>
      <c r="AZ590" s="28" t="s">
        <v>1105</v>
      </c>
      <c r="BA590" s="20" t="s">
        <v>1106</v>
      </c>
      <c r="BC590" s="27">
        <f t="shared" si="346"/>
        <v>0</v>
      </c>
      <c r="BD590" s="27">
        <f t="shared" si="347"/>
        <v>0</v>
      </c>
      <c r="BE590" s="27">
        <v>0</v>
      </c>
      <c r="BF590" s="27">
        <f t="shared" si="348"/>
        <v>2.24</v>
      </c>
      <c r="BH590" s="14">
        <f t="shared" si="349"/>
        <v>0</v>
      </c>
      <c r="BI590" s="14">
        <f t="shared" si="350"/>
        <v>0</v>
      </c>
      <c r="BJ590" s="14">
        <f t="shared" si="351"/>
        <v>0</v>
      </c>
    </row>
    <row r="591" spans="1:62" ht="12.75">
      <c r="A591" s="123" t="s">
        <v>312</v>
      </c>
      <c r="B591" s="124" t="s">
        <v>635</v>
      </c>
      <c r="C591" s="125" t="s">
        <v>991</v>
      </c>
      <c r="D591" s="209" t="s">
        <v>1005</v>
      </c>
      <c r="E591" s="126">
        <f>+E592</f>
        <v>518.81074</v>
      </c>
      <c r="F591" s="135">
        <v>0</v>
      </c>
      <c r="G591" s="145">
        <f t="shared" si="326"/>
        <v>0</v>
      </c>
      <c r="H591" s="126">
        <f t="shared" si="327"/>
        <v>0</v>
      </c>
      <c r="I591" s="146">
        <f t="shared" si="328"/>
        <v>0</v>
      </c>
      <c r="J591" s="219">
        <v>0.156</v>
      </c>
      <c r="K591" s="220">
        <f t="shared" si="329"/>
        <v>80.93447544</v>
      </c>
      <c r="L591" s="153" t="s">
        <v>1039</v>
      </c>
      <c r="Z591" s="27">
        <f t="shared" si="330"/>
        <v>0</v>
      </c>
      <c r="AB591" s="27">
        <f t="shared" si="331"/>
        <v>0</v>
      </c>
      <c r="AC591" s="27">
        <f t="shared" si="332"/>
        <v>0</v>
      </c>
      <c r="AD591" s="27">
        <f t="shared" si="333"/>
        <v>0</v>
      </c>
      <c r="AE591" s="27">
        <f t="shared" si="334"/>
        <v>0</v>
      </c>
      <c r="AF591" s="27">
        <f t="shared" si="335"/>
        <v>0</v>
      </c>
      <c r="AG591" s="27">
        <f t="shared" si="336"/>
        <v>0</v>
      </c>
      <c r="AH591" s="27">
        <f t="shared" si="337"/>
        <v>0</v>
      </c>
      <c r="AI591" s="20"/>
      <c r="AJ591" s="14">
        <f t="shared" si="338"/>
        <v>0</v>
      </c>
      <c r="AK591" s="14">
        <f t="shared" si="339"/>
        <v>0</v>
      </c>
      <c r="AL591" s="14">
        <f t="shared" si="340"/>
        <v>0</v>
      </c>
      <c r="AN591" s="27">
        <v>21</v>
      </c>
      <c r="AO591" s="27">
        <f t="shared" si="341"/>
        <v>0</v>
      </c>
      <c r="AP591" s="27">
        <f t="shared" si="342"/>
        <v>0</v>
      </c>
      <c r="AQ591" s="24" t="s">
        <v>1050</v>
      </c>
      <c r="AV591" s="27">
        <f t="shared" si="343"/>
        <v>0</v>
      </c>
      <c r="AW591" s="27">
        <f t="shared" si="344"/>
        <v>0</v>
      </c>
      <c r="AX591" s="27">
        <f t="shared" si="345"/>
        <v>0</v>
      </c>
      <c r="AY591" s="28" t="s">
        <v>1092</v>
      </c>
      <c r="AZ591" s="28" t="s">
        <v>1105</v>
      </c>
      <c r="BA591" s="20" t="s">
        <v>1106</v>
      </c>
      <c r="BC591" s="27">
        <f t="shared" si="346"/>
        <v>0</v>
      </c>
      <c r="BD591" s="27">
        <f t="shared" si="347"/>
        <v>0</v>
      </c>
      <c r="BE591" s="27">
        <v>0</v>
      </c>
      <c r="BF591" s="27">
        <f t="shared" si="348"/>
        <v>80.93447544</v>
      </c>
      <c r="BH591" s="14">
        <f t="shared" si="349"/>
        <v>0</v>
      </c>
      <c r="BI591" s="14">
        <f t="shared" si="350"/>
        <v>0</v>
      </c>
      <c r="BJ591" s="14">
        <f t="shared" si="351"/>
        <v>0</v>
      </c>
    </row>
    <row r="592" spans="1:62" ht="25.5">
      <c r="A592" s="123"/>
      <c r="B592" s="124"/>
      <c r="C592" s="99" t="s">
        <v>1838</v>
      </c>
      <c r="D592" s="100" t="s">
        <v>1005</v>
      </c>
      <c r="E592" s="101">
        <f>+(178.7+(77.22+53.45)/2*4.4+47.5)*1.01</f>
        <v>518.81074</v>
      </c>
      <c r="F592" s="135"/>
      <c r="G592" s="145"/>
      <c r="H592" s="126"/>
      <c r="I592" s="146"/>
      <c r="J592" s="219"/>
      <c r="K592" s="220"/>
      <c r="L592" s="153"/>
      <c r="Z592" s="27"/>
      <c r="AB592" s="27"/>
      <c r="AC592" s="27"/>
      <c r="AD592" s="27"/>
      <c r="AE592" s="27"/>
      <c r="AF592" s="27"/>
      <c r="AG592" s="27"/>
      <c r="AH592" s="27"/>
      <c r="AI592" s="20"/>
      <c r="AJ592" s="14"/>
      <c r="AK592" s="14"/>
      <c r="AL592" s="14"/>
      <c r="AN592" s="27"/>
      <c r="AO592" s="27"/>
      <c r="AP592" s="27"/>
      <c r="AQ592" s="24"/>
      <c r="AV592" s="27"/>
      <c r="AW592" s="27"/>
      <c r="AX592" s="27"/>
      <c r="AY592" s="28"/>
      <c r="AZ592" s="28"/>
      <c r="BA592" s="20"/>
      <c r="BC592" s="27"/>
      <c r="BD592" s="27"/>
      <c r="BE592" s="27"/>
      <c r="BF592" s="27"/>
      <c r="BH592" s="14"/>
      <c r="BI592" s="14"/>
      <c r="BJ592" s="14"/>
    </row>
    <row r="593" spans="1:62" ht="12.75">
      <c r="A593" s="123" t="s">
        <v>313</v>
      </c>
      <c r="B593" s="124" t="s">
        <v>636</v>
      </c>
      <c r="C593" s="125" t="s">
        <v>992</v>
      </c>
      <c r="D593" s="209" t="s">
        <v>1007</v>
      </c>
      <c r="E593" s="126">
        <v>50.5</v>
      </c>
      <c r="F593" s="135">
        <v>0</v>
      </c>
      <c r="G593" s="145">
        <f t="shared" si="326"/>
        <v>0</v>
      </c>
      <c r="H593" s="126">
        <f t="shared" si="327"/>
        <v>0</v>
      </c>
      <c r="I593" s="146">
        <f t="shared" si="328"/>
        <v>0</v>
      </c>
      <c r="J593" s="219">
        <v>1.516</v>
      </c>
      <c r="K593" s="220">
        <f t="shared" si="329"/>
        <v>76.558</v>
      </c>
      <c r="L593" s="153" t="s">
        <v>1039</v>
      </c>
      <c r="Z593" s="27">
        <f t="shared" si="330"/>
        <v>0</v>
      </c>
      <c r="AB593" s="27">
        <f t="shared" si="331"/>
        <v>0</v>
      </c>
      <c r="AC593" s="27">
        <f t="shared" si="332"/>
        <v>0</v>
      </c>
      <c r="AD593" s="27">
        <f t="shared" si="333"/>
        <v>0</v>
      </c>
      <c r="AE593" s="27">
        <f t="shared" si="334"/>
        <v>0</v>
      </c>
      <c r="AF593" s="27">
        <f t="shared" si="335"/>
        <v>0</v>
      </c>
      <c r="AG593" s="27">
        <f t="shared" si="336"/>
        <v>0</v>
      </c>
      <c r="AH593" s="27">
        <f t="shared" si="337"/>
        <v>0</v>
      </c>
      <c r="AI593" s="20"/>
      <c r="AJ593" s="14">
        <f t="shared" si="338"/>
        <v>0</v>
      </c>
      <c r="AK593" s="14">
        <f t="shared" si="339"/>
        <v>0</v>
      </c>
      <c r="AL593" s="14">
        <f t="shared" si="340"/>
        <v>0</v>
      </c>
      <c r="AN593" s="27">
        <v>21</v>
      </c>
      <c r="AO593" s="27">
        <f t="shared" si="341"/>
        <v>0</v>
      </c>
      <c r="AP593" s="27">
        <f t="shared" si="342"/>
        <v>0</v>
      </c>
      <c r="AQ593" s="24" t="s">
        <v>1050</v>
      </c>
      <c r="AV593" s="27">
        <f t="shared" si="343"/>
        <v>0</v>
      </c>
      <c r="AW593" s="27">
        <f t="shared" si="344"/>
        <v>0</v>
      </c>
      <c r="AX593" s="27">
        <f t="shared" si="345"/>
        <v>0</v>
      </c>
      <c r="AY593" s="28" t="s">
        <v>1092</v>
      </c>
      <c r="AZ593" s="28" t="s">
        <v>1105</v>
      </c>
      <c r="BA593" s="20" t="s">
        <v>1106</v>
      </c>
      <c r="BC593" s="27">
        <f t="shared" si="346"/>
        <v>0</v>
      </c>
      <c r="BD593" s="27">
        <f t="shared" si="347"/>
        <v>0</v>
      </c>
      <c r="BE593" s="27">
        <v>0</v>
      </c>
      <c r="BF593" s="27">
        <f t="shared" si="348"/>
        <v>76.558</v>
      </c>
      <c r="BH593" s="14">
        <f t="shared" si="349"/>
        <v>0</v>
      </c>
      <c r="BI593" s="14">
        <f t="shared" si="350"/>
        <v>0</v>
      </c>
      <c r="BJ593" s="14">
        <f t="shared" si="351"/>
        <v>0</v>
      </c>
    </row>
    <row r="594" spans="1:62" ht="12.75">
      <c r="A594" s="123"/>
      <c r="B594" s="124"/>
      <c r="C594" s="99" t="s">
        <v>1839</v>
      </c>
      <c r="D594" s="209"/>
      <c r="E594" s="126"/>
      <c r="F594" s="135"/>
      <c r="G594" s="145"/>
      <c r="H594" s="126"/>
      <c r="I594" s="146"/>
      <c r="J594" s="219"/>
      <c r="K594" s="220"/>
      <c r="L594" s="153"/>
      <c r="Z594" s="27"/>
      <c r="AB594" s="27"/>
      <c r="AC594" s="27"/>
      <c r="AD594" s="27"/>
      <c r="AE594" s="27"/>
      <c r="AF594" s="27"/>
      <c r="AG594" s="27"/>
      <c r="AH594" s="27"/>
      <c r="AI594" s="20"/>
      <c r="AJ594" s="14"/>
      <c r="AK594" s="14"/>
      <c r="AL594" s="14"/>
      <c r="AN594" s="27"/>
      <c r="AO594" s="27"/>
      <c r="AP594" s="27"/>
      <c r="AQ594" s="24"/>
      <c r="AV594" s="27"/>
      <c r="AW594" s="27"/>
      <c r="AX594" s="27"/>
      <c r="AY594" s="28"/>
      <c r="AZ594" s="28"/>
      <c r="BA594" s="20"/>
      <c r="BC594" s="27"/>
      <c r="BD594" s="27"/>
      <c r="BE594" s="27"/>
      <c r="BF594" s="27"/>
      <c r="BH594" s="14"/>
      <c r="BI594" s="14"/>
      <c r="BJ594" s="14"/>
    </row>
    <row r="595" spans="1:62" ht="12.75">
      <c r="A595" s="123" t="s">
        <v>314</v>
      </c>
      <c r="B595" s="124" t="s">
        <v>637</v>
      </c>
      <c r="C595" s="125" t="s">
        <v>993</v>
      </c>
      <c r="D595" s="209" t="s">
        <v>1007</v>
      </c>
      <c r="E595" s="126">
        <v>2</v>
      </c>
      <c r="F595" s="135">
        <v>0</v>
      </c>
      <c r="G595" s="145">
        <f t="shared" si="326"/>
        <v>0</v>
      </c>
      <c r="H595" s="126">
        <f t="shared" si="327"/>
        <v>0</v>
      </c>
      <c r="I595" s="146">
        <f t="shared" si="328"/>
        <v>0</v>
      </c>
      <c r="J595" s="219">
        <v>3.16</v>
      </c>
      <c r="K595" s="220">
        <f t="shared" si="329"/>
        <v>6.32</v>
      </c>
      <c r="L595" s="153" t="s">
        <v>1039</v>
      </c>
      <c r="Z595" s="27">
        <f t="shared" si="330"/>
        <v>0</v>
      </c>
      <c r="AB595" s="27">
        <f t="shared" si="331"/>
        <v>0</v>
      </c>
      <c r="AC595" s="27">
        <f t="shared" si="332"/>
        <v>0</v>
      </c>
      <c r="AD595" s="27">
        <f t="shared" si="333"/>
        <v>0</v>
      </c>
      <c r="AE595" s="27">
        <f t="shared" si="334"/>
        <v>0</v>
      </c>
      <c r="AF595" s="27">
        <f t="shared" si="335"/>
        <v>0</v>
      </c>
      <c r="AG595" s="27">
        <f t="shared" si="336"/>
        <v>0</v>
      </c>
      <c r="AH595" s="27">
        <f t="shared" si="337"/>
        <v>0</v>
      </c>
      <c r="AI595" s="20"/>
      <c r="AJ595" s="14">
        <f t="shared" si="338"/>
        <v>0</v>
      </c>
      <c r="AK595" s="14">
        <f t="shared" si="339"/>
        <v>0</v>
      </c>
      <c r="AL595" s="14">
        <f t="shared" si="340"/>
        <v>0</v>
      </c>
      <c r="AN595" s="27">
        <v>21</v>
      </c>
      <c r="AO595" s="27">
        <f t="shared" si="341"/>
        <v>0</v>
      </c>
      <c r="AP595" s="27">
        <f t="shared" si="342"/>
        <v>0</v>
      </c>
      <c r="AQ595" s="24" t="s">
        <v>1050</v>
      </c>
      <c r="AV595" s="27">
        <f t="shared" si="343"/>
        <v>0</v>
      </c>
      <c r="AW595" s="27">
        <f t="shared" si="344"/>
        <v>0</v>
      </c>
      <c r="AX595" s="27">
        <f t="shared" si="345"/>
        <v>0</v>
      </c>
      <c r="AY595" s="28" t="s">
        <v>1092</v>
      </c>
      <c r="AZ595" s="28" t="s">
        <v>1105</v>
      </c>
      <c r="BA595" s="20" t="s">
        <v>1106</v>
      </c>
      <c r="BC595" s="27">
        <f t="shared" si="346"/>
        <v>0</v>
      </c>
      <c r="BD595" s="27">
        <f t="shared" si="347"/>
        <v>0</v>
      </c>
      <c r="BE595" s="27">
        <v>0</v>
      </c>
      <c r="BF595" s="27">
        <f t="shared" si="348"/>
        <v>6.32</v>
      </c>
      <c r="BH595" s="14">
        <f t="shared" si="349"/>
        <v>0</v>
      </c>
      <c r="BI595" s="14">
        <f t="shared" si="350"/>
        <v>0</v>
      </c>
      <c r="BJ595" s="14">
        <f t="shared" si="351"/>
        <v>0</v>
      </c>
    </row>
    <row r="596" spans="1:62" ht="12.75">
      <c r="A596" s="123"/>
      <c r="B596" s="124"/>
      <c r="C596" s="99" t="s">
        <v>1840</v>
      </c>
      <c r="D596" s="209"/>
      <c r="E596" s="126"/>
      <c r="F596" s="135"/>
      <c r="G596" s="145"/>
      <c r="H596" s="126"/>
      <c r="I596" s="146"/>
      <c r="J596" s="219"/>
      <c r="K596" s="220"/>
      <c r="L596" s="153"/>
      <c r="Z596" s="27"/>
      <c r="AB596" s="27"/>
      <c r="AC596" s="27"/>
      <c r="AD596" s="27"/>
      <c r="AE596" s="27"/>
      <c r="AF596" s="27"/>
      <c r="AG596" s="27"/>
      <c r="AH596" s="27"/>
      <c r="AI596" s="20"/>
      <c r="AJ596" s="14"/>
      <c r="AK596" s="14"/>
      <c r="AL596" s="14"/>
      <c r="AN596" s="27"/>
      <c r="AO596" s="27"/>
      <c r="AP596" s="27"/>
      <c r="AQ596" s="24"/>
      <c r="AV596" s="27"/>
      <c r="AW596" s="27"/>
      <c r="AX596" s="27"/>
      <c r="AY596" s="28"/>
      <c r="AZ596" s="28"/>
      <c r="BA596" s="20"/>
      <c r="BC596" s="27"/>
      <c r="BD596" s="27"/>
      <c r="BE596" s="27"/>
      <c r="BF596" s="27"/>
      <c r="BH596" s="14"/>
      <c r="BI596" s="14"/>
      <c r="BJ596" s="14"/>
    </row>
    <row r="597" spans="1:62" ht="12.75">
      <c r="A597" s="123" t="s">
        <v>315</v>
      </c>
      <c r="B597" s="124" t="s">
        <v>638</v>
      </c>
      <c r="C597" s="125" t="s">
        <v>994</v>
      </c>
      <c r="D597" s="209" t="s">
        <v>1005</v>
      </c>
      <c r="E597" s="126">
        <f>+E598</f>
        <v>622.572888</v>
      </c>
      <c r="F597" s="135">
        <v>0</v>
      </c>
      <c r="G597" s="145">
        <f t="shared" si="326"/>
        <v>0</v>
      </c>
      <c r="H597" s="126">
        <f t="shared" si="327"/>
        <v>0</v>
      </c>
      <c r="I597" s="146">
        <f t="shared" si="328"/>
        <v>0</v>
      </c>
      <c r="J597" s="219">
        <v>0.0004</v>
      </c>
      <c r="K597" s="220">
        <f t="shared" si="329"/>
        <v>0.24902915520000002</v>
      </c>
      <c r="L597" s="153" t="s">
        <v>1039</v>
      </c>
      <c r="Z597" s="27">
        <f t="shared" si="330"/>
        <v>0</v>
      </c>
      <c r="AB597" s="27">
        <f t="shared" si="331"/>
        <v>0</v>
      </c>
      <c r="AC597" s="27">
        <f t="shared" si="332"/>
        <v>0</v>
      </c>
      <c r="AD597" s="27">
        <f t="shared" si="333"/>
        <v>0</v>
      </c>
      <c r="AE597" s="27">
        <f t="shared" si="334"/>
        <v>0</v>
      </c>
      <c r="AF597" s="27">
        <f t="shared" si="335"/>
        <v>0</v>
      </c>
      <c r="AG597" s="27">
        <f t="shared" si="336"/>
        <v>0</v>
      </c>
      <c r="AH597" s="27">
        <f t="shared" si="337"/>
        <v>0</v>
      </c>
      <c r="AI597" s="20"/>
      <c r="AJ597" s="14">
        <f t="shared" si="338"/>
        <v>0</v>
      </c>
      <c r="AK597" s="14">
        <f t="shared" si="339"/>
        <v>0</v>
      </c>
      <c r="AL597" s="14">
        <f t="shared" si="340"/>
        <v>0</v>
      </c>
      <c r="AN597" s="27">
        <v>21</v>
      </c>
      <c r="AO597" s="27">
        <f t="shared" si="341"/>
        <v>0</v>
      </c>
      <c r="AP597" s="27">
        <f t="shared" si="342"/>
        <v>0</v>
      </c>
      <c r="AQ597" s="24" t="s">
        <v>1050</v>
      </c>
      <c r="AV597" s="27">
        <f t="shared" si="343"/>
        <v>0</v>
      </c>
      <c r="AW597" s="27">
        <f t="shared" si="344"/>
        <v>0</v>
      </c>
      <c r="AX597" s="27">
        <f t="shared" si="345"/>
        <v>0</v>
      </c>
      <c r="AY597" s="28" t="s">
        <v>1092</v>
      </c>
      <c r="AZ597" s="28" t="s">
        <v>1105</v>
      </c>
      <c r="BA597" s="20" t="s">
        <v>1106</v>
      </c>
      <c r="BC597" s="27">
        <f t="shared" si="346"/>
        <v>0</v>
      </c>
      <c r="BD597" s="27">
        <f t="shared" si="347"/>
        <v>0</v>
      </c>
      <c r="BE597" s="27">
        <v>0</v>
      </c>
      <c r="BF597" s="27">
        <f t="shared" si="348"/>
        <v>0.24902915520000002</v>
      </c>
      <c r="BH597" s="14">
        <f t="shared" si="349"/>
        <v>0</v>
      </c>
      <c r="BI597" s="14">
        <f t="shared" si="350"/>
        <v>0</v>
      </c>
      <c r="BJ597" s="14">
        <f t="shared" si="351"/>
        <v>0</v>
      </c>
    </row>
    <row r="598" spans="1:62" ht="12.75">
      <c r="A598" s="123"/>
      <c r="B598" s="124"/>
      <c r="C598" s="99" t="s">
        <v>1841</v>
      </c>
      <c r="D598" s="100" t="s">
        <v>1005</v>
      </c>
      <c r="E598" s="101">
        <f>+E591*1.2</f>
        <v>622.572888</v>
      </c>
      <c r="F598" s="135"/>
      <c r="G598" s="145"/>
      <c r="H598" s="126"/>
      <c r="I598" s="146"/>
      <c r="J598" s="219"/>
      <c r="K598" s="220"/>
      <c r="L598" s="153"/>
      <c r="Z598" s="27"/>
      <c r="AB598" s="27"/>
      <c r="AC598" s="27"/>
      <c r="AD598" s="27"/>
      <c r="AE598" s="27"/>
      <c r="AF598" s="27"/>
      <c r="AG598" s="27"/>
      <c r="AH598" s="27"/>
      <c r="AI598" s="20"/>
      <c r="AJ598" s="14"/>
      <c r="AK598" s="14"/>
      <c r="AL598" s="14"/>
      <c r="AN598" s="27"/>
      <c r="AO598" s="27"/>
      <c r="AP598" s="27"/>
      <c r="AQ598" s="24"/>
      <c r="AV598" s="27"/>
      <c r="AW598" s="27"/>
      <c r="AX598" s="27"/>
      <c r="AY598" s="28"/>
      <c r="AZ598" s="28"/>
      <c r="BA598" s="20"/>
      <c r="BC598" s="27"/>
      <c r="BD598" s="27"/>
      <c r="BE598" s="27"/>
      <c r="BF598" s="27"/>
      <c r="BH598" s="14"/>
      <c r="BI598" s="14"/>
      <c r="BJ598" s="14"/>
    </row>
    <row r="599" spans="1:62" ht="12.75">
      <c r="A599" s="123" t="s">
        <v>316</v>
      </c>
      <c r="B599" s="124" t="s">
        <v>639</v>
      </c>
      <c r="C599" s="125" t="s">
        <v>995</v>
      </c>
      <c r="D599" s="209" t="s">
        <v>1005</v>
      </c>
      <c r="E599" s="126">
        <f>+E598</f>
        <v>622.572888</v>
      </c>
      <c r="F599" s="135">
        <v>0</v>
      </c>
      <c r="G599" s="145">
        <f t="shared" si="326"/>
        <v>0</v>
      </c>
      <c r="H599" s="126">
        <f t="shared" si="327"/>
        <v>0</v>
      </c>
      <c r="I599" s="146">
        <f t="shared" si="328"/>
        <v>0</v>
      </c>
      <c r="J599" s="219">
        <v>0.0003</v>
      </c>
      <c r="K599" s="220">
        <f t="shared" si="329"/>
        <v>0.1867718664</v>
      </c>
      <c r="L599" s="153" t="s">
        <v>1039</v>
      </c>
      <c r="Z599" s="27">
        <f t="shared" si="330"/>
        <v>0</v>
      </c>
      <c r="AB599" s="27">
        <f t="shared" si="331"/>
        <v>0</v>
      </c>
      <c r="AC599" s="27">
        <f t="shared" si="332"/>
        <v>0</v>
      </c>
      <c r="AD599" s="27">
        <f t="shared" si="333"/>
        <v>0</v>
      </c>
      <c r="AE599" s="27">
        <f t="shared" si="334"/>
        <v>0</v>
      </c>
      <c r="AF599" s="27">
        <f t="shared" si="335"/>
        <v>0</v>
      </c>
      <c r="AG599" s="27">
        <f t="shared" si="336"/>
        <v>0</v>
      </c>
      <c r="AH599" s="27">
        <f t="shared" si="337"/>
        <v>0</v>
      </c>
      <c r="AI599" s="20"/>
      <c r="AJ599" s="14">
        <f t="shared" si="338"/>
        <v>0</v>
      </c>
      <c r="AK599" s="14">
        <f t="shared" si="339"/>
        <v>0</v>
      </c>
      <c r="AL599" s="14">
        <f t="shared" si="340"/>
        <v>0</v>
      </c>
      <c r="AN599" s="27">
        <v>21</v>
      </c>
      <c r="AO599" s="27">
        <f t="shared" si="341"/>
        <v>0</v>
      </c>
      <c r="AP599" s="27">
        <f t="shared" si="342"/>
        <v>0</v>
      </c>
      <c r="AQ599" s="24" t="s">
        <v>1050</v>
      </c>
      <c r="AV599" s="27">
        <f t="shared" si="343"/>
        <v>0</v>
      </c>
      <c r="AW599" s="27">
        <f t="shared" si="344"/>
        <v>0</v>
      </c>
      <c r="AX599" s="27">
        <f t="shared" si="345"/>
        <v>0</v>
      </c>
      <c r="AY599" s="28" t="s">
        <v>1092</v>
      </c>
      <c r="AZ599" s="28" t="s">
        <v>1105</v>
      </c>
      <c r="BA599" s="20" t="s">
        <v>1106</v>
      </c>
      <c r="BC599" s="27">
        <f t="shared" si="346"/>
        <v>0</v>
      </c>
      <c r="BD599" s="27">
        <f t="shared" si="347"/>
        <v>0</v>
      </c>
      <c r="BE599" s="27">
        <v>0</v>
      </c>
      <c r="BF599" s="27">
        <f t="shared" si="348"/>
        <v>0.1867718664</v>
      </c>
      <c r="BH599" s="14">
        <f t="shared" si="349"/>
        <v>0</v>
      </c>
      <c r="BI599" s="14">
        <f t="shared" si="350"/>
        <v>0</v>
      </c>
      <c r="BJ599" s="14">
        <f t="shared" si="351"/>
        <v>0</v>
      </c>
    </row>
    <row r="600" spans="1:62" ht="12.75">
      <c r="A600" s="107" t="s">
        <v>317</v>
      </c>
      <c r="B600" s="108" t="s">
        <v>640</v>
      </c>
      <c r="C600" s="109" t="s">
        <v>996</v>
      </c>
      <c r="D600" s="205" t="s">
        <v>1011</v>
      </c>
      <c r="E600" s="110">
        <v>382.79</v>
      </c>
      <c r="F600" s="132">
        <v>0</v>
      </c>
      <c r="G600" s="139">
        <f t="shared" si="326"/>
        <v>0</v>
      </c>
      <c r="H600" s="110">
        <f t="shared" si="327"/>
        <v>0</v>
      </c>
      <c r="I600" s="140">
        <f t="shared" si="328"/>
        <v>0</v>
      </c>
      <c r="J600" s="213">
        <v>0</v>
      </c>
      <c r="K600" s="214">
        <f t="shared" si="329"/>
        <v>0</v>
      </c>
      <c r="L600" s="150" t="s">
        <v>1039</v>
      </c>
      <c r="Z600" s="27">
        <f t="shared" si="330"/>
        <v>0</v>
      </c>
      <c r="AB600" s="27">
        <f t="shared" si="331"/>
        <v>0</v>
      </c>
      <c r="AC600" s="27">
        <f t="shared" si="332"/>
        <v>0</v>
      </c>
      <c r="AD600" s="27">
        <f t="shared" si="333"/>
        <v>0</v>
      </c>
      <c r="AE600" s="27">
        <f t="shared" si="334"/>
        <v>0</v>
      </c>
      <c r="AF600" s="27">
        <f t="shared" si="335"/>
        <v>0</v>
      </c>
      <c r="AG600" s="27">
        <f t="shared" si="336"/>
        <v>0</v>
      </c>
      <c r="AH600" s="27">
        <f t="shared" si="337"/>
        <v>0</v>
      </c>
      <c r="AI600" s="20"/>
      <c r="AJ600" s="13">
        <f t="shared" si="338"/>
        <v>0</v>
      </c>
      <c r="AK600" s="13">
        <f t="shared" si="339"/>
        <v>0</v>
      </c>
      <c r="AL600" s="13">
        <f t="shared" si="340"/>
        <v>0</v>
      </c>
      <c r="AN600" s="27">
        <v>21</v>
      </c>
      <c r="AO600" s="27">
        <f>F600*0</f>
        <v>0</v>
      </c>
      <c r="AP600" s="27">
        <f>F600*(1-0)</f>
        <v>0</v>
      </c>
      <c r="AQ600" s="23" t="s">
        <v>11</v>
      </c>
      <c r="AV600" s="27">
        <f t="shared" si="343"/>
        <v>0</v>
      </c>
      <c r="AW600" s="27">
        <f t="shared" si="344"/>
        <v>0</v>
      </c>
      <c r="AX600" s="27">
        <f t="shared" si="345"/>
        <v>0</v>
      </c>
      <c r="AY600" s="28" t="s">
        <v>1092</v>
      </c>
      <c r="AZ600" s="28" t="s">
        <v>1105</v>
      </c>
      <c r="BA600" s="20" t="s">
        <v>1106</v>
      </c>
      <c r="BC600" s="27">
        <f t="shared" si="346"/>
        <v>0</v>
      </c>
      <c r="BD600" s="27">
        <f t="shared" si="347"/>
        <v>0</v>
      </c>
      <c r="BE600" s="27">
        <v>0</v>
      </c>
      <c r="BF600" s="27">
        <f t="shared" si="348"/>
        <v>0</v>
      </c>
      <c r="BH600" s="13">
        <f t="shared" si="349"/>
        <v>0</v>
      </c>
      <c r="BI600" s="13">
        <f t="shared" si="350"/>
        <v>0</v>
      </c>
      <c r="BJ600" s="13">
        <f t="shared" si="351"/>
        <v>0</v>
      </c>
    </row>
    <row r="601" spans="1:62" ht="12.75">
      <c r="A601" s="107" t="s">
        <v>318</v>
      </c>
      <c r="B601" s="108" t="s">
        <v>641</v>
      </c>
      <c r="C601" s="109" t="s">
        <v>997</v>
      </c>
      <c r="D601" s="205" t="s">
        <v>1011</v>
      </c>
      <c r="E601" s="110">
        <v>76.558</v>
      </c>
      <c r="F601" s="132">
        <v>0</v>
      </c>
      <c r="G601" s="139">
        <f t="shared" si="326"/>
        <v>0</v>
      </c>
      <c r="H601" s="110">
        <f t="shared" si="327"/>
        <v>0</v>
      </c>
      <c r="I601" s="140">
        <f t="shared" si="328"/>
        <v>0</v>
      </c>
      <c r="J601" s="213">
        <v>0</v>
      </c>
      <c r="K601" s="214">
        <f t="shared" si="329"/>
        <v>0</v>
      </c>
      <c r="L601" s="150" t="s">
        <v>1039</v>
      </c>
      <c r="Z601" s="27">
        <f t="shared" si="330"/>
        <v>0</v>
      </c>
      <c r="AB601" s="27">
        <f t="shared" si="331"/>
        <v>0</v>
      </c>
      <c r="AC601" s="27">
        <f t="shared" si="332"/>
        <v>0</v>
      </c>
      <c r="AD601" s="27">
        <f t="shared" si="333"/>
        <v>0</v>
      </c>
      <c r="AE601" s="27">
        <f t="shared" si="334"/>
        <v>0</v>
      </c>
      <c r="AF601" s="27">
        <f t="shared" si="335"/>
        <v>0</v>
      </c>
      <c r="AG601" s="27">
        <f t="shared" si="336"/>
        <v>0</v>
      </c>
      <c r="AH601" s="27">
        <f t="shared" si="337"/>
        <v>0</v>
      </c>
      <c r="AI601" s="20"/>
      <c r="AJ601" s="13">
        <f t="shared" si="338"/>
        <v>0</v>
      </c>
      <c r="AK601" s="13">
        <f t="shared" si="339"/>
        <v>0</v>
      </c>
      <c r="AL601" s="13">
        <f t="shared" si="340"/>
        <v>0</v>
      </c>
      <c r="AN601" s="27">
        <v>21</v>
      </c>
      <c r="AO601" s="27">
        <f>F601*0</f>
        <v>0</v>
      </c>
      <c r="AP601" s="27">
        <f>F601*(1-0)</f>
        <v>0</v>
      </c>
      <c r="AQ601" s="23" t="s">
        <v>11</v>
      </c>
      <c r="AV601" s="27">
        <f t="shared" si="343"/>
        <v>0</v>
      </c>
      <c r="AW601" s="27">
        <f t="shared" si="344"/>
        <v>0</v>
      </c>
      <c r="AX601" s="27">
        <f t="shared" si="345"/>
        <v>0</v>
      </c>
      <c r="AY601" s="28" t="s">
        <v>1092</v>
      </c>
      <c r="AZ601" s="28" t="s">
        <v>1105</v>
      </c>
      <c r="BA601" s="20" t="s">
        <v>1106</v>
      </c>
      <c r="BC601" s="27">
        <f t="shared" si="346"/>
        <v>0</v>
      </c>
      <c r="BD601" s="27">
        <f t="shared" si="347"/>
        <v>0</v>
      </c>
      <c r="BE601" s="27">
        <v>0</v>
      </c>
      <c r="BF601" s="27">
        <f t="shared" si="348"/>
        <v>0</v>
      </c>
      <c r="BH601" s="13">
        <f t="shared" si="349"/>
        <v>0</v>
      </c>
      <c r="BI601" s="13">
        <f t="shared" si="350"/>
        <v>0</v>
      </c>
      <c r="BJ601" s="13">
        <f t="shared" si="351"/>
        <v>0</v>
      </c>
    </row>
    <row r="602" spans="1:62" ht="12.75">
      <c r="A602" s="127" t="s">
        <v>1847</v>
      </c>
      <c r="B602" s="128" t="s">
        <v>642</v>
      </c>
      <c r="C602" s="129" t="s">
        <v>998</v>
      </c>
      <c r="D602" s="210" t="s">
        <v>1011</v>
      </c>
      <c r="E602" s="130">
        <v>8939.1394</v>
      </c>
      <c r="F602" s="136">
        <v>0</v>
      </c>
      <c r="G602" s="147">
        <f t="shared" si="326"/>
        <v>0</v>
      </c>
      <c r="H602" s="130">
        <f t="shared" si="327"/>
        <v>0</v>
      </c>
      <c r="I602" s="148">
        <f t="shared" si="328"/>
        <v>0</v>
      </c>
      <c r="J602" s="221">
        <v>0</v>
      </c>
      <c r="K602" s="222">
        <f t="shared" si="329"/>
        <v>0</v>
      </c>
      <c r="L602" s="154" t="s">
        <v>1039</v>
      </c>
      <c r="Z602" s="27">
        <f t="shared" si="330"/>
        <v>0</v>
      </c>
      <c r="AB602" s="27">
        <f t="shared" si="331"/>
        <v>0</v>
      </c>
      <c r="AC602" s="27">
        <f t="shared" si="332"/>
        <v>0</v>
      </c>
      <c r="AD602" s="27">
        <f t="shared" si="333"/>
        <v>0</v>
      </c>
      <c r="AE602" s="27">
        <f t="shared" si="334"/>
        <v>0</v>
      </c>
      <c r="AF602" s="27">
        <f t="shared" si="335"/>
        <v>0</v>
      </c>
      <c r="AG602" s="27">
        <f t="shared" si="336"/>
        <v>0</v>
      </c>
      <c r="AH602" s="27">
        <f t="shared" si="337"/>
        <v>0</v>
      </c>
      <c r="AI602" s="20"/>
      <c r="AJ602" s="13">
        <f t="shared" si="338"/>
        <v>0</v>
      </c>
      <c r="AK602" s="13">
        <f t="shared" si="339"/>
        <v>0</v>
      </c>
      <c r="AL602" s="13">
        <f t="shared" si="340"/>
        <v>0</v>
      </c>
      <c r="AN602" s="27">
        <v>21</v>
      </c>
      <c r="AO602" s="27">
        <f>F602*0</f>
        <v>0</v>
      </c>
      <c r="AP602" s="27">
        <f>F602*(1-0)</f>
        <v>0</v>
      </c>
      <c r="AQ602" s="23" t="s">
        <v>11</v>
      </c>
      <c r="AV602" s="27">
        <f t="shared" si="343"/>
        <v>0</v>
      </c>
      <c r="AW602" s="27">
        <f t="shared" si="344"/>
        <v>0</v>
      </c>
      <c r="AX602" s="27">
        <f t="shared" si="345"/>
        <v>0</v>
      </c>
      <c r="AY602" s="28" t="s">
        <v>1092</v>
      </c>
      <c r="AZ602" s="28" t="s">
        <v>1105</v>
      </c>
      <c r="BA602" s="20" t="s">
        <v>1106</v>
      </c>
      <c r="BC602" s="27">
        <f t="shared" si="346"/>
        <v>0</v>
      </c>
      <c r="BD602" s="27">
        <f t="shared" si="347"/>
        <v>0</v>
      </c>
      <c r="BE602" s="27">
        <v>0</v>
      </c>
      <c r="BF602" s="27">
        <f t="shared" si="348"/>
        <v>0</v>
      </c>
      <c r="BH602" s="13">
        <f t="shared" si="349"/>
        <v>0</v>
      </c>
      <c r="BI602" s="13">
        <f t="shared" si="350"/>
        <v>0</v>
      </c>
      <c r="BJ602" s="13">
        <f t="shared" si="351"/>
        <v>0</v>
      </c>
    </row>
    <row r="603" spans="1:12" ht="12.75">
      <c r="A603" s="6"/>
      <c r="B603" s="6"/>
      <c r="C603" s="6"/>
      <c r="D603" s="6"/>
      <c r="E603" s="6"/>
      <c r="F603" s="6"/>
      <c r="G603" s="226" t="s">
        <v>1031</v>
      </c>
      <c r="H603" s="227"/>
      <c r="I603" s="30">
        <f>I12+I64+I78+I93+I100+I119+I160+I169+I185+I192+I195+I198+I201+I204+I212+I215+I243+I246+I251+I256+I259+I268+I271+I274+I284+I287+I290+I295+I298+I305+I341+I377+I397+I410+I413+I416+I423+I440+I453+I458+I466+I488</f>
        <v>0</v>
      </c>
      <c r="J603" s="6"/>
      <c r="K603" s="6"/>
      <c r="L603" s="6"/>
    </row>
    <row r="604" ht="11.25" customHeight="1">
      <c r="A604" s="7" t="s">
        <v>319</v>
      </c>
    </row>
    <row r="605" spans="1:12" ht="12.75">
      <c r="A605" s="228"/>
      <c r="B605" s="229"/>
      <c r="C605" s="229"/>
      <c r="D605" s="229"/>
      <c r="E605" s="229"/>
      <c r="F605" s="229"/>
      <c r="G605" s="229"/>
      <c r="H605" s="229"/>
      <c r="I605" s="229"/>
      <c r="J605" s="229"/>
      <c r="K605" s="229"/>
      <c r="L605" s="229"/>
    </row>
  </sheetData>
  <sheetProtection/>
  <mergeCells count="29">
    <mergeCell ref="A1:L1"/>
    <mergeCell ref="A2:B3"/>
    <mergeCell ref="C2:C3"/>
    <mergeCell ref="D2:E3"/>
    <mergeCell ref="F2:F3"/>
    <mergeCell ref="G2:G3"/>
    <mergeCell ref="H2:L3"/>
    <mergeCell ref="A4:B5"/>
    <mergeCell ref="C4:C5"/>
    <mergeCell ref="D4:E5"/>
    <mergeCell ref="F4:F5"/>
    <mergeCell ref="G4:G5"/>
    <mergeCell ref="H4:L5"/>
    <mergeCell ref="A6:B7"/>
    <mergeCell ref="C6:C7"/>
    <mergeCell ref="D6:E7"/>
    <mergeCell ref="F6:F7"/>
    <mergeCell ref="G6:G7"/>
    <mergeCell ref="H6:L7"/>
    <mergeCell ref="G10:I10"/>
    <mergeCell ref="J10:K10"/>
    <mergeCell ref="G603:H603"/>
    <mergeCell ref="A605:L605"/>
    <mergeCell ref="A8:B9"/>
    <mergeCell ref="C8:C9"/>
    <mergeCell ref="D8:E9"/>
    <mergeCell ref="F8:F9"/>
    <mergeCell ref="G8:G9"/>
    <mergeCell ref="H8:L9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09"/>
  <sheetViews>
    <sheetView zoomScalePageLayoutView="0" workbookViewId="0" topLeftCell="A1">
      <selection activeCell="B409" sqref="B409:B435"/>
    </sheetView>
  </sheetViews>
  <sheetFormatPr defaultColWidth="9.140625" defaultRowHeight="12.75"/>
  <cols>
    <col min="1" max="1" width="13.57421875" style="0" customWidth="1"/>
    <col min="2" max="2" width="46.421875" style="0" customWidth="1"/>
    <col min="3" max="3" width="48.00390625" style="0" customWidth="1"/>
    <col min="4" max="4" width="6.7109375" style="0" customWidth="1"/>
    <col min="5" max="5" width="15.421875" style="0" customWidth="1"/>
  </cols>
  <sheetData>
    <row r="2" spans="1:10" ht="16.5" thickBot="1">
      <c r="A2" s="63"/>
      <c r="B2" s="64"/>
      <c r="C2" s="64"/>
      <c r="D2" s="64"/>
      <c r="E2" s="64"/>
      <c r="F2" s="65"/>
      <c r="G2" s="65"/>
      <c r="H2" s="65"/>
      <c r="I2" s="65"/>
      <c r="J2" s="65"/>
    </row>
    <row r="3" spans="1:10" ht="15">
      <c r="A3" s="66" t="s">
        <v>1155</v>
      </c>
      <c r="B3" s="67" t="s">
        <v>1156</v>
      </c>
      <c r="C3" s="67" t="s">
        <v>1157</v>
      </c>
      <c r="D3" s="67" t="s">
        <v>1158</v>
      </c>
      <c r="E3" s="68" t="s">
        <v>1019</v>
      </c>
      <c r="F3" s="65"/>
      <c r="G3" s="65"/>
      <c r="H3" s="65"/>
      <c r="I3" s="65"/>
      <c r="J3" s="65"/>
    </row>
    <row r="4" spans="1:10" ht="15">
      <c r="A4" s="69" t="s">
        <v>1159</v>
      </c>
      <c r="B4" s="70"/>
      <c r="C4" s="70"/>
      <c r="D4" s="71"/>
      <c r="E4" s="72"/>
      <c r="F4" s="65"/>
      <c r="G4" s="65"/>
      <c r="H4" s="65"/>
      <c r="I4" s="65"/>
      <c r="J4" s="65"/>
    </row>
    <row r="5" spans="1:10" ht="15.75" thickBot="1">
      <c r="A5" s="73" t="s">
        <v>1160</v>
      </c>
      <c r="B5" s="74" t="s">
        <v>1161</v>
      </c>
      <c r="C5" s="74"/>
      <c r="D5" s="75"/>
      <c r="E5" s="76"/>
      <c r="F5" s="65"/>
      <c r="G5" s="65"/>
      <c r="H5" s="65"/>
      <c r="I5" s="65"/>
      <c r="J5" s="65"/>
    </row>
    <row r="6" spans="1:10" ht="12.75">
      <c r="A6" s="156" t="s">
        <v>324</v>
      </c>
      <c r="B6" s="157" t="s">
        <v>651</v>
      </c>
      <c r="C6" s="157"/>
      <c r="D6" s="158"/>
      <c r="E6" s="159"/>
      <c r="F6" s="85"/>
      <c r="G6" s="85"/>
      <c r="H6" s="85"/>
      <c r="I6" s="85"/>
      <c r="J6" s="85"/>
    </row>
    <row r="7" spans="1:10" ht="25.5">
      <c r="A7" s="160"/>
      <c r="B7" s="161" t="s">
        <v>1162</v>
      </c>
      <c r="C7" s="161" t="s">
        <v>1163</v>
      </c>
      <c r="D7" s="162" t="s">
        <v>1005</v>
      </c>
      <c r="E7" s="163">
        <f>283+550+22+778</f>
        <v>1633</v>
      </c>
      <c r="F7" s="85"/>
      <c r="G7" s="85" t="s">
        <v>1608</v>
      </c>
      <c r="H7" s="85"/>
      <c r="I7" s="85"/>
      <c r="J7" s="85"/>
    </row>
    <row r="8" spans="1:10" ht="12.75">
      <c r="A8" s="160"/>
      <c r="B8" s="161"/>
      <c r="C8" s="161"/>
      <c r="D8" s="162"/>
      <c r="E8" s="163"/>
      <c r="F8" s="85"/>
      <c r="G8" s="85"/>
      <c r="H8" s="85"/>
      <c r="I8" s="85"/>
      <c r="J8" s="85"/>
    </row>
    <row r="9" spans="1:10" ht="25.5">
      <c r="A9" s="164" t="s">
        <v>341</v>
      </c>
      <c r="B9" s="165" t="s">
        <v>1164</v>
      </c>
      <c r="C9" s="161"/>
      <c r="D9" s="162"/>
      <c r="E9" s="163"/>
      <c r="F9" s="85"/>
      <c r="G9" s="85"/>
      <c r="H9" s="85"/>
      <c r="I9" s="85"/>
      <c r="J9" s="85"/>
    </row>
    <row r="10" spans="1:10" ht="12.75">
      <c r="A10" s="160"/>
      <c r="B10" s="161" t="s">
        <v>1165</v>
      </c>
      <c r="C10" s="161" t="s">
        <v>1166</v>
      </c>
      <c r="D10" s="162" t="s">
        <v>1008</v>
      </c>
      <c r="E10" s="163">
        <f>5*1.1</f>
        <v>5.5</v>
      </c>
      <c r="F10" s="85"/>
      <c r="G10" s="85"/>
      <c r="H10" s="85"/>
      <c r="I10" s="85"/>
      <c r="J10" s="85"/>
    </row>
    <row r="11" spans="1:10" ht="12.75">
      <c r="A11" s="160"/>
      <c r="B11" s="161"/>
      <c r="C11" s="161"/>
      <c r="D11" s="162"/>
      <c r="E11" s="163"/>
      <c r="F11" s="85"/>
      <c r="G11" s="85"/>
      <c r="H11" s="85"/>
      <c r="I11" s="85"/>
      <c r="J11" s="85"/>
    </row>
    <row r="12" spans="1:10" ht="12.75">
      <c r="A12" s="164" t="s">
        <v>342</v>
      </c>
      <c r="B12" s="165" t="s">
        <v>1167</v>
      </c>
      <c r="C12" s="161"/>
      <c r="D12" s="162"/>
      <c r="E12" s="163"/>
      <c r="F12" s="85"/>
      <c r="G12" s="85"/>
      <c r="H12" s="85"/>
      <c r="I12" s="85"/>
      <c r="J12" s="85"/>
    </row>
    <row r="13" spans="1:10" ht="12.75">
      <c r="A13" s="160"/>
      <c r="B13" s="161" t="s">
        <v>1168</v>
      </c>
      <c r="C13" s="161" t="s">
        <v>1169</v>
      </c>
      <c r="D13" s="162" t="s">
        <v>1008</v>
      </c>
      <c r="E13" s="163">
        <f>2*1.2+(5+10+14)*1.1</f>
        <v>34.300000000000004</v>
      </c>
      <c r="F13" s="85"/>
      <c r="G13" s="85"/>
      <c r="H13" s="85"/>
      <c r="I13" s="85"/>
      <c r="J13" s="85"/>
    </row>
    <row r="14" spans="1:10" ht="12.75">
      <c r="A14" s="160"/>
      <c r="B14" s="161" t="s">
        <v>1170</v>
      </c>
      <c r="C14" s="161" t="s">
        <v>1171</v>
      </c>
      <c r="D14" s="162" t="s">
        <v>1008</v>
      </c>
      <c r="E14" s="163">
        <f>2*1</f>
        <v>2</v>
      </c>
      <c r="F14" s="85"/>
      <c r="G14" s="85"/>
      <c r="H14" s="85"/>
      <c r="I14" s="85"/>
      <c r="J14" s="85"/>
    </row>
    <row r="15" spans="1:10" ht="12.75">
      <c r="A15" s="160"/>
      <c r="B15" s="161"/>
      <c r="C15" s="161" t="s">
        <v>1142</v>
      </c>
      <c r="D15" s="162" t="s">
        <v>1008</v>
      </c>
      <c r="E15" s="163">
        <f>SUM(E13:E14)</f>
        <v>36.300000000000004</v>
      </c>
      <c r="F15" s="85"/>
      <c r="G15" s="85"/>
      <c r="H15" s="85"/>
      <c r="I15" s="85"/>
      <c r="J15" s="85"/>
    </row>
    <row r="16" spans="1:10" ht="12.75">
      <c r="A16" s="160"/>
      <c r="B16" s="161"/>
      <c r="C16" s="161"/>
      <c r="D16" s="162"/>
      <c r="E16" s="163"/>
      <c r="F16" s="85"/>
      <c r="G16" s="85"/>
      <c r="H16" s="85"/>
      <c r="I16" s="85"/>
      <c r="J16" s="85"/>
    </row>
    <row r="17" spans="1:10" ht="12.75">
      <c r="A17" s="164" t="s">
        <v>343</v>
      </c>
      <c r="B17" s="165" t="s">
        <v>1172</v>
      </c>
      <c r="C17" s="161"/>
      <c r="D17" s="162"/>
      <c r="E17" s="163"/>
      <c r="F17" s="85"/>
      <c r="G17" s="85"/>
      <c r="H17" s="85"/>
      <c r="I17" s="85"/>
      <c r="J17" s="85"/>
    </row>
    <row r="18" spans="1:10" ht="12.75">
      <c r="A18" s="164"/>
      <c r="B18" s="161" t="s">
        <v>1168</v>
      </c>
      <c r="C18" s="161" t="s">
        <v>1173</v>
      </c>
      <c r="D18" s="162" t="s">
        <v>1008</v>
      </c>
      <c r="E18" s="163">
        <f>1*1.1</f>
        <v>1.1</v>
      </c>
      <c r="F18" s="85"/>
      <c r="G18" s="85"/>
      <c r="H18" s="85"/>
      <c r="I18" s="85"/>
      <c r="J18" s="85"/>
    </row>
    <row r="19" spans="1:10" ht="12.75">
      <c r="A19" s="160"/>
      <c r="B19" s="161" t="s">
        <v>1174</v>
      </c>
      <c r="C19" s="161" t="s">
        <v>1175</v>
      </c>
      <c r="D19" s="162" t="s">
        <v>1008</v>
      </c>
      <c r="E19" s="163">
        <v>1</v>
      </c>
      <c r="F19" s="85"/>
      <c r="G19" s="85"/>
      <c r="H19" s="85"/>
      <c r="I19" s="85"/>
      <c r="J19" s="85"/>
    </row>
    <row r="20" spans="1:10" ht="12.75">
      <c r="A20" s="160"/>
      <c r="B20" s="161"/>
      <c r="C20" s="161" t="s">
        <v>1142</v>
      </c>
      <c r="D20" s="162" t="s">
        <v>1008</v>
      </c>
      <c r="E20" s="163">
        <f>SUM(E18:E19)</f>
        <v>2.1</v>
      </c>
      <c r="F20" s="85"/>
      <c r="G20" s="85"/>
      <c r="H20" s="85"/>
      <c r="I20" s="85"/>
      <c r="J20" s="85"/>
    </row>
    <row r="21" spans="1:10" ht="12.75">
      <c r="A21" s="160"/>
      <c r="B21" s="161"/>
      <c r="C21" s="161"/>
      <c r="D21" s="162"/>
      <c r="E21" s="163"/>
      <c r="F21" s="85"/>
      <c r="G21" s="85"/>
      <c r="H21" s="85"/>
      <c r="I21" s="85"/>
      <c r="J21" s="85"/>
    </row>
    <row r="22" spans="1:10" ht="12.75">
      <c r="A22" s="164" t="s">
        <v>344</v>
      </c>
      <c r="B22" s="165" t="s">
        <v>1176</v>
      </c>
      <c r="C22" s="161"/>
      <c r="D22" s="162"/>
      <c r="E22" s="163"/>
      <c r="F22" s="85"/>
      <c r="G22" s="85"/>
      <c r="H22" s="85"/>
      <c r="I22" s="85"/>
      <c r="J22" s="85"/>
    </row>
    <row r="23" spans="1:10" ht="12.75">
      <c r="A23" s="164"/>
      <c r="B23" s="161" t="s">
        <v>1168</v>
      </c>
      <c r="C23" s="161" t="s">
        <v>1177</v>
      </c>
      <c r="D23" s="162" t="s">
        <v>1008</v>
      </c>
      <c r="E23" s="163">
        <f>+(7+4+2)*1.2+6*2+2+11*1.1</f>
        <v>41.7</v>
      </c>
      <c r="F23" s="85"/>
      <c r="G23" s="85" t="s">
        <v>1178</v>
      </c>
      <c r="H23" s="85"/>
      <c r="I23" s="85"/>
      <c r="J23" s="85"/>
    </row>
    <row r="24" spans="1:10" ht="12.75">
      <c r="A24" s="164"/>
      <c r="B24" s="161" t="s">
        <v>1179</v>
      </c>
      <c r="C24" s="161" t="s">
        <v>1180</v>
      </c>
      <c r="D24" s="162" t="s">
        <v>1008</v>
      </c>
      <c r="E24" s="163">
        <f>1*2+1*2+1*3</f>
        <v>7</v>
      </c>
      <c r="F24" s="85"/>
      <c r="G24" s="85"/>
      <c r="H24" s="85"/>
      <c r="I24" s="85"/>
      <c r="J24" s="85"/>
    </row>
    <row r="25" spans="1:10" ht="12.75">
      <c r="A25" s="164"/>
      <c r="B25" s="161" t="s">
        <v>1170</v>
      </c>
      <c r="C25" s="161" t="s">
        <v>1171</v>
      </c>
      <c r="D25" s="162" t="s">
        <v>1008</v>
      </c>
      <c r="E25" s="163">
        <f>2*1</f>
        <v>2</v>
      </c>
      <c r="F25" s="85"/>
      <c r="G25" s="85"/>
      <c r="H25" s="85"/>
      <c r="I25" s="85"/>
      <c r="J25" s="85"/>
    </row>
    <row r="26" spans="1:10" ht="12.75">
      <c r="A26" s="164"/>
      <c r="B26" s="165"/>
      <c r="C26" s="161" t="s">
        <v>1142</v>
      </c>
      <c r="D26" s="162" t="s">
        <v>1008</v>
      </c>
      <c r="E26" s="163">
        <f>SUM(E23:E25)</f>
        <v>50.7</v>
      </c>
      <c r="F26" s="85"/>
      <c r="G26" s="85"/>
      <c r="H26" s="85"/>
      <c r="I26" s="85"/>
      <c r="J26" s="85"/>
    </row>
    <row r="27" spans="1:10" ht="12.75">
      <c r="A27" s="164"/>
      <c r="B27" s="165"/>
      <c r="C27" s="161"/>
      <c r="D27" s="162"/>
      <c r="E27" s="163"/>
      <c r="F27" s="85"/>
      <c r="G27" s="85"/>
      <c r="H27" s="85"/>
      <c r="I27" s="85"/>
      <c r="J27" s="85"/>
    </row>
    <row r="28" spans="1:10" ht="25.5">
      <c r="A28" s="160" t="s">
        <v>345</v>
      </c>
      <c r="B28" s="161" t="s">
        <v>1181</v>
      </c>
      <c r="C28" s="161"/>
      <c r="D28" s="162"/>
      <c r="E28" s="163"/>
      <c r="F28" s="90"/>
      <c r="G28" s="90"/>
      <c r="H28" s="90"/>
      <c r="I28" s="85"/>
      <c r="J28" s="85"/>
    </row>
    <row r="29" spans="1:10" ht="12.75">
      <c r="A29" s="160"/>
      <c r="B29" s="161" t="s">
        <v>1182</v>
      </c>
      <c r="C29" s="166" t="s">
        <v>1183</v>
      </c>
      <c r="D29" s="162" t="s">
        <v>1006</v>
      </c>
      <c r="E29" s="163">
        <f>+(3*1.1+1.5+2.1+2.45+1.9+2.6+2)*1.6*1.2</f>
        <v>30.432000000000002</v>
      </c>
      <c r="F29" s="90"/>
      <c r="G29" s="90"/>
      <c r="H29" s="90"/>
      <c r="I29" s="84"/>
      <c r="J29" s="85"/>
    </row>
    <row r="30" spans="1:10" ht="12.75">
      <c r="A30" s="160"/>
      <c r="B30" s="161" t="s">
        <v>1184</v>
      </c>
      <c r="C30" s="166" t="s">
        <v>1185</v>
      </c>
      <c r="D30" s="162" t="s">
        <v>1006</v>
      </c>
      <c r="E30" s="163">
        <f>2.6*1.61*1.2</f>
        <v>5.023200000000001</v>
      </c>
      <c r="F30" s="90"/>
      <c r="G30" s="90"/>
      <c r="H30" s="90"/>
      <c r="I30" s="84"/>
      <c r="J30" s="85"/>
    </row>
    <row r="31" spans="1:10" ht="12.75">
      <c r="A31" s="160"/>
      <c r="B31" s="161" t="s">
        <v>1186</v>
      </c>
      <c r="C31" s="166" t="s">
        <v>1187</v>
      </c>
      <c r="D31" s="162" t="s">
        <v>1006</v>
      </c>
      <c r="E31" s="163">
        <f>1.12*1.6*1.1</f>
        <v>1.9712000000000005</v>
      </c>
      <c r="F31" s="90"/>
      <c r="G31" s="90"/>
      <c r="H31" s="90"/>
      <c r="I31" s="84"/>
      <c r="J31" s="85"/>
    </row>
    <row r="32" spans="1:10" ht="12.75">
      <c r="A32" s="160"/>
      <c r="B32" s="161" t="s">
        <v>1188</v>
      </c>
      <c r="C32" s="166" t="s">
        <v>1189</v>
      </c>
      <c r="D32" s="162" t="s">
        <v>1006</v>
      </c>
      <c r="E32" s="163">
        <f>1.07*1.57*1.1</f>
        <v>1.8478900000000003</v>
      </c>
      <c r="F32" s="90"/>
      <c r="G32" s="90"/>
      <c r="H32" s="90"/>
      <c r="I32" s="84"/>
      <c r="J32" s="85"/>
    </row>
    <row r="33" spans="1:10" ht="12.75">
      <c r="A33" s="160"/>
      <c r="B33" s="161" t="s">
        <v>1190</v>
      </c>
      <c r="C33" s="166" t="s">
        <v>1191</v>
      </c>
      <c r="D33" s="162" t="s">
        <v>1006</v>
      </c>
      <c r="E33" s="163">
        <f>4.8*2.34*1.2</f>
        <v>13.478399999999999</v>
      </c>
      <c r="F33" s="90"/>
      <c r="G33" s="90"/>
      <c r="H33" s="90"/>
      <c r="I33" s="84"/>
      <c r="J33" s="85"/>
    </row>
    <row r="34" spans="1:10" ht="12.75">
      <c r="A34" s="160"/>
      <c r="B34" s="161" t="s">
        <v>1192</v>
      </c>
      <c r="C34" s="166" t="s">
        <v>1193</v>
      </c>
      <c r="D34" s="162" t="s">
        <v>1006</v>
      </c>
      <c r="E34" s="163">
        <f>+(3*1.1*1.55+2*1.55+2.3*1.55)*1.1</f>
        <v>12.958</v>
      </c>
      <c r="F34" s="90"/>
      <c r="G34" s="90"/>
      <c r="H34" s="90"/>
      <c r="I34" s="84"/>
      <c r="J34" s="85"/>
    </row>
    <row r="35" spans="1:10" ht="12.75">
      <c r="A35" s="160"/>
      <c r="B35" s="161" t="s">
        <v>1194</v>
      </c>
      <c r="C35" s="166" t="s">
        <v>1195</v>
      </c>
      <c r="D35" s="162" t="s">
        <v>1006</v>
      </c>
      <c r="E35" s="163">
        <f>8*1.05*1.55*1.1</f>
        <v>14.322000000000003</v>
      </c>
      <c r="F35" s="90"/>
      <c r="G35" s="90"/>
      <c r="H35" s="90"/>
      <c r="I35" s="84"/>
      <c r="J35" s="85"/>
    </row>
    <row r="36" spans="1:10" ht="12.75">
      <c r="A36" s="160"/>
      <c r="B36" s="161" t="s">
        <v>1196</v>
      </c>
      <c r="C36" s="166" t="s">
        <v>1197</v>
      </c>
      <c r="D36" s="162" t="s">
        <v>1006</v>
      </c>
      <c r="E36" s="163">
        <f>9*1.05*1.55*1.1</f>
        <v>16.112250000000003</v>
      </c>
      <c r="F36" s="90"/>
      <c r="G36" s="90"/>
      <c r="H36" s="90"/>
      <c r="I36" s="84"/>
      <c r="J36" s="85"/>
    </row>
    <row r="37" spans="1:10" ht="12.75">
      <c r="A37" s="160"/>
      <c r="B37" s="161" t="s">
        <v>1198</v>
      </c>
      <c r="C37" s="166" t="s">
        <v>1199</v>
      </c>
      <c r="D37" s="162" t="s">
        <v>1006</v>
      </c>
      <c r="E37" s="163">
        <f>14*1.16*1.66*1.1</f>
        <v>29.654239999999998</v>
      </c>
      <c r="F37" s="90"/>
      <c r="G37" s="90"/>
      <c r="H37" s="90"/>
      <c r="I37" s="84"/>
      <c r="J37" s="85"/>
    </row>
    <row r="38" spans="1:10" ht="12.75">
      <c r="A38" s="160"/>
      <c r="B38" s="161" t="s">
        <v>1200</v>
      </c>
      <c r="C38" s="166" t="s">
        <v>1201</v>
      </c>
      <c r="D38" s="162" t="s">
        <v>1006</v>
      </c>
      <c r="E38" s="163">
        <f>1.7*2*4.5+1.5*1*1</f>
        <v>16.799999999999997</v>
      </c>
      <c r="F38" s="90"/>
      <c r="G38" s="90" t="s">
        <v>1202</v>
      </c>
      <c r="H38" s="90"/>
      <c r="I38" s="84"/>
      <c r="J38" s="85"/>
    </row>
    <row r="39" spans="1:10" ht="12.75">
      <c r="A39" s="160"/>
      <c r="B39" s="161" t="s">
        <v>1203</v>
      </c>
      <c r="C39" s="166" t="s">
        <v>1204</v>
      </c>
      <c r="D39" s="162" t="s">
        <v>1006</v>
      </c>
      <c r="E39" s="163">
        <f>1.66*1.6*1.3+0.42*1.6*2+1.1*1.6*3</f>
        <v>10.076800000000002</v>
      </c>
      <c r="F39" s="84"/>
      <c r="G39" s="84"/>
      <c r="H39" s="84"/>
      <c r="I39" s="84"/>
      <c r="J39" s="85"/>
    </row>
    <row r="40" spans="1:10" ht="12.75">
      <c r="A40" s="160"/>
      <c r="B40" s="161" t="s">
        <v>1205</v>
      </c>
      <c r="C40" s="166" t="s">
        <v>1206</v>
      </c>
      <c r="D40" s="162" t="s">
        <v>1006</v>
      </c>
      <c r="E40" s="163">
        <f>+(1.9+2*0.5)*1.3*1</f>
        <v>3.77</v>
      </c>
      <c r="F40" s="84"/>
      <c r="G40" s="84"/>
      <c r="H40" s="84"/>
      <c r="I40" s="84"/>
      <c r="J40" s="85"/>
    </row>
    <row r="41" spans="1:10" ht="12.75">
      <c r="A41" s="160"/>
      <c r="B41" s="161" t="s">
        <v>1207</v>
      </c>
      <c r="C41" s="161" t="s">
        <v>1208</v>
      </c>
      <c r="D41" s="162" t="s">
        <v>1006</v>
      </c>
      <c r="E41" s="163">
        <f>2.5*2.5*(0.6+0.5+0.3)</f>
        <v>8.75</v>
      </c>
      <c r="F41" s="84"/>
      <c r="G41" s="84"/>
      <c r="H41" s="84"/>
      <c r="I41" s="84"/>
      <c r="J41" s="85"/>
    </row>
    <row r="42" spans="1:10" ht="12.75">
      <c r="A42" s="160"/>
      <c r="B42" s="161" t="s">
        <v>1209</v>
      </c>
      <c r="C42" s="161" t="s">
        <v>1210</v>
      </c>
      <c r="D42" s="162" t="s">
        <v>1006</v>
      </c>
      <c r="E42" s="163">
        <f>1.1*1.6*1</f>
        <v>1.7600000000000002</v>
      </c>
      <c r="F42" s="84"/>
      <c r="G42" s="84"/>
      <c r="H42" s="84"/>
      <c r="I42" s="84"/>
      <c r="J42" s="85"/>
    </row>
    <row r="43" spans="1:10" ht="12.75">
      <c r="A43" s="160"/>
      <c r="B43" s="161" t="s">
        <v>1211</v>
      </c>
      <c r="C43" s="161" t="s">
        <v>1212</v>
      </c>
      <c r="D43" s="162" t="s">
        <v>1006</v>
      </c>
      <c r="E43" s="163">
        <f>2.33*2*1</f>
        <v>4.66</v>
      </c>
      <c r="F43" s="84"/>
      <c r="G43" s="84"/>
      <c r="H43" s="84"/>
      <c r="I43" s="84"/>
      <c r="J43" s="85"/>
    </row>
    <row r="44" spans="1:10" ht="12.75">
      <c r="A44" s="160"/>
      <c r="B44" s="161" t="s">
        <v>1205</v>
      </c>
      <c r="C44" s="166" t="s">
        <v>1213</v>
      </c>
      <c r="D44" s="162" t="s">
        <v>1006</v>
      </c>
      <c r="E44" s="163">
        <f>+(1.9+2*0.5)*1*0.7</f>
        <v>2.03</v>
      </c>
      <c r="F44" s="84"/>
      <c r="G44" s="84"/>
      <c r="H44" s="84"/>
      <c r="I44" s="84"/>
      <c r="J44" s="85"/>
    </row>
    <row r="45" spans="1:10" ht="12.75">
      <c r="A45" s="160"/>
      <c r="B45" s="161"/>
      <c r="C45" s="161" t="s">
        <v>1142</v>
      </c>
      <c r="D45" s="162" t="s">
        <v>1006</v>
      </c>
      <c r="E45" s="163">
        <f>SUM(E29:E44)</f>
        <v>173.64598</v>
      </c>
      <c r="F45" s="84"/>
      <c r="G45" s="84"/>
      <c r="H45" s="84"/>
      <c r="I45" s="84"/>
      <c r="J45" s="85"/>
    </row>
    <row r="46" spans="1:10" ht="12.75">
      <c r="A46" s="160"/>
      <c r="B46" s="161"/>
      <c r="C46" s="161"/>
      <c r="D46" s="162"/>
      <c r="E46" s="163"/>
      <c r="F46" s="84"/>
      <c r="G46" s="84"/>
      <c r="H46" s="84"/>
      <c r="I46" s="84"/>
      <c r="J46" s="85"/>
    </row>
    <row r="47" spans="1:10" ht="12.75">
      <c r="A47" s="160" t="s">
        <v>348</v>
      </c>
      <c r="B47" s="161" t="s">
        <v>1214</v>
      </c>
      <c r="C47" s="161"/>
      <c r="D47" s="162"/>
      <c r="E47" s="163"/>
      <c r="F47" s="84"/>
      <c r="G47" s="84"/>
      <c r="H47" s="84"/>
      <c r="I47" s="84"/>
      <c r="J47" s="85"/>
    </row>
    <row r="48" spans="1:10" ht="12.75">
      <c r="A48" s="160"/>
      <c r="B48" s="161" t="s">
        <v>1215</v>
      </c>
      <c r="C48" s="161" t="s">
        <v>1216</v>
      </c>
      <c r="D48" s="162" t="s">
        <v>1006</v>
      </c>
      <c r="E48" s="163">
        <f>540*0.5</f>
        <v>270</v>
      </c>
      <c r="F48" s="84"/>
      <c r="G48" s="84" t="s">
        <v>1217</v>
      </c>
      <c r="H48" s="84"/>
      <c r="I48" s="84"/>
      <c r="J48" s="85"/>
    </row>
    <row r="49" spans="1:10" ht="25.5">
      <c r="A49" s="160"/>
      <c r="B49" s="161" t="s">
        <v>1218</v>
      </c>
      <c r="C49" s="161" t="s">
        <v>1219</v>
      </c>
      <c r="D49" s="162" t="s">
        <v>1006</v>
      </c>
      <c r="E49" s="163">
        <f>1240*0.5</f>
        <v>620</v>
      </c>
      <c r="F49" s="84"/>
      <c r="G49" s="91"/>
      <c r="H49" s="84"/>
      <c r="I49" s="84"/>
      <c r="J49" s="85"/>
    </row>
    <row r="50" spans="1:10" ht="12.75">
      <c r="A50" s="160"/>
      <c r="B50" s="161"/>
      <c r="C50" s="161" t="s">
        <v>1220</v>
      </c>
      <c r="D50" s="162" t="s">
        <v>1006</v>
      </c>
      <c r="E50" s="163">
        <f>SUM(E48:E49)</f>
        <v>890</v>
      </c>
      <c r="F50" s="84"/>
      <c r="G50" s="84"/>
      <c r="H50" s="84"/>
      <c r="I50" s="84"/>
      <c r="J50" s="85"/>
    </row>
    <row r="51" spans="1:10" ht="12.75">
      <c r="A51" s="160"/>
      <c r="B51" s="161"/>
      <c r="C51" s="161"/>
      <c r="D51" s="162"/>
      <c r="E51" s="163"/>
      <c r="F51" s="84"/>
      <c r="G51" s="84"/>
      <c r="H51" s="84"/>
      <c r="I51" s="84"/>
      <c r="J51" s="85"/>
    </row>
    <row r="52" spans="1:10" ht="12.75">
      <c r="A52" s="160" t="s">
        <v>351</v>
      </c>
      <c r="B52" s="161" t="s">
        <v>1221</v>
      </c>
      <c r="C52" s="161"/>
      <c r="D52" s="162"/>
      <c r="E52" s="163"/>
      <c r="F52" s="84"/>
      <c r="G52" s="84"/>
      <c r="H52" s="84"/>
      <c r="I52" s="84"/>
      <c r="J52" s="85"/>
    </row>
    <row r="53" spans="1:10" ht="12.75">
      <c r="A53" s="160"/>
      <c r="B53" s="161" t="s">
        <v>1222</v>
      </c>
      <c r="C53" s="161"/>
      <c r="D53" s="162"/>
      <c r="E53" s="163"/>
      <c r="F53" s="84"/>
      <c r="G53" s="84"/>
      <c r="H53" s="84"/>
      <c r="I53" s="84"/>
      <c r="J53" s="85"/>
    </row>
    <row r="54" spans="1:10" ht="12.75">
      <c r="A54" s="160"/>
      <c r="B54" s="161" t="s">
        <v>1223</v>
      </c>
      <c r="C54" s="161" t="s">
        <v>1224</v>
      </c>
      <c r="D54" s="162" t="s">
        <v>1005</v>
      </c>
      <c r="E54" s="163">
        <v>178.7</v>
      </c>
      <c r="F54" s="84"/>
      <c r="G54" s="84"/>
      <c r="H54" s="84"/>
      <c r="I54" s="84"/>
      <c r="J54" s="85"/>
    </row>
    <row r="55" spans="1:10" ht="12.75">
      <c r="A55" s="160"/>
      <c r="B55" s="161"/>
      <c r="C55" s="161" t="s">
        <v>1225</v>
      </c>
      <c r="D55" s="162" t="s">
        <v>1005</v>
      </c>
      <c r="E55" s="163">
        <v>410</v>
      </c>
      <c r="F55" s="84"/>
      <c r="G55" s="84"/>
      <c r="H55" s="84"/>
      <c r="I55" s="84"/>
      <c r="J55" s="85"/>
    </row>
    <row r="56" spans="1:10" ht="12.75">
      <c r="A56" s="160"/>
      <c r="B56" s="161" t="s">
        <v>1226</v>
      </c>
      <c r="C56" s="161" t="s">
        <v>1227</v>
      </c>
      <c r="D56" s="162" t="s">
        <v>1005</v>
      </c>
      <c r="E56" s="163">
        <v>47.5</v>
      </c>
      <c r="F56" s="84"/>
      <c r="G56" s="84"/>
      <c r="H56" s="84"/>
      <c r="I56" s="84"/>
      <c r="J56" s="85"/>
    </row>
    <row r="57" spans="1:10" ht="12.75">
      <c r="A57" s="160"/>
      <c r="B57" s="161" t="s">
        <v>1228</v>
      </c>
      <c r="C57" s="161" t="s">
        <v>1229</v>
      </c>
      <c r="D57" s="162" t="s">
        <v>1005</v>
      </c>
      <c r="E57" s="163">
        <v>457.5</v>
      </c>
      <c r="F57" s="84"/>
      <c r="G57" s="84"/>
      <c r="H57" s="84"/>
      <c r="I57" s="84"/>
      <c r="J57" s="85"/>
    </row>
    <row r="58" spans="1:10" ht="12.75">
      <c r="A58" s="160"/>
      <c r="B58" s="161"/>
      <c r="C58" s="161" t="s">
        <v>1230</v>
      </c>
      <c r="D58" s="162" t="s">
        <v>1005</v>
      </c>
      <c r="E58" s="163">
        <v>642.4</v>
      </c>
      <c r="F58" s="84"/>
      <c r="G58" s="84"/>
      <c r="H58" s="84"/>
      <c r="I58" s="84"/>
      <c r="J58" s="85"/>
    </row>
    <row r="59" spans="1:10" ht="12.75">
      <c r="A59" s="160"/>
      <c r="B59" s="161"/>
      <c r="C59" s="161" t="s">
        <v>1231</v>
      </c>
      <c r="D59" s="162" t="s">
        <v>1008</v>
      </c>
      <c r="E59" s="163">
        <v>2.44</v>
      </c>
      <c r="F59" s="84"/>
      <c r="G59" s="84" t="s">
        <v>1232</v>
      </c>
      <c r="H59" s="84"/>
      <c r="I59" s="84"/>
      <c r="J59" s="85"/>
    </row>
    <row r="60" spans="1:10" ht="12.75">
      <c r="A60" s="160"/>
      <c r="B60" s="161"/>
      <c r="C60" s="161" t="s">
        <v>1233</v>
      </c>
      <c r="D60" s="162" t="s">
        <v>1008</v>
      </c>
      <c r="E60" s="163">
        <v>0.94</v>
      </c>
      <c r="F60" s="84"/>
      <c r="G60" s="84"/>
      <c r="H60" s="84"/>
      <c r="I60" s="84"/>
      <c r="J60" s="85"/>
    </row>
    <row r="61" spans="1:10" ht="12.75">
      <c r="A61" s="160"/>
      <c r="B61" s="161" t="s">
        <v>1234</v>
      </c>
      <c r="C61" s="161" t="s">
        <v>1235</v>
      </c>
      <c r="D61" s="162" t="s">
        <v>1006</v>
      </c>
      <c r="E61" s="167">
        <f>+(E54+E55)/2*E59</f>
        <v>718.214</v>
      </c>
      <c r="F61" s="84"/>
      <c r="G61" s="84"/>
      <c r="H61" s="84"/>
      <c r="I61" s="84"/>
      <c r="J61" s="85"/>
    </row>
    <row r="62" spans="1:10" ht="12.75">
      <c r="A62" s="160"/>
      <c r="B62" s="161" t="s">
        <v>1236</v>
      </c>
      <c r="C62" s="161" t="s">
        <v>1237</v>
      </c>
      <c r="D62" s="162" t="s">
        <v>1006</v>
      </c>
      <c r="E62" s="167">
        <f>+E56*E60</f>
        <v>44.65</v>
      </c>
      <c r="F62" s="84"/>
      <c r="G62" s="84"/>
      <c r="H62" s="84"/>
      <c r="I62" s="84"/>
      <c r="J62" s="85"/>
    </row>
    <row r="63" spans="1:10" ht="12.75">
      <c r="A63" s="160"/>
      <c r="B63" s="161" t="s">
        <v>1238</v>
      </c>
      <c r="C63" s="161" t="s">
        <v>1239</v>
      </c>
      <c r="D63" s="162" t="s">
        <v>1006</v>
      </c>
      <c r="E63" s="167">
        <f>+(E57+E58)/2*E60</f>
        <v>516.953</v>
      </c>
      <c r="F63" s="84"/>
      <c r="G63" s="84"/>
      <c r="H63" s="84"/>
      <c r="I63" s="84"/>
      <c r="J63" s="85"/>
    </row>
    <row r="64" spans="1:10" ht="12.75">
      <c r="A64" s="160"/>
      <c r="B64" s="161" t="s">
        <v>1240</v>
      </c>
      <c r="C64" s="161" t="s">
        <v>1241</v>
      </c>
      <c r="D64" s="162" t="s">
        <v>1005</v>
      </c>
      <c r="E64" s="163">
        <f>+E54</f>
        <v>178.7</v>
      </c>
      <c r="F64" s="84"/>
      <c r="G64" s="84"/>
      <c r="H64" s="84"/>
      <c r="I64" s="84"/>
      <c r="J64" s="85"/>
    </row>
    <row r="65" spans="1:10" ht="12.75">
      <c r="A65" s="160"/>
      <c r="B65" s="161"/>
      <c r="C65" s="161" t="s">
        <v>1242</v>
      </c>
      <c r="D65" s="162" t="s">
        <v>1005</v>
      </c>
      <c r="E65" s="163">
        <f>+(E55-E54)*1.172</f>
        <v>271.0836</v>
      </c>
      <c r="F65" s="84"/>
      <c r="G65" s="84"/>
      <c r="H65" s="84"/>
      <c r="I65" s="84"/>
      <c r="J65" s="85"/>
    </row>
    <row r="66" spans="1:10" ht="12.75">
      <c r="A66" s="160"/>
      <c r="B66" s="161"/>
      <c r="C66" s="161" t="s">
        <v>1243</v>
      </c>
      <c r="D66" s="162" t="s">
        <v>1005</v>
      </c>
      <c r="E66" s="163">
        <f>+E56</f>
        <v>47.5</v>
      </c>
      <c r="F66" s="84"/>
      <c r="G66" s="84"/>
      <c r="H66" s="84"/>
      <c r="I66" s="84"/>
      <c r="J66" s="85"/>
    </row>
    <row r="67" spans="1:10" ht="12.75">
      <c r="A67" s="160"/>
      <c r="B67" s="161"/>
      <c r="C67" s="161" t="s">
        <v>1244</v>
      </c>
      <c r="D67" s="162" t="s">
        <v>1006</v>
      </c>
      <c r="E67" s="167">
        <f>+(E64+E65+E66)*0.2</f>
        <v>99.45672</v>
      </c>
      <c r="F67" s="84"/>
      <c r="G67" s="84"/>
      <c r="H67" s="84"/>
      <c r="I67" s="84"/>
      <c r="J67" s="85"/>
    </row>
    <row r="68" spans="1:10" ht="12.75">
      <c r="A68" s="160"/>
      <c r="B68" s="161" t="s">
        <v>1245</v>
      </c>
      <c r="C68" s="161" t="s">
        <v>1246</v>
      </c>
      <c r="D68" s="162" t="s">
        <v>1006</v>
      </c>
      <c r="E68" s="167">
        <f>+(E58-E57)*1.118*0.1</f>
        <v>20.67182</v>
      </c>
      <c r="F68" s="84"/>
      <c r="G68" s="84"/>
      <c r="H68" s="84"/>
      <c r="I68" s="84"/>
      <c r="J68" s="85"/>
    </row>
    <row r="69" spans="1:10" ht="12.75">
      <c r="A69" s="160"/>
      <c r="B69" s="161" t="s">
        <v>1247</v>
      </c>
      <c r="C69" s="161" t="s">
        <v>1248</v>
      </c>
      <c r="D69" s="162" t="s">
        <v>1006</v>
      </c>
      <c r="E69" s="168">
        <f>+E48</f>
        <v>270</v>
      </c>
      <c r="F69" s="84"/>
      <c r="G69" s="84" t="s">
        <v>1249</v>
      </c>
      <c r="H69" s="84"/>
      <c r="I69" s="84"/>
      <c r="J69" s="85"/>
    </row>
    <row r="70" spans="1:10" ht="12.75">
      <c r="A70" s="160"/>
      <c r="B70" s="161"/>
      <c r="C70" s="161" t="s">
        <v>1142</v>
      </c>
      <c r="D70" s="162" t="s">
        <v>1006</v>
      </c>
      <c r="E70" s="169">
        <f>+E61+E62+E63+E67+E68-E69</f>
        <v>1129.94554</v>
      </c>
      <c r="F70" s="84"/>
      <c r="G70" s="84"/>
      <c r="H70" s="84"/>
      <c r="I70" s="84"/>
      <c r="J70" s="85"/>
    </row>
    <row r="71" spans="1:10" ht="12.75">
      <c r="A71" s="160"/>
      <c r="B71" s="161"/>
      <c r="C71" s="161"/>
      <c r="D71" s="162"/>
      <c r="E71" s="169"/>
      <c r="F71" s="84"/>
      <c r="G71" s="84"/>
      <c r="H71" s="84"/>
      <c r="I71" s="84"/>
      <c r="J71" s="85"/>
    </row>
    <row r="72" spans="1:10" ht="12.75">
      <c r="A72" s="160" t="s">
        <v>353</v>
      </c>
      <c r="B72" s="161" t="s">
        <v>682</v>
      </c>
      <c r="C72" s="161"/>
      <c r="D72" s="162"/>
      <c r="E72" s="169"/>
      <c r="F72" s="84"/>
      <c r="G72" s="84"/>
      <c r="H72" s="84"/>
      <c r="I72" s="84"/>
      <c r="J72" s="85"/>
    </row>
    <row r="73" spans="1:10" ht="25.5">
      <c r="A73" s="160"/>
      <c r="B73" s="161" t="s">
        <v>1250</v>
      </c>
      <c r="C73" s="161" t="s">
        <v>1251</v>
      </c>
      <c r="D73" s="162" t="s">
        <v>1006</v>
      </c>
      <c r="E73" s="163">
        <f>6*3.5*(4.85-0.18)+0.5*0.5*0.8</f>
        <v>98.27</v>
      </c>
      <c r="F73" s="84"/>
      <c r="G73" s="84"/>
      <c r="H73" s="84"/>
      <c r="I73" s="84"/>
      <c r="J73" s="85"/>
    </row>
    <row r="74" spans="1:10" ht="25.5">
      <c r="A74" s="160"/>
      <c r="B74" s="161" t="s">
        <v>1252</v>
      </c>
      <c r="C74" s="161" t="s">
        <v>1253</v>
      </c>
      <c r="D74" s="162" t="s">
        <v>1006</v>
      </c>
      <c r="E74" s="163">
        <f>5*2.5*(3.7-0.18)+0.5*0.5*0.8</f>
        <v>44.2</v>
      </c>
      <c r="F74" s="84"/>
      <c r="G74" s="84"/>
      <c r="H74" s="84"/>
      <c r="I74" s="84"/>
      <c r="J74" s="85"/>
    </row>
    <row r="75" spans="1:10" ht="25.5">
      <c r="A75" s="160"/>
      <c r="B75" s="161" t="s">
        <v>1254</v>
      </c>
      <c r="C75" s="161" t="s">
        <v>1255</v>
      </c>
      <c r="D75" s="162" t="s">
        <v>1006</v>
      </c>
      <c r="E75" s="163">
        <f>5*2.5*(4.25-0.18)</f>
        <v>50.875</v>
      </c>
      <c r="F75" s="84"/>
      <c r="G75" s="84"/>
      <c r="H75" s="84"/>
      <c r="I75" s="84"/>
      <c r="J75" s="85"/>
    </row>
    <row r="76" spans="1:10" ht="25.5">
      <c r="A76" s="160"/>
      <c r="B76" s="170" t="s">
        <v>1256</v>
      </c>
      <c r="C76" s="170" t="s">
        <v>1257</v>
      </c>
      <c r="D76" s="171" t="s">
        <v>1006</v>
      </c>
      <c r="E76" s="172">
        <f>7*3.5*3.5+0.5*0.5*0.8</f>
        <v>85.95</v>
      </c>
      <c r="F76" s="92"/>
      <c r="G76" s="92"/>
      <c r="H76" s="92"/>
      <c r="I76" s="92"/>
      <c r="J76" s="93"/>
    </row>
    <row r="77" spans="1:10" ht="12.75">
      <c r="A77" s="160"/>
      <c r="B77" s="161"/>
      <c r="C77" s="161" t="s">
        <v>1142</v>
      </c>
      <c r="D77" s="162" t="s">
        <v>1006</v>
      </c>
      <c r="E77" s="163">
        <f>SUM(E73:E76)</f>
        <v>279.295</v>
      </c>
      <c r="F77" s="84"/>
      <c r="G77" s="84"/>
      <c r="H77" s="84"/>
      <c r="I77" s="84"/>
      <c r="J77" s="85"/>
    </row>
    <row r="78" spans="1:10" ht="12.75">
      <c r="A78" s="160"/>
      <c r="B78" s="161"/>
      <c r="C78" s="161"/>
      <c r="D78" s="162"/>
      <c r="E78" s="169"/>
      <c r="F78" s="84"/>
      <c r="G78" s="84"/>
      <c r="H78" s="84"/>
      <c r="I78" s="84"/>
      <c r="J78" s="85"/>
    </row>
    <row r="79" spans="1:10" ht="12.75">
      <c r="A79" s="160" t="s">
        <v>355</v>
      </c>
      <c r="B79" s="173" t="s">
        <v>1258</v>
      </c>
      <c r="C79" s="161"/>
      <c r="D79" s="162"/>
      <c r="E79" s="163"/>
      <c r="F79" s="84"/>
      <c r="G79" s="84"/>
      <c r="H79" s="84"/>
      <c r="I79" s="84"/>
      <c r="J79" s="85"/>
    </row>
    <row r="80" spans="1:13" ht="12.75">
      <c r="A80" s="160"/>
      <c r="B80" s="161" t="s">
        <v>1259</v>
      </c>
      <c r="C80" s="161"/>
      <c r="D80" s="162" t="s">
        <v>1006</v>
      </c>
      <c r="E80" s="163">
        <f>+'[1]Výkaz kubatur'!K110</f>
        <v>3353.0291250000005</v>
      </c>
      <c r="F80" s="84"/>
      <c r="G80" s="80"/>
      <c r="H80" s="80"/>
      <c r="I80" s="80"/>
      <c r="J80" s="83"/>
      <c r="K80" s="77"/>
      <c r="L80" s="77"/>
      <c r="M80" s="77"/>
    </row>
    <row r="81" spans="1:16" ht="15">
      <c r="A81" s="160"/>
      <c r="B81" s="161" t="s">
        <v>1260</v>
      </c>
      <c r="C81" s="161"/>
      <c r="D81" s="162"/>
      <c r="E81" s="163"/>
      <c r="F81" s="84"/>
      <c r="G81" s="94" t="s">
        <v>1261</v>
      </c>
      <c r="H81" s="94" t="s">
        <v>1262</v>
      </c>
      <c r="I81" s="94" t="s">
        <v>1263</v>
      </c>
      <c r="J81" s="94" t="s">
        <v>1264</v>
      </c>
      <c r="K81" s="94" t="s">
        <v>1265</v>
      </c>
      <c r="L81" s="94" t="s">
        <v>1266</v>
      </c>
      <c r="M81" s="94" t="s">
        <v>1267</v>
      </c>
      <c r="N81" s="78" t="s">
        <v>1268</v>
      </c>
      <c r="O81" s="79" t="s">
        <v>1269</v>
      </c>
      <c r="P81" s="79" t="s">
        <v>1142</v>
      </c>
    </row>
    <row r="82" spans="1:17" ht="15">
      <c r="A82" s="160"/>
      <c r="B82" s="161" t="s">
        <v>1270</v>
      </c>
      <c r="C82" s="161" t="s">
        <v>1271</v>
      </c>
      <c r="D82" s="162" t="s">
        <v>1006</v>
      </c>
      <c r="E82" s="163">
        <f>3.5*(3.5-1.2)*2.99+2.5*(2.5-1.2)*P82</f>
        <v>73.1445</v>
      </c>
      <c r="F82" s="84"/>
      <c r="G82" s="80">
        <v>2.73</v>
      </c>
      <c r="H82" s="80">
        <v>2.32</v>
      </c>
      <c r="I82" s="80">
        <v>2.22</v>
      </c>
      <c r="J82" s="80">
        <v>2.07</v>
      </c>
      <c r="K82" s="80">
        <v>1.48</v>
      </c>
      <c r="L82" s="80">
        <v>2.02</v>
      </c>
      <c r="M82" s="80">
        <v>2.26</v>
      </c>
      <c r="N82" s="80"/>
      <c r="O82" s="81"/>
      <c r="P82" s="81">
        <f>SUM(G82:O82)</f>
        <v>15.1</v>
      </c>
      <c r="Q82" t="s">
        <v>1272</v>
      </c>
    </row>
    <row r="83" spans="1:17" ht="15">
      <c r="A83" s="160"/>
      <c r="B83" s="161"/>
      <c r="C83" s="161"/>
      <c r="D83" s="162"/>
      <c r="E83" s="163"/>
      <c r="F83" s="84"/>
      <c r="G83" s="94" t="s">
        <v>1273</v>
      </c>
      <c r="H83" s="94" t="s">
        <v>1274</v>
      </c>
      <c r="I83" s="94" t="s">
        <v>1275</v>
      </c>
      <c r="J83" s="94" t="s">
        <v>1276</v>
      </c>
      <c r="K83" s="94" t="s">
        <v>1277</v>
      </c>
      <c r="L83" s="94" t="s">
        <v>1278</v>
      </c>
      <c r="M83" s="94" t="s">
        <v>1279</v>
      </c>
      <c r="N83" s="78" t="s">
        <v>1280</v>
      </c>
      <c r="O83" s="79" t="s">
        <v>1281</v>
      </c>
      <c r="P83" s="82" t="s">
        <v>1142</v>
      </c>
      <c r="Q83" s="82"/>
    </row>
    <row r="84" spans="1:17" ht="15">
      <c r="A84" s="160"/>
      <c r="B84" s="161" t="s">
        <v>1282</v>
      </c>
      <c r="C84" s="161" t="s">
        <v>1283</v>
      </c>
      <c r="D84" s="162" t="s">
        <v>1006</v>
      </c>
      <c r="E84" s="163">
        <f>2.5*(2.5-1.1)*P84</f>
        <v>65.31000000000002</v>
      </c>
      <c r="F84" s="84"/>
      <c r="G84" s="80"/>
      <c r="H84" s="80"/>
      <c r="I84" s="80"/>
      <c r="J84" s="80">
        <v>3.54</v>
      </c>
      <c r="K84" s="80">
        <v>3.42</v>
      </c>
      <c r="L84" s="80">
        <v>3.03</v>
      </c>
      <c r="M84" s="80">
        <v>3.03</v>
      </c>
      <c r="N84" s="81">
        <v>3.71</v>
      </c>
      <c r="O84" s="81">
        <v>3.01</v>
      </c>
      <c r="P84" s="81">
        <f>SUM(F84:O84)-6*0.18</f>
        <v>18.660000000000004</v>
      </c>
      <c r="Q84" t="s">
        <v>1284</v>
      </c>
    </row>
    <row r="85" spans="1:17" ht="15">
      <c r="A85" s="160"/>
      <c r="B85" s="161"/>
      <c r="C85" s="161"/>
      <c r="D85" s="162"/>
      <c r="E85" s="163"/>
      <c r="F85" s="84"/>
      <c r="G85" s="94" t="s">
        <v>1285</v>
      </c>
      <c r="H85" s="94" t="s">
        <v>1286</v>
      </c>
      <c r="I85" s="94" t="s">
        <v>1287</v>
      </c>
      <c r="J85" s="94" t="s">
        <v>1288</v>
      </c>
      <c r="K85" s="94" t="s">
        <v>1289</v>
      </c>
      <c r="L85" s="94" t="s">
        <v>1290</v>
      </c>
      <c r="M85" s="94" t="s">
        <v>1291</v>
      </c>
      <c r="N85" s="78" t="s">
        <v>1292</v>
      </c>
      <c r="O85" s="79"/>
      <c r="P85" s="79" t="s">
        <v>1142</v>
      </c>
      <c r="Q85" s="81"/>
    </row>
    <row r="86" spans="1:24" ht="25.5">
      <c r="A86" s="160"/>
      <c r="B86" s="161" t="s">
        <v>1293</v>
      </c>
      <c r="C86" s="161" t="s">
        <v>1294</v>
      </c>
      <c r="D86" s="162" t="s">
        <v>1006</v>
      </c>
      <c r="E86" s="163">
        <f>2.7*(2.7-1.3)*2.9+(2.5*(2.5-1.3)*G86)+2.5*(0.6+0.1)*(P86-6*0.5)</f>
        <v>44.2145</v>
      </c>
      <c r="F86" s="84"/>
      <c r="G86" s="80">
        <v>3.11</v>
      </c>
      <c r="H86" s="80"/>
      <c r="I86" s="80"/>
      <c r="J86" s="80">
        <v>3.11</v>
      </c>
      <c r="K86" s="80">
        <v>3.72</v>
      </c>
      <c r="L86" s="80">
        <v>4.32</v>
      </c>
      <c r="M86" s="80">
        <v>4.56</v>
      </c>
      <c r="N86" s="81">
        <v>3.96</v>
      </c>
      <c r="O86" s="81"/>
      <c r="P86" s="81">
        <f>SUM(I86:O86)-6*0.5</f>
        <v>16.67</v>
      </c>
      <c r="Q86" t="s">
        <v>1295</v>
      </c>
      <c r="T86" t="s">
        <v>1296</v>
      </c>
      <c r="X86" t="s">
        <v>1297</v>
      </c>
    </row>
    <row r="87" spans="1:16" ht="15">
      <c r="A87" s="160"/>
      <c r="B87" s="161"/>
      <c r="C87" s="161"/>
      <c r="D87" s="162"/>
      <c r="E87" s="163"/>
      <c r="F87" s="84"/>
      <c r="G87" s="94" t="s">
        <v>1298</v>
      </c>
      <c r="H87" s="94" t="s">
        <v>1299</v>
      </c>
      <c r="I87" s="94" t="s">
        <v>1300</v>
      </c>
      <c r="J87" s="94" t="s">
        <v>1301</v>
      </c>
      <c r="K87" s="94" t="s">
        <v>1302</v>
      </c>
      <c r="L87" s="94" t="s">
        <v>1303</v>
      </c>
      <c r="M87" s="94" t="s">
        <v>1142</v>
      </c>
      <c r="N87" s="78"/>
      <c r="O87" s="79"/>
      <c r="P87" s="79"/>
    </row>
    <row r="88" spans="1:20" ht="15">
      <c r="A88" s="160"/>
      <c r="B88" s="161" t="s">
        <v>1304</v>
      </c>
      <c r="C88" s="161" t="s">
        <v>1305</v>
      </c>
      <c r="D88" s="162" t="s">
        <v>1006</v>
      </c>
      <c r="E88" s="163">
        <f>2.5*(2.5-1)*G88+2.5*0.75*M88</f>
        <v>39.84375</v>
      </c>
      <c r="F88" s="84"/>
      <c r="G88" s="80">
        <v>2.68</v>
      </c>
      <c r="H88" s="80">
        <v>2.82</v>
      </c>
      <c r="I88" s="80">
        <v>3.53</v>
      </c>
      <c r="J88" s="80">
        <v>4.04</v>
      </c>
      <c r="K88" s="80">
        <v>4.42</v>
      </c>
      <c r="L88" s="80">
        <v>3.58</v>
      </c>
      <c r="M88" s="80">
        <f>SUM(H88:L88)-5*0.5</f>
        <v>15.89</v>
      </c>
      <c r="N88" s="80"/>
      <c r="O88" s="81"/>
      <c r="P88" s="81"/>
      <c r="Q88" t="s">
        <v>1295</v>
      </c>
      <c r="T88" t="s">
        <v>1296</v>
      </c>
    </row>
    <row r="89" spans="1:10" ht="12.75">
      <c r="A89" s="160"/>
      <c r="B89" s="161" t="s">
        <v>1306</v>
      </c>
      <c r="C89" s="161" t="s">
        <v>1307</v>
      </c>
      <c r="D89" s="162" t="s">
        <v>1006</v>
      </c>
      <c r="E89" s="163">
        <f>3.5*3.5*1.02+2.5*2.5*(8+6+7+6)*0.2+2.7*2.7*0.5</f>
        <v>49.89000000000001</v>
      </c>
      <c r="F89" s="84"/>
      <c r="G89" s="84"/>
      <c r="H89" s="84"/>
      <c r="I89" s="84"/>
      <c r="J89" s="85"/>
    </row>
    <row r="90" spans="1:10" ht="12.75">
      <c r="A90" s="160"/>
      <c r="B90" s="161" t="s">
        <v>1308</v>
      </c>
      <c r="C90" s="161" t="s">
        <v>1309</v>
      </c>
      <c r="D90" s="162" t="s">
        <v>1006</v>
      </c>
      <c r="E90" s="163">
        <f>3.1*3.6*(1.82+0.21)/2</f>
        <v>11.3274</v>
      </c>
      <c r="F90" s="84"/>
      <c r="G90" s="84"/>
      <c r="H90" s="84"/>
      <c r="I90" s="84"/>
      <c r="J90" s="85"/>
    </row>
    <row r="91" spans="1:10" ht="12.75">
      <c r="A91" s="160"/>
      <c r="B91" s="161" t="s">
        <v>1310</v>
      </c>
      <c r="C91" s="161" t="s">
        <v>1311</v>
      </c>
      <c r="D91" s="162" t="s">
        <v>1006</v>
      </c>
      <c r="E91" s="163">
        <f>1.7*1.1*0.8</f>
        <v>1.4960000000000002</v>
      </c>
      <c r="F91" s="84"/>
      <c r="G91" s="84"/>
      <c r="H91" s="84"/>
      <c r="I91" s="84"/>
      <c r="J91" s="85"/>
    </row>
    <row r="92" spans="1:10" ht="12.75">
      <c r="A92" s="160"/>
      <c r="B92" s="161" t="s">
        <v>1312</v>
      </c>
      <c r="C92" s="161" t="s">
        <v>1313</v>
      </c>
      <c r="D92" s="162" t="s">
        <v>1006</v>
      </c>
      <c r="E92" s="163">
        <f>1.7*0.6*0.6*2</f>
        <v>1.224</v>
      </c>
      <c r="F92" s="84"/>
      <c r="G92" s="84"/>
      <c r="H92" s="84"/>
      <c r="I92" s="84"/>
      <c r="J92" s="85"/>
    </row>
    <row r="93" spans="1:10" ht="12.75">
      <c r="A93" s="160"/>
      <c r="B93" s="161" t="s">
        <v>1314</v>
      </c>
      <c r="C93" s="161" t="s">
        <v>1315</v>
      </c>
      <c r="D93" s="162" t="s">
        <v>1006</v>
      </c>
      <c r="E93" s="163">
        <f>1.6*0.7*0.3</f>
        <v>0.33599999999999997</v>
      </c>
      <c r="F93" s="84"/>
      <c r="G93" s="84"/>
      <c r="H93" s="84"/>
      <c r="I93" s="84"/>
      <c r="J93" s="85"/>
    </row>
    <row r="94" spans="1:10" ht="12.75">
      <c r="A94" s="160"/>
      <c r="B94" s="161" t="s">
        <v>1034</v>
      </c>
      <c r="C94" s="161"/>
      <c r="D94" s="162" t="s">
        <v>1006</v>
      </c>
      <c r="E94" s="163">
        <f>SUM(E80:E93)</f>
        <v>3639.8152750000004</v>
      </c>
      <c r="F94" s="84"/>
      <c r="G94" s="84"/>
      <c r="H94" s="84"/>
      <c r="I94" s="84"/>
      <c r="J94" s="85"/>
    </row>
    <row r="95" spans="1:10" ht="12.75">
      <c r="A95" s="160"/>
      <c r="B95" s="161"/>
      <c r="C95" s="161"/>
      <c r="D95" s="162"/>
      <c r="E95" s="163"/>
      <c r="F95" s="84"/>
      <c r="G95" s="84"/>
      <c r="H95" s="84"/>
      <c r="I95" s="84"/>
      <c r="J95" s="85"/>
    </row>
    <row r="96" spans="1:10" ht="12.75">
      <c r="A96" s="160" t="s">
        <v>357</v>
      </c>
      <c r="B96" s="161" t="s">
        <v>686</v>
      </c>
      <c r="C96" s="161"/>
      <c r="D96" s="162"/>
      <c r="E96" s="163"/>
      <c r="F96" s="84"/>
      <c r="G96" s="84"/>
      <c r="H96" s="84"/>
      <c r="I96" s="84"/>
      <c r="J96" s="85"/>
    </row>
    <row r="97" spans="1:10" ht="25.5">
      <c r="A97" s="160"/>
      <c r="B97" s="161" t="s">
        <v>1316</v>
      </c>
      <c r="C97" s="161" t="s">
        <v>1317</v>
      </c>
      <c r="D97" s="162" t="s">
        <v>1006</v>
      </c>
      <c r="E97" s="163">
        <f>2.5*2.5*3.8</f>
        <v>23.75</v>
      </c>
      <c r="F97" s="84"/>
      <c r="G97" s="84"/>
      <c r="H97" s="84"/>
      <c r="I97" s="84"/>
      <c r="J97" s="85"/>
    </row>
    <row r="98" spans="1:10" ht="25.5">
      <c r="A98" s="160"/>
      <c r="B98" s="170" t="s">
        <v>1318</v>
      </c>
      <c r="C98" s="170" t="s">
        <v>1319</v>
      </c>
      <c r="D98" s="171" t="s">
        <v>1006</v>
      </c>
      <c r="E98" s="172">
        <f>2*2*4.5</f>
        <v>18</v>
      </c>
      <c r="F98" s="84"/>
      <c r="G98" s="84"/>
      <c r="H98" s="84"/>
      <c r="I98" s="84"/>
      <c r="J98" s="85"/>
    </row>
    <row r="99" spans="1:10" ht="25.5">
      <c r="A99" s="160"/>
      <c r="B99" s="170" t="s">
        <v>1320</v>
      </c>
      <c r="C99" s="170" t="s">
        <v>1321</v>
      </c>
      <c r="D99" s="171" t="s">
        <v>1006</v>
      </c>
      <c r="E99" s="172">
        <f>1.7*2*5</f>
        <v>17</v>
      </c>
      <c r="F99" s="84"/>
      <c r="G99" s="84"/>
      <c r="H99" s="84"/>
      <c r="I99" s="84"/>
      <c r="J99" s="85"/>
    </row>
    <row r="100" spans="1:10" ht="12.75">
      <c r="A100" s="160"/>
      <c r="B100" s="161" t="s">
        <v>1322</v>
      </c>
      <c r="C100" s="161" t="s">
        <v>1323</v>
      </c>
      <c r="D100" s="162" t="s">
        <v>1006</v>
      </c>
      <c r="E100" s="163">
        <f>2*2*(3.3-0.18)</f>
        <v>12.479999999999999</v>
      </c>
      <c r="F100" s="84"/>
      <c r="G100" s="84"/>
      <c r="H100" s="84"/>
      <c r="I100" s="84"/>
      <c r="J100" s="85"/>
    </row>
    <row r="101" spans="1:10" ht="12.75">
      <c r="A101" s="160"/>
      <c r="B101" s="161" t="s">
        <v>1324</v>
      </c>
      <c r="C101" s="161" t="s">
        <v>1325</v>
      </c>
      <c r="D101" s="162" t="s">
        <v>1006</v>
      </c>
      <c r="E101" s="163">
        <f>3*2*(3.4-0.18)</f>
        <v>19.32</v>
      </c>
      <c r="F101" s="84"/>
      <c r="G101" s="84"/>
      <c r="H101" s="84"/>
      <c r="I101" s="84"/>
      <c r="J101" s="85"/>
    </row>
    <row r="102" spans="1:10" ht="12.75">
      <c r="A102" s="160"/>
      <c r="B102" s="161" t="s">
        <v>1326</v>
      </c>
      <c r="C102" s="161" t="s">
        <v>1327</v>
      </c>
      <c r="D102" s="162" t="s">
        <v>1006</v>
      </c>
      <c r="E102" s="163">
        <f>3*2*(3.6-0.18)</f>
        <v>20.52</v>
      </c>
      <c r="F102" s="84"/>
      <c r="G102" s="84"/>
      <c r="H102" s="84"/>
      <c r="I102" s="84"/>
      <c r="J102" s="85"/>
    </row>
    <row r="103" spans="1:10" ht="25.5">
      <c r="A103" s="160"/>
      <c r="B103" s="170" t="s">
        <v>1328</v>
      </c>
      <c r="C103" s="170" t="s">
        <v>1329</v>
      </c>
      <c r="D103" s="171" t="s">
        <v>1006</v>
      </c>
      <c r="E103" s="172">
        <f>2*2*3.4</f>
        <v>13.6</v>
      </c>
      <c r="F103" s="84"/>
      <c r="G103" s="92"/>
      <c r="H103" s="92"/>
      <c r="I103" s="92"/>
      <c r="J103" s="93"/>
    </row>
    <row r="104" spans="1:10" ht="12.75">
      <c r="A104" s="160"/>
      <c r="B104" s="161"/>
      <c r="C104" s="161" t="s">
        <v>1142</v>
      </c>
      <c r="D104" s="162" t="s">
        <v>1006</v>
      </c>
      <c r="E104" s="163">
        <f>SUM(E97:E103)</f>
        <v>124.67</v>
      </c>
      <c r="F104" s="84"/>
      <c r="G104" s="84"/>
      <c r="H104" s="84"/>
      <c r="I104" s="84"/>
      <c r="J104" s="85"/>
    </row>
    <row r="105" spans="1:10" ht="12.75">
      <c r="A105" s="160"/>
      <c r="B105" s="161"/>
      <c r="C105" s="161"/>
      <c r="D105" s="162"/>
      <c r="E105" s="163"/>
      <c r="F105" s="84"/>
      <c r="G105" s="84"/>
      <c r="H105" s="84"/>
      <c r="I105" s="84"/>
      <c r="J105" s="85"/>
    </row>
    <row r="106" spans="1:10" ht="25.5">
      <c r="A106" s="164" t="s">
        <v>362</v>
      </c>
      <c r="B106" s="165" t="s">
        <v>1330</v>
      </c>
      <c r="C106" s="161"/>
      <c r="D106" s="162"/>
      <c r="E106" s="163"/>
      <c r="F106" s="84"/>
      <c r="G106" s="84"/>
      <c r="H106" s="84"/>
      <c r="I106" s="84"/>
      <c r="J106" s="85"/>
    </row>
    <row r="107" spans="1:10" ht="12.75">
      <c r="A107" s="160"/>
      <c r="B107" s="161" t="s">
        <v>1331</v>
      </c>
      <c r="C107" s="161"/>
      <c r="D107" s="162" t="s">
        <v>1005</v>
      </c>
      <c r="E107" s="163">
        <f>+'[1]Výkaz kubatur'!F109</f>
        <v>390.6418</v>
      </c>
      <c r="F107" s="84"/>
      <c r="G107" s="84"/>
      <c r="H107" s="84"/>
      <c r="I107" s="84"/>
      <c r="J107" s="85"/>
    </row>
    <row r="108" spans="1:10" ht="12.75">
      <c r="A108" s="160"/>
      <c r="B108" s="161"/>
      <c r="C108" s="161"/>
      <c r="D108" s="162"/>
      <c r="E108" s="163"/>
      <c r="F108" s="84"/>
      <c r="G108" s="84"/>
      <c r="H108" s="84"/>
      <c r="I108" s="84"/>
      <c r="J108" s="85"/>
    </row>
    <row r="109" spans="1:10" ht="12.75">
      <c r="A109" s="174" t="s">
        <v>363</v>
      </c>
      <c r="B109" s="175" t="s">
        <v>1332</v>
      </c>
      <c r="C109" s="161"/>
      <c r="D109" s="162"/>
      <c r="E109" s="163"/>
      <c r="F109" s="84"/>
      <c r="G109" s="84"/>
      <c r="H109" s="84"/>
      <c r="I109" s="84"/>
      <c r="J109" s="85"/>
    </row>
    <row r="110" spans="1:10" ht="12.75">
      <c r="A110" s="160"/>
      <c r="B110" s="161" t="s">
        <v>1333</v>
      </c>
      <c r="C110" s="161"/>
      <c r="D110" s="162" t="s">
        <v>1005</v>
      </c>
      <c r="E110" s="163">
        <f>+'[1]Výkaz kubatur'!G109</f>
        <v>4313.0611</v>
      </c>
      <c r="F110" s="84"/>
      <c r="G110" s="84"/>
      <c r="H110" s="84"/>
      <c r="I110" s="84"/>
      <c r="J110" s="85"/>
    </row>
    <row r="111" spans="1:10" ht="12.75">
      <c r="A111" s="160"/>
      <c r="B111" s="161"/>
      <c r="C111" s="161"/>
      <c r="D111" s="162"/>
      <c r="E111" s="163"/>
      <c r="F111" s="84"/>
      <c r="G111" s="84"/>
      <c r="H111" s="84"/>
      <c r="I111" s="84"/>
      <c r="J111" s="85"/>
    </row>
    <row r="112" spans="1:10" ht="12.75">
      <c r="A112" s="160" t="s">
        <v>366</v>
      </c>
      <c r="B112" s="161" t="s">
        <v>1334</v>
      </c>
      <c r="C112" s="161"/>
      <c r="D112" s="162"/>
      <c r="E112" s="163"/>
      <c r="F112" s="84"/>
      <c r="G112" s="84"/>
      <c r="H112" s="84"/>
      <c r="I112" s="84"/>
      <c r="J112" s="85"/>
    </row>
    <row r="113" spans="1:10" ht="25.5">
      <c r="A113" s="160"/>
      <c r="B113" s="161" t="s">
        <v>1335</v>
      </c>
      <c r="C113" s="161" t="s">
        <v>1336</v>
      </c>
      <c r="D113" s="162" t="s">
        <v>1005</v>
      </c>
      <c r="E113" s="163">
        <f>+(5+2.5)*2*(3.7-0.18)</f>
        <v>52.8</v>
      </c>
      <c r="F113" s="84"/>
      <c r="G113" s="84" t="s">
        <v>1337</v>
      </c>
      <c r="H113" s="84"/>
      <c r="I113" s="84"/>
      <c r="J113" s="85"/>
    </row>
    <row r="114" spans="1:10" ht="25.5">
      <c r="A114" s="160"/>
      <c r="B114" s="161" t="s">
        <v>1254</v>
      </c>
      <c r="C114" s="161" t="s">
        <v>1338</v>
      </c>
      <c r="D114" s="162" t="s">
        <v>1005</v>
      </c>
      <c r="E114" s="163">
        <f>+(5+2.5)*2*(4.23-0.18)</f>
        <v>60.750000000000014</v>
      </c>
      <c r="F114" s="84"/>
      <c r="G114" s="84" t="s">
        <v>1337</v>
      </c>
      <c r="H114" s="84"/>
      <c r="I114" s="84"/>
      <c r="J114" s="85"/>
    </row>
    <row r="115" spans="1:10" ht="25.5">
      <c r="A115" s="160"/>
      <c r="B115" s="161" t="s">
        <v>1339</v>
      </c>
      <c r="C115" s="161" t="s">
        <v>1340</v>
      </c>
      <c r="D115" s="162" t="s">
        <v>1005</v>
      </c>
      <c r="E115" s="163">
        <f>+(3+2)*2*3.3</f>
        <v>33</v>
      </c>
      <c r="F115" s="84"/>
      <c r="G115" s="84"/>
      <c r="H115" s="84"/>
      <c r="I115" s="84"/>
      <c r="J115" s="85"/>
    </row>
    <row r="116" spans="1:10" ht="25.5">
      <c r="A116" s="160"/>
      <c r="B116" s="161" t="s">
        <v>1341</v>
      </c>
      <c r="C116" s="161" t="s">
        <v>1342</v>
      </c>
      <c r="D116" s="162" t="s">
        <v>1005</v>
      </c>
      <c r="E116" s="163">
        <f>+(3+2)*2*3.4</f>
        <v>34</v>
      </c>
      <c r="F116" s="84"/>
      <c r="G116" s="84"/>
      <c r="H116" s="84"/>
      <c r="I116" s="84"/>
      <c r="J116" s="85"/>
    </row>
    <row r="117" spans="1:10" ht="25.5">
      <c r="A117" s="160"/>
      <c r="B117" s="161" t="s">
        <v>1343</v>
      </c>
      <c r="C117" s="161" t="s">
        <v>1344</v>
      </c>
      <c r="D117" s="162" t="s">
        <v>1005</v>
      </c>
      <c r="E117" s="163">
        <f>+(3+2)*2*3.6</f>
        <v>36</v>
      </c>
      <c r="F117" s="84"/>
      <c r="G117" s="84"/>
      <c r="H117" s="84"/>
      <c r="I117" s="84"/>
      <c r="J117" s="85"/>
    </row>
    <row r="118" spans="1:10" ht="25.5">
      <c r="A118" s="160"/>
      <c r="B118" s="170" t="s">
        <v>1345</v>
      </c>
      <c r="C118" s="170" t="s">
        <v>1346</v>
      </c>
      <c r="D118" s="171" t="s">
        <v>1005</v>
      </c>
      <c r="E118" s="172">
        <f>+(7+3.5)*2*3.5</f>
        <v>73.5</v>
      </c>
      <c r="F118" s="92"/>
      <c r="G118" s="92"/>
      <c r="H118" s="92"/>
      <c r="I118" s="92"/>
      <c r="J118" s="93"/>
    </row>
    <row r="119" spans="1:10" ht="25.5">
      <c r="A119" s="160"/>
      <c r="B119" s="161" t="s">
        <v>1316</v>
      </c>
      <c r="C119" s="161" t="s">
        <v>1347</v>
      </c>
      <c r="D119" s="162" t="s">
        <v>1005</v>
      </c>
      <c r="E119" s="163">
        <f>+(2.5+2.5)*2*(4.1-0.1)</f>
        <v>39.99999999999999</v>
      </c>
      <c r="F119" s="84"/>
      <c r="G119" s="84"/>
      <c r="H119" s="84"/>
      <c r="I119" s="84"/>
      <c r="J119" s="85"/>
    </row>
    <row r="120" spans="1:10" ht="12.75">
      <c r="A120" s="160"/>
      <c r="B120" s="161"/>
      <c r="C120" s="161" t="s">
        <v>1142</v>
      </c>
      <c r="D120" s="162" t="s">
        <v>1005</v>
      </c>
      <c r="E120" s="163">
        <f>SUM(E113:E119)</f>
        <v>330.05</v>
      </c>
      <c r="F120" s="84"/>
      <c r="G120" s="84"/>
      <c r="H120" s="84"/>
      <c r="I120" s="84"/>
      <c r="J120" s="85"/>
    </row>
    <row r="121" spans="1:10" ht="12.75">
      <c r="A121" s="160"/>
      <c r="B121" s="161"/>
      <c r="C121" s="161"/>
      <c r="D121" s="162"/>
      <c r="E121" s="163"/>
      <c r="F121" s="84"/>
      <c r="G121" s="84"/>
      <c r="H121" s="84"/>
      <c r="I121" s="84"/>
      <c r="J121" s="85"/>
    </row>
    <row r="122" spans="1:10" ht="12.75">
      <c r="A122" s="160" t="s">
        <v>370</v>
      </c>
      <c r="B122" s="161" t="s">
        <v>1348</v>
      </c>
      <c r="C122" s="161"/>
      <c r="D122" s="162"/>
      <c r="E122" s="163"/>
      <c r="F122" s="84"/>
      <c r="G122" s="84"/>
      <c r="H122" s="84"/>
      <c r="I122" s="84"/>
      <c r="J122" s="85"/>
    </row>
    <row r="123" spans="1:10" ht="25.5">
      <c r="A123" s="160"/>
      <c r="B123" s="161" t="s">
        <v>1316</v>
      </c>
      <c r="C123" s="161" t="s">
        <v>1317</v>
      </c>
      <c r="D123" s="162" t="s">
        <v>1006</v>
      </c>
      <c r="E123" s="163">
        <f>2.5*2.5*3.8</f>
        <v>23.75</v>
      </c>
      <c r="F123" s="84"/>
      <c r="G123" s="84"/>
      <c r="H123" s="84"/>
      <c r="I123" s="84"/>
      <c r="J123" s="85"/>
    </row>
    <row r="124" spans="1:10" ht="12.75">
      <c r="A124" s="160"/>
      <c r="B124" s="161" t="s">
        <v>1322</v>
      </c>
      <c r="C124" s="161" t="s">
        <v>1323</v>
      </c>
      <c r="D124" s="162" t="s">
        <v>1006</v>
      </c>
      <c r="E124" s="163">
        <f>2*2*(3.3-0.18)</f>
        <v>12.479999999999999</v>
      </c>
      <c r="F124" s="84"/>
      <c r="G124" s="84"/>
      <c r="H124" s="84"/>
      <c r="I124" s="84"/>
      <c r="J124" s="85"/>
    </row>
    <row r="125" spans="1:10" ht="12.75">
      <c r="A125" s="160"/>
      <c r="B125" s="161" t="s">
        <v>1324</v>
      </c>
      <c r="C125" s="161" t="s">
        <v>1325</v>
      </c>
      <c r="D125" s="162" t="s">
        <v>1006</v>
      </c>
      <c r="E125" s="163">
        <f>3*2*(3.4-0.18)</f>
        <v>19.32</v>
      </c>
      <c r="F125" s="84"/>
      <c r="G125" s="84"/>
      <c r="H125" s="84"/>
      <c r="I125" s="84"/>
      <c r="J125" s="85"/>
    </row>
    <row r="126" spans="1:10" ht="12.75">
      <c r="A126" s="160"/>
      <c r="B126" s="161" t="s">
        <v>1326</v>
      </c>
      <c r="C126" s="161" t="s">
        <v>1327</v>
      </c>
      <c r="D126" s="162" t="s">
        <v>1006</v>
      </c>
      <c r="E126" s="163">
        <f>3*2*(3.6-0.18)</f>
        <v>20.52</v>
      </c>
      <c r="F126" s="84"/>
      <c r="G126" s="84"/>
      <c r="H126" s="84"/>
      <c r="I126" s="84"/>
      <c r="J126" s="85"/>
    </row>
    <row r="127" spans="1:10" ht="25.5">
      <c r="A127" s="160"/>
      <c r="B127" s="170" t="s">
        <v>1328</v>
      </c>
      <c r="C127" s="170" t="s">
        <v>1349</v>
      </c>
      <c r="D127" s="171" t="s">
        <v>1006</v>
      </c>
      <c r="E127" s="172">
        <f>2*2*3.8</f>
        <v>15.2</v>
      </c>
      <c r="F127" s="84"/>
      <c r="G127" s="84"/>
      <c r="H127" s="84"/>
      <c r="I127" s="84"/>
      <c r="J127" s="85"/>
    </row>
    <row r="128" spans="1:10" ht="25.5">
      <c r="A128" s="160"/>
      <c r="B128" s="170" t="s">
        <v>1345</v>
      </c>
      <c r="C128" s="170" t="s">
        <v>1350</v>
      </c>
      <c r="D128" s="171" t="s">
        <v>1006</v>
      </c>
      <c r="E128" s="172">
        <f>+(7*3.5)*3.5</f>
        <v>85.75</v>
      </c>
      <c r="F128" s="84"/>
      <c r="G128" s="84"/>
      <c r="H128" s="84"/>
      <c r="I128" s="84"/>
      <c r="J128" s="85"/>
    </row>
    <row r="129" spans="1:10" ht="12.75">
      <c r="A129" s="160"/>
      <c r="B129" s="161"/>
      <c r="C129" s="161" t="s">
        <v>1142</v>
      </c>
      <c r="D129" s="162" t="s">
        <v>1006</v>
      </c>
      <c r="E129" s="163">
        <f>SUM(E123:E128)</f>
        <v>177.01999999999998</v>
      </c>
      <c r="F129" s="84"/>
      <c r="G129" s="84"/>
      <c r="H129" s="84"/>
      <c r="I129" s="84"/>
      <c r="J129" s="85"/>
    </row>
    <row r="130" spans="1:10" ht="12.75">
      <c r="A130" s="160"/>
      <c r="B130" s="161"/>
      <c r="C130" s="161"/>
      <c r="D130" s="162"/>
      <c r="E130" s="163"/>
      <c r="F130" s="84"/>
      <c r="G130" s="84"/>
      <c r="H130" s="84"/>
      <c r="I130" s="84"/>
      <c r="J130" s="85"/>
    </row>
    <row r="131" spans="1:10" ht="12.75">
      <c r="A131" s="160" t="s">
        <v>371</v>
      </c>
      <c r="B131" s="161" t="s">
        <v>1351</v>
      </c>
      <c r="C131" s="161"/>
      <c r="D131" s="162"/>
      <c r="E131" s="163"/>
      <c r="F131" s="84"/>
      <c r="G131" s="84"/>
      <c r="H131" s="84"/>
      <c r="I131" s="84"/>
      <c r="J131" s="85"/>
    </row>
    <row r="132" spans="1:10" ht="25.5">
      <c r="A132" s="160"/>
      <c r="B132" s="170" t="s">
        <v>1318</v>
      </c>
      <c r="C132" s="170" t="s">
        <v>1319</v>
      </c>
      <c r="D132" s="171" t="s">
        <v>1006</v>
      </c>
      <c r="E132" s="172">
        <f>2*2*4.5</f>
        <v>18</v>
      </c>
      <c r="F132" s="84"/>
      <c r="G132" s="84"/>
      <c r="H132" s="84"/>
      <c r="I132" s="84"/>
      <c r="J132" s="85"/>
    </row>
    <row r="133" spans="1:10" ht="25.5">
      <c r="A133" s="160"/>
      <c r="B133" s="170" t="s">
        <v>1320</v>
      </c>
      <c r="C133" s="170" t="s">
        <v>1321</v>
      </c>
      <c r="D133" s="171" t="s">
        <v>1006</v>
      </c>
      <c r="E133" s="172">
        <f>1.7*2*5</f>
        <v>17</v>
      </c>
      <c r="F133" s="84"/>
      <c r="G133" s="84"/>
      <c r="H133" s="84"/>
      <c r="I133" s="84"/>
      <c r="J133" s="85"/>
    </row>
    <row r="134" spans="1:10" ht="25.5">
      <c r="A134" s="160"/>
      <c r="B134" s="161" t="s">
        <v>1352</v>
      </c>
      <c r="C134" s="161" t="s">
        <v>1353</v>
      </c>
      <c r="D134" s="162" t="s">
        <v>1006</v>
      </c>
      <c r="E134" s="163">
        <f>6*3.5*(4.85-0.18)</f>
        <v>98.07</v>
      </c>
      <c r="F134" s="84"/>
      <c r="G134" s="84"/>
      <c r="H134" s="84"/>
      <c r="I134" s="84"/>
      <c r="J134" s="85"/>
    </row>
    <row r="135" spans="1:10" ht="12.75">
      <c r="A135" s="160"/>
      <c r="B135" s="161"/>
      <c r="C135" s="161" t="s">
        <v>1142</v>
      </c>
      <c r="D135" s="162" t="s">
        <v>1006</v>
      </c>
      <c r="E135" s="163">
        <f>SUM(E132:E134)</f>
        <v>133.07</v>
      </c>
      <c r="F135" s="84"/>
      <c r="G135" s="84"/>
      <c r="H135" s="84"/>
      <c r="I135" s="84"/>
      <c r="J135" s="85"/>
    </row>
    <row r="136" spans="1:10" ht="12.75">
      <c r="A136" s="160"/>
      <c r="B136" s="161"/>
      <c r="C136" s="161"/>
      <c r="D136" s="162"/>
      <c r="E136" s="163"/>
      <c r="F136" s="84"/>
      <c r="G136" s="84"/>
      <c r="H136" s="84"/>
      <c r="I136" s="84"/>
      <c r="J136" s="85"/>
    </row>
    <row r="137" spans="1:10" ht="12.75">
      <c r="A137" s="160" t="s">
        <v>367</v>
      </c>
      <c r="B137" s="161" t="s">
        <v>1354</v>
      </c>
      <c r="C137" s="161"/>
      <c r="D137" s="162"/>
      <c r="E137" s="163"/>
      <c r="F137" s="84"/>
      <c r="G137" s="84"/>
      <c r="H137" s="84"/>
      <c r="I137" s="84"/>
      <c r="J137" s="85"/>
    </row>
    <row r="138" spans="1:10" ht="25.5">
      <c r="A138" s="160"/>
      <c r="B138" s="170" t="s">
        <v>1318</v>
      </c>
      <c r="C138" s="170" t="s">
        <v>1355</v>
      </c>
      <c r="D138" s="171" t="s">
        <v>1005</v>
      </c>
      <c r="E138" s="172">
        <f>2*4*(4.6-0.1)</f>
        <v>36</v>
      </c>
      <c r="F138" s="84"/>
      <c r="G138" s="84"/>
      <c r="H138" s="84"/>
      <c r="I138" s="84"/>
      <c r="J138" s="85"/>
    </row>
    <row r="139" spans="1:10" ht="25.5">
      <c r="A139" s="160"/>
      <c r="B139" s="170" t="s">
        <v>1356</v>
      </c>
      <c r="C139" s="170" t="s">
        <v>1357</v>
      </c>
      <c r="D139" s="171" t="s">
        <v>1005</v>
      </c>
      <c r="E139" s="172">
        <f>+(1.7+2+1.7)*5+2*3.5</f>
        <v>34</v>
      </c>
      <c r="F139" s="84"/>
      <c r="G139" s="84"/>
      <c r="H139" s="84"/>
      <c r="I139" s="84"/>
      <c r="J139" s="85"/>
    </row>
    <row r="140" spans="1:10" ht="25.5">
      <c r="A140" s="160"/>
      <c r="B140" s="161" t="s">
        <v>1352</v>
      </c>
      <c r="C140" s="161" t="s">
        <v>1358</v>
      </c>
      <c r="D140" s="171" t="s">
        <v>1005</v>
      </c>
      <c r="E140" s="163">
        <f>+(6+3.5)*2*4.85</f>
        <v>92.14999999999999</v>
      </c>
      <c r="F140" s="84"/>
      <c r="G140" s="84"/>
      <c r="H140" s="84"/>
      <c r="I140" s="84"/>
      <c r="J140" s="85"/>
    </row>
    <row r="141" spans="1:10" ht="12.75">
      <c r="A141" s="160"/>
      <c r="B141" s="161"/>
      <c r="C141" s="161" t="s">
        <v>1142</v>
      </c>
      <c r="D141" s="171" t="s">
        <v>1005</v>
      </c>
      <c r="E141" s="163">
        <f>SUM(E138:E140)</f>
        <v>162.14999999999998</v>
      </c>
      <c r="F141" s="84"/>
      <c r="G141" s="84"/>
      <c r="H141" s="84"/>
      <c r="I141" s="84"/>
      <c r="J141" s="85"/>
    </row>
    <row r="142" spans="1:10" ht="12.75">
      <c r="A142" s="160"/>
      <c r="B142" s="161"/>
      <c r="C142" s="161"/>
      <c r="D142" s="162"/>
      <c r="E142" s="163"/>
      <c r="F142" s="84"/>
      <c r="G142" s="84"/>
      <c r="H142" s="84"/>
      <c r="I142" s="84"/>
      <c r="J142" s="85"/>
    </row>
    <row r="143" spans="1:10" ht="12.75">
      <c r="A143" s="164" t="s">
        <v>374</v>
      </c>
      <c r="B143" s="165" t="s">
        <v>1359</v>
      </c>
      <c r="C143" s="161"/>
      <c r="D143" s="162"/>
      <c r="E143" s="163"/>
      <c r="F143" s="84"/>
      <c r="G143" s="84"/>
      <c r="H143" s="84"/>
      <c r="I143" s="84"/>
      <c r="J143" s="85"/>
    </row>
    <row r="144" spans="1:10" ht="12.75">
      <c r="A144" s="160"/>
      <c r="B144" s="161" t="s">
        <v>1360</v>
      </c>
      <c r="C144" s="161"/>
      <c r="D144" s="162" t="s">
        <v>1006</v>
      </c>
      <c r="E144" s="163">
        <f>+'[1]Výkaz kubatur'!I109</f>
        <v>928.12414</v>
      </c>
      <c r="F144" s="84"/>
      <c r="G144" s="84"/>
      <c r="H144" s="84"/>
      <c r="I144" s="84"/>
      <c r="J144" s="85"/>
    </row>
    <row r="145" spans="1:16" ht="15">
      <c r="A145" s="160"/>
      <c r="B145" s="161" t="s">
        <v>1260</v>
      </c>
      <c r="C145" s="161"/>
      <c r="D145" s="162"/>
      <c r="E145" s="163"/>
      <c r="F145" s="84"/>
      <c r="G145" s="94" t="s">
        <v>1261</v>
      </c>
      <c r="H145" s="94" t="s">
        <v>1262</v>
      </c>
      <c r="I145" s="94" t="s">
        <v>1263</v>
      </c>
      <c r="J145" s="94" t="s">
        <v>1264</v>
      </c>
      <c r="K145" s="94" t="s">
        <v>1265</v>
      </c>
      <c r="L145" s="94" t="s">
        <v>1266</v>
      </c>
      <c r="M145" s="94" t="s">
        <v>1267</v>
      </c>
      <c r="N145" s="78" t="s">
        <v>1268</v>
      </c>
      <c r="O145" s="79" t="s">
        <v>1361</v>
      </c>
      <c r="P145" s="79" t="s">
        <v>1142</v>
      </c>
    </row>
    <row r="146" spans="1:16" ht="15">
      <c r="A146" s="160"/>
      <c r="B146" s="161" t="s">
        <v>1270</v>
      </c>
      <c r="C146" s="161" t="s">
        <v>1362</v>
      </c>
      <c r="D146" s="162" t="s">
        <v>1006</v>
      </c>
      <c r="E146" s="163">
        <f>2.5*(2.5-1.2)*P146</f>
        <v>40.2025</v>
      </c>
      <c r="F146" s="84"/>
      <c r="G146" s="80"/>
      <c r="H146" s="80">
        <f aca="true" t="shared" si="0" ref="H146:M146">+H82</f>
        <v>2.32</v>
      </c>
      <c r="I146" s="80">
        <f t="shared" si="0"/>
        <v>2.22</v>
      </c>
      <c r="J146" s="80">
        <f t="shared" si="0"/>
        <v>2.07</v>
      </c>
      <c r="K146" s="80">
        <f t="shared" si="0"/>
        <v>1.48</v>
      </c>
      <c r="L146" s="80">
        <f t="shared" si="0"/>
        <v>2.02</v>
      </c>
      <c r="M146" s="80">
        <f t="shared" si="0"/>
        <v>2.26</v>
      </c>
      <c r="N146" s="80"/>
      <c r="O146" s="81"/>
      <c r="P146" s="81">
        <f>SUM(G146:O146)</f>
        <v>12.37</v>
      </c>
    </row>
    <row r="147" spans="1:10" ht="12.75">
      <c r="A147" s="160"/>
      <c r="B147" s="161" t="s">
        <v>1306</v>
      </c>
      <c r="C147" s="161" t="s">
        <v>1363</v>
      </c>
      <c r="D147" s="162" t="s">
        <v>1006</v>
      </c>
      <c r="E147" s="176">
        <f>2.5*2.5*6*0.2</f>
        <v>7.5</v>
      </c>
      <c r="F147" s="84"/>
      <c r="G147" s="84"/>
      <c r="H147" s="84"/>
      <c r="I147" s="84"/>
      <c r="J147" s="85"/>
    </row>
    <row r="148" spans="1:10" ht="12.75">
      <c r="A148" s="160"/>
      <c r="B148" s="161"/>
      <c r="C148" s="161" t="s">
        <v>1142</v>
      </c>
      <c r="D148" s="162" t="s">
        <v>1006</v>
      </c>
      <c r="E148" s="163">
        <f>SUM(E144:E147)</f>
        <v>975.82664</v>
      </c>
      <c r="F148" s="84"/>
      <c r="G148" s="84"/>
      <c r="H148" s="84"/>
      <c r="I148" s="84"/>
      <c r="J148" s="85"/>
    </row>
    <row r="149" spans="1:10" ht="12.75">
      <c r="A149" s="160"/>
      <c r="B149" s="161" t="s">
        <v>1034</v>
      </c>
      <c r="C149" s="177" t="s">
        <v>1364</v>
      </c>
      <c r="D149" s="178" t="s">
        <v>1006</v>
      </c>
      <c r="E149" s="179">
        <f>+E148*0.5</f>
        <v>487.91332</v>
      </c>
      <c r="F149" s="84"/>
      <c r="G149" s="84"/>
      <c r="H149" s="84"/>
      <c r="I149" s="84"/>
      <c r="J149" s="85"/>
    </row>
    <row r="150" spans="1:10" ht="12.75">
      <c r="A150" s="160"/>
      <c r="B150" s="161"/>
      <c r="C150" s="161"/>
      <c r="D150" s="162"/>
      <c r="E150" s="163"/>
      <c r="F150" s="84"/>
      <c r="G150" s="84"/>
      <c r="H150" s="84"/>
      <c r="I150" s="84"/>
      <c r="J150" s="85"/>
    </row>
    <row r="151" spans="1:10" ht="25.5">
      <c r="A151" s="164" t="s">
        <v>375</v>
      </c>
      <c r="B151" s="165" t="s">
        <v>1365</v>
      </c>
      <c r="C151" s="161"/>
      <c r="D151" s="162"/>
      <c r="E151" s="163"/>
      <c r="F151" s="84"/>
      <c r="G151" s="84"/>
      <c r="H151" s="84"/>
      <c r="I151" s="84"/>
      <c r="J151" s="85"/>
    </row>
    <row r="152" spans="1:10" ht="12.75">
      <c r="A152" s="164"/>
      <c r="B152" s="180" t="s">
        <v>1366</v>
      </c>
      <c r="C152" s="161"/>
      <c r="D152" s="162"/>
      <c r="E152" s="163"/>
      <c r="F152" s="84"/>
      <c r="G152" s="84"/>
      <c r="H152" s="84"/>
      <c r="I152" s="84"/>
      <c r="J152" s="85"/>
    </row>
    <row r="153" spans="1:10" ht="12.75">
      <c r="A153" s="160"/>
      <c r="B153" s="161" t="s">
        <v>1367</v>
      </c>
      <c r="C153" s="161"/>
      <c r="D153" s="162" t="s">
        <v>1006</v>
      </c>
      <c r="E153" s="163">
        <f>+'[1]Výkaz kubatur'!J109</f>
        <v>2359.0872850000005</v>
      </c>
      <c r="F153" s="84"/>
      <c r="G153" s="84"/>
      <c r="H153" s="84"/>
      <c r="I153" s="84"/>
      <c r="J153" s="85"/>
    </row>
    <row r="154" spans="1:16" ht="15">
      <c r="A154" s="160"/>
      <c r="B154" s="161" t="s">
        <v>1260</v>
      </c>
      <c r="C154" s="161"/>
      <c r="D154" s="162"/>
      <c r="E154" s="163"/>
      <c r="F154" s="84"/>
      <c r="G154" s="94" t="s">
        <v>1261</v>
      </c>
      <c r="H154" s="94" t="s">
        <v>1262</v>
      </c>
      <c r="I154" s="94" t="s">
        <v>1263</v>
      </c>
      <c r="J154" s="94" t="s">
        <v>1264</v>
      </c>
      <c r="K154" s="94" t="s">
        <v>1265</v>
      </c>
      <c r="L154" s="94" t="s">
        <v>1266</v>
      </c>
      <c r="M154" s="94" t="s">
        <v>1267</v>
      </c>
      <c r="N154" s="78" t="s">
        <v>1268</v>
      </c>
      <c r="O154" s="79" t="s">
        <v>1361</v>
      </c>
      <c r="P154" s="79" t="s">
        <v>1142</v>
      </c>
    </row>
    <row r="155" spans="1:16" ht="15">
      <c r="A155" s="160"/>
      <c r="B155" s="161" t="s">
        <v>1270</v>
      </c>
      <c r="C155" s="161" t="s">
        <v>1368</v>
      </c>
      <c r="D155" s="162" t="s">
        <v>1006</v>
      </c>
      <c r="E155" s="163">
        <f>2.9*(2.9-1.2)*2.99+2.5*(2.5-1.2)*P155</f>
        <v>48.800700000000006</v>
      </c>
      <c r="F155" s="84"/>
      <c r="G155" s="80">
        <f>+G82</f>
        <v>2.73</v>
      </c>
      <c r="H155" s="80"/>
      <c r="I155" s="80"/>
      <c r="J155" s="80"/>
      <c r="K155" s="80"/>
      <c r="L155" s="80"/>
      <c r="M155" s="80"/>
      <c r="N155" s="80">
        <v>3.67</v>
      </c>
      <c r="O155" s="81">
        <v>4.08</v>
      </c>
      <c r="P155" s="81">
        <f>SUM(G155:O155)</f>
        <v>10.48</v>
      </c>
    </row>
    <row r="156" spans="1:17" ht="15">
      <c r="A156" s="160"/>
      <c r="B156" s="161"/>
      <c r="C156" s="161"/>
      <c r="D156" s="162"/>
      <c r="E156" s="163"/>
      <c r="F156" s="84"/>
      <c r="G156" s="94" t="s">
        <v>1273</v>
      </c>
      <c r="H156" s="94" t="s">
        <v>1274</v>
      </c>
      <c r="I156" s="94" t="s">
        <v>1275</v>
      </c>
      <c r="J156" s="94" t="s">
        <v>1276</v>
      </c>
      <c r="K156" s="94" t="s">
        <v>1277</v>
      </c>
      <c r="L156" s="94" t="s">
        <v>1278</v>
      </c>
      <c r="M156" s="94" t="s">
        <v>1279</v>
      </c>
      <c r="N156" s="78" t="s">
        <v>1280</v>
      </c>
      <c r="O156" s="79" t="s">
        <v>1281</v>
      </c>
      <c r="P156" s="79" t="s">
        <v>1369</v>
      </c>
      <c r="Q156" s="82" t="s">
        <v>1142</v>
      </c>
    </row>
    <row r="157" spans="1:17" ht="15">
      <c r="A157" s="160"/>
      <c r="B157" s="161" t="s">
        <v>1282</v>
      </c>
      <c r="C157" s="161" t="s">
        <v>1370</v>
      </c>
      <c r="D157" s="162" t="s">
        <v>1006</v>
      </c>
      <c r="E157" s="163">
        <f>2.5*(2.5-1.1)*Q157</f>
        <v>115.91999999999999</v>
      </c>
      <c r="F157" s="84"/>
      <c r="G157" s="80">
        <v>3.15</v>
      </c>
      <c r="H157" s="80">
        <v>3.22</v>
      </c>
      <c r="I157" s="80">
        <v>3.33</v>
      </c>
      <c r="J157" s="80">
        <v>3.44</v>
      </c>
      <c r="K157" s="80">
        <v>3.69</v>
      </c>
      <c r="L157" s="80">
        <v>3.56</v>
      </c>
      <c r="M157" s="80">
        <v>3.08</v>
      </c>
      <c r="N157" s="80">
        <v>3.05</v>
      </c>
      <c r="O157" s="81">
        <v>3.63</v>
      </c>
      <c r="P157" s="81">
        <v>2.97</v>
      </c>
      <c r="Q157" s="81">
        <f>SUM(G157:P157)</f>
        <v>33.12</v>
      </c>
    </row>
    <row r="158" spans="1:17" ht="15">
      <c r="A158" s="160"/>
      <c r="B158" s="161"/>
      <c r="C158" s="161"/>
      <c r="D158" s="162"/>
      <c r="E158" s="163"/>
      <c r="F158" s="84"/>
      <c r="G158" s="94" t="s">
        <v>1285</v>
      </c>
      <c r="H158" s="94" t="s">
        <v>1286</v>
      </c>
      <c r="I158" s="94" t="s">
        <v>1287</v>
      </c>
      <c r="J158" s="94" t="s">
        <v>1288</v>
      </c>
      <c r="K158" s="94" t="s">
        <v>1289</v>
      </c>
      <c r="L158" s="94" t="s">
        <v>1290</v>
      </c>
      <c r="M158" s="94" t="s">
        <v>1291</v>
      </c>
      <c r="N158" s="78" t="s">
        <v>1292</v>
      </c>
      <c r="O158" s="79" t="s">
        <v>1371</v>
      </c>
      <c r="P158" s="79" t="s">
        <v>1142</v>
      </c>
      <c r="Q158" s="81"/>
    </row>
    <row r="159" spans="1:16" ht="15">
      <c r="A159" s="160"/>
      <c r="B159" s="161" t="s">
        <v>1293</v>
      </c>
      <c r="C159" s="161" t="s">
        <v>1372</v>
      </c>
      <c r="D159" s="162" t="s">
        <v>1006</v>
      </c>
      <c r="E159" s="163">
        <f>2.7*(2.7-1.3)*2.9+2.5*(2.5-1.3)*P159</f>
        <v>70.512</v>
      </c>
      <c r="F159" s="84"/>
      <c r="G159" s="80">
        <v>3.11</v>
      </c>
      <c r="H159" s="80"/>
      <c r="I159" s="80">
        <v>3.19</v>
      </c>
      <c r="J159" s="80">
        <v>2.76</v>
      </c>
      <c r="K159" s="80">
        <v>3.11</v>
      </c>
      <c r="L159" s="80">
        <v>3.72</v>
      </c>
      <c r="M159" s="80"/>
      <c r="N159" s="80"/>
      <c r="O159" s="81">
        <v>3.96</v>
      </c>
      <c r="P159" s="81">
        <f>SUM(G159:O159)</f>
        <v>19.849999999999998</v>
      </c>
    </row>
    <row r="160" spans="1:16" ht="15">
      <c r="A160" s="160"/>
      <c r="B160" s="161"/>
      <c r="C160" s="161"/>
      <c r="D160" s="162"/>
      <c r="E160" s="163"/>
      <c r="F160" s="84"/>
      <c r="G160" s="94" t="s">
        <v>1298</v>
      </c>
      <c r="H160" s="94" t="s">
        <v>1299</v>
      </c>
      <c r="I160" s="94" t="s">
        <v>1300</v>
      </c>
      <c r="J160" s="94" t="s">
        <v>1301</v>
      </c>
      <c r="K160" s="94" t="s">
        <v>1302</v>
      </c>
      <c r="L160" s="94" t="s">
        <v>1303</v>
      </c>
      <c r="M160" s="94" t="s">
        <v>1142</v>
      </c>
      <c r="N160" s="78"/>
      <c r="O160" s="79"/>
      <c r="P160" s="79"/>
    </row>
    <row r="161" spans="1:16" ht="15">
      <c r="A161" s="160"/>
      <c r="B161" s="161" t="s">
        <v>1304</v>
      </c>
      <c r="C161" s="161" t="s">
        <v>1373</v>
      </c>
      <c r="D161" s="162" t="s">
        <v>1006</v>
      </c>
      <c r="E161" s="163">
        <f>2.5*(2.5-1)*M161</f>
        <v>47.287499999999994</v>
      </c>
      <c r="F161" s="84"/>
      <c r="G161" s="80">
        <v>2.68</v>
      </c>
      <c r="H161" s="80">
        <v>2.82</v>
      </c>
      <c r="I161" s="80">
        <v>3.53</v>
      </c>
      <c r="J161" s="80"/>
      <c r="K161" s="80"/>
      <c r="L161" s="80">
        <v>3.58</v>
      </c>
      <c r="M161" s="80">
        <f>SUM(G161:L161)</f>
        <v>12.61</v>
      </c>
      <c r="N161" s="80"/>
      <c r="O161" s="81"/>
      <c r="P161" s="81"/>
    </row>
    <row r="162" spans="1:10" ht="12.75">
      <c r="A162" s="160"/>
      <c r="B162" s="161" t="s">
        <v>1306</v>
      </c>
      <c r="C162" s="161" t="s">
        <v>1374</v>
      </c>
      <c r="D162" s="162" t="s">
        <v>1006</v>
      </c>
      <c r="E162" s="163">
        <f>+(2.7*2.7*0.4)+(2.5*2.5*(3+10+6+4))*0.2</f>
        <v>31.666</v>
      </c>
      <c r="F162" s="84"/>
      <c r="G162" s="84"/>
      <c r="H162" s="84"/>
      <c r="I162" s="84"/>
      <c r="J162" s="85"/>
    </row>
    <row r="163" spans="1:10" ht="12.75">
      <c r="A163" s="160"/>
      <c r="B163" s="161"/>
      <c r="C163" s="161" t="s">
        <v>1142</v>
      </c>
      <c r="D163" s="162" t="s">
        <v>1006</v>
      </c>
      <c r="E163" s="163">
        <f>SUM(E153:E162)</f>
        <v>2673.2734850000006</v>
      </c>
      <c r="F163" s="84"/>
      <c r="G163" s="84"/>
      <c r="H163" s="84"/>
      <c r="I163" s="84"/>
      <c r="J163" s="85"/>
    </row>
    <row r="164" spans="1:10" ht="12.75">
      <c r="A164" s="160"/>
      <c r="B164" s="161"/>
      <c r="C164" s="177" t="s">
        <v>1375</v>
      </c>
      <c r="D164" s="178" t="s">
        <v>1006</v>
      </c>
      <c r="E164" s="179">
        <f>+E163*55/100</f>
        <v>1470.3004167500005</v>
      </c>
      <c r="F164" s="84"/>
      <c r="G164" s="84"/>
      <c r="H164" s="84"/>
      <c r="I164" s="84"/>
      <c r="J164" s="85"/>
    </row>
    <row r="165" spans="1:10" ht="12.75">
      <c r="A165" s="160"/>
      <c r="B165" s="181" t="s">
        <v>1376</v>
      </c>
      <c r="C165" s="161"/>
      <c r="D165" s="162"/>
      <c r="E165" s="163"/>
      <c r="F165" s="84"/>
      <c r="G165" s="84"/>
      <c r="H165" s="84"/>
      <c r="I165" s="84"/>
      <c r="J165" s="85"/>
    </row>
    <row r="166" spans="1:10" ht="12.75">
      <c r="A166" s="160"/>
      <c r="B166" s="161" t="s">
        <v>1377</v>
      </c>
      <c r="C166" s="161" t="s">
        <v>1378</v>
      </c>
      <c r="D166" s="162" t="s">
        <v>1006</v>
      </c>
      <c r="E166" s="163">
        <f>+E70</f>
        <v>1129.94554</v>
      </c>
      <c r="F166" s="84"/>
      <c r="G166" s="84"/>
      <c r="H166" s="84"/>
      <c r="I166" s="84"/>
      <c r="J166" s="85"/>
    </row>
    <row r="167" spans="1:10" ht="12.75">
      <c r="A167" s="160"/>
      <c r="B167" s="161"/>
      <c r="C167" s="177" t="s">
        <v>1379</v>
      </c>
      <c r="D167" s="178" t="s">
        <v>1006</v>
      </c>
      <c r="E167" s="179">
        <f>+E166*0.07</f>
        <v>79.09618780000001</v>
      </c>
      <c r="F167" s="84"/>
      <c r="G167" s="84"/>
      <c r="H167" s="84"/>
      <c r="I167" s="84"/>
      <c r="J167" s="85"/>
    </row>
    <row r="168" spans="1:10" ht="25.5">
      <c r="A168" s="160"/>
      <c r="B168" s="161" t="s">
        <v>1335</v>
      </c>
      <c r="C168" s="161"/>
      <c r="D168" s="162" t="s">
        <v>1006</v>
      </c>
      <c r="E168" s="163">
        <f>+E74</f>
        <v>44.2</v>
      </c>
      <c r="F168" s="84"/>
      <c r="G168" s="84"/>
      <c r="H168" s="84"/>
      <c r="I168" s="84"/>
      <c r="J168" s="85"/>
    </row>
    <row r="169" spans="1:10" ht="25.5">
      <c r="A169" s="160"/>
      <c r="B169" s="170" t="s">
        <v>1345</v>
      </c>
      <c r="C169" s="161"/>
      <c r="D169" s="162" t="s">
        <v>1006</v>
      </c>
      <c r="E169" s="163">
        <f>+E76</f>
        <v>85.95</v>
      </c>
      <c r="F169" s="84"/>
      <c r="G169" s="84"/>
      <c r="H169" s="84"/>
      <c r="I169" s="84"/>
      <c r="J169" s="85"/>
    </row>
    <row r="170" spans="1:10" ht="25.5">
      <c r="A170" s="160"/>
      <c r="B170" s="161" t="s">
        <v>1316</v>
      </c>
      <c r="C170" s="161"/>
      <c r="D170" s="162" t="s">
        <v>1006</v>
      </c>
      <c r="E170" s="163">
        <f>+E97</f>
        <v>23.75</v>
      </c>
      <c r="F170" s="84"/>
      <c r="G170" s="84"/>
      <c r="H170" s="84"/>
      <c r="I170" s="84"/>
      <c r="J170" s="85"/>
    </row>
    <row r="171" spans="1:10" ht="12.75">
      <c r="A171" s="160"/>
      <c r="B171" s="161" t="s">
        <v>1322</v>
      </c>
      <c r="C171" s="161"/>
      <c r="D171" s="162" t="s">
        <v>1006</v>
      </c>
      <c r="E171" s="163">
        <f>+E100</f>
        <v>12.479999999999999</v>
      </c>
      <c r="F171" s="84"/>
      <c r="G171" s="84"/>
      <c r="H171" s="84"/>
      <c r="I171" s="84"/>
      <c r="J171" s="85"/>
    </row>
    <row r="172" spans="1:10" ht="12.75">
      <c r="A172" s="160"/>
      <c r="B172" s="161" t="s">
        <v>1324</v>
      </c>
      <c r="C172" s="161"/>
      <c r="D172" s="162" t="s">
        <v>1006</v>
      </c>
      <c r="E172" s="163">
        <f>+E101</f>
        <v>19.32</v>
      </c>
      <c r="F172" s="84"/>
      <c r="G172" s="84"/>
      <c r="H172" s="84"/>
      <c r="I172" s="84"/>
      <c r="J172" s="85"/>
    </row>
    <row r="173" spans="1:10" ht="12.75">
      <c r="A173" s="160"/>
      <c r="B173" s="161" t="s">
        <v>1326</v>
      </c>
      <c r="C173" s="161"/>
      <c r="D173" s="162" t="s">
        <v>1006</v>
      </c>
      <c r="E173" s="163">
        <f>+E102</f>
        <v>20.52</v>
      </c>
      <c r="F173" s="84"/>
      <c r="G173" s="84"/>
      <c r="H173" s="84"/>
      <c r="I173" s="84"/>
      <c r="J173" s="85"/>
    </row>
    <row r="174" spans="1:10" ht="25.5">
      <c r="A174" s="160"/>
      <c r="B174" s="170" t="s">
        <v>1328</v>
      </c>
      <c r="C174" s="161" t="s">
        <v>1380</v>
      </c>
      <c r="D174" s="162" t="s">
        <v>1006</v>
      </c>
      <c r="E174" s="163">
        <f>+E103</f>
        <v>13.6</v>
      </c>
      <c r="F174" s="84"/>
      <c r="G174" s="84"/>
      <c r="H174" s="84"/>
      <c r="I174" s="84"/>
      <c r="J174" s="85"/>
    </row>
    <row r="175" spans="1:10" ht="12.75">
      <c r="A175" s="160"/>
      <c r="B175" s="161"/>
      <c r="C175" s="161" t="s">
        <v>1142</v>
      </c>
      <c r="D175" s="162" t="s">
        <v>1006</v>
      </c>
      <c r="E175" s="163">
        <f>SUM(E168:E174)</f>
        <v>219.82</v>
      </c>
      <c r="F175" s="84"/>
      <c r="G175" s="84"/>
      <c r="H175" s="84"/>
      <c r="I175" s="84"/>
      <c r="J175" s="85"/>
    </row>
    <row r="176" spans="1:10" ht="12.75">
      <c r="A176" s="160"/>
      <c r="B176" s="161"/>
      <c r="C176" s="177" t="s">
        <v>1381</v>
      </c>
      <c r="D176" s="178" t="s">
        <v>1006</v>
      </c>
      <c r="E176" s="179">
        <f>+E175*1</f>
        <v>219.82</v>
      </c>
      <c r="F176" s="84"/>
      <c r="G176" s="84"/>
      <c r="H176" s="84"/>
      <c r="I176" s="84"/>
      <c r="J176" s="85"/>
    </row>
    <row r="177" spans="1:10" ht="12.75">
      <c r="A177" s="160"/>
      <c r="B177" s="161" t="s">
        <v>1034</v>
      </c>
      <c r="C177" s="161"/>
      <c r="D177" s="162" t="s">
        <v>1006</v>
      </c>
      <c r="E177" s="163">
        <f>+E164+E167+E176</f>
        <v>1769.2166045500005</v>
      </c>
      <c r="F177" s="84"/>
      <c r="G177" s="84"/>
      <c r="H177" s="84"/>
      <c r="I177" s="84"/>
      <c r="J177" s="85"/>
    </row>
    <row r="178" spans="1:10" ht="12.75">
      <c r="A178" s="160"/>
      <c r="B178" s="161"/>
      <c r="C178" s="161"/>
      <c r="D178" s="162"/>
      <c r="E178" s="163"/>
      <c r="F178" s="84"/>
      <c r="G178" s="84"/>
      <c r="H178" s="84"/>
      <c r="I178" s="84"/>
      <c r="J178" s="85"/>
    </row>
    <row r="179" spans="1:10" ht="25.5">
      <c r="A179" s="164" t="s">
        <v>376</v>
      </c>
      <c r="B179" s="165" t="s">
        <v>1382</v>
      </c>
      <c r="C179" s="161"/>
      <c r="D179" s="162"/>
      <c r="E179" s="163"/>
      <c r="F179" s="84"/>
      <c r="G179" s="84"/>
      <c r="H179" s="84"/>
      <c r="I179" s="84"/>
      <c r="J179" s="85"/>
    </row>
    <row r="180" spans="1:10" ht="12.75">
      <c r="A180" s="160"/>
      <c r="B180" s="161" t="s">
        <v>1383</v>
      </c>
      <c r="C180" s="161"/>
      <c r="D180" s="162" t="s">
        <v>1006</v>
      </c>
      <c r="E180" s="163">
        <f>+'[1]Výkaz kubatur'!K109</f>
        <v>65.8177</v>
      </c>
      <c r="F180" s="84"/>
      <c r="G180" s="84"/>
      <c r="H180" s="84"/>
      <c r="I180" s="84"/>
      <c r="J180" s="85"/>
    </row>
    <row r="181" spans="1:16" ht="15">
      <c r="A181" s="160"/>
      <c r="B181" s="161" t="s">
        <v>1260</v>
      </c>
      <c r="C181" s="161"/>
      <c r="D181" s="162"/>
      <c r="E181" s="163"/>
      <c r="F181" s="84"/>
      <c r="G181" s="94" t="s">
        <v>1261</v>
      </c>
      <c r="H181" s="94" t="s">
        <v>1262</v>
      </c>
      <c r="I181" s="94" t="s">
        <v>1263</v>
      </c>
      <c r="J181" s="94" t="s">
        <v>1264</v>
      </c>
      <c r="K181" s="94" t="s">
        <v>1265</v>
      </c>
      <c r="L181" s="94" t="s">
        <v>1266</v>
      </c>
      <c r="M181" s="94" t="s">
        <v>1267</v>
      </c>
      <c r="N181" s="78" t="s">
        <v>1268</v>
      </c>
      <c r="O181" s="79" t="s">
        <v>1361</v>
      </c>
      <c r="P181" s="79" t="s">
        <v>1142</v>
      </c>
    </row>
    <row r="182" spans="1:16" ht="15">
      <c r="A182" s="160"/>
      <c r="B182" s="161" t="s">
        <v>1270</v>
      </c>
      <c r="C182" s="161" t="s">
        <v>1384</v>
      </c>
      <c r="D182" s="162" t="s">
        <v>1006</v>
      </c>
      <c r="E182" s="163">
        <f>2.5*(2.5-1.2)*P182</f>
        <v>13.26</v>
      </c>
      <c r="F182" s="84"/>
      <c r="G182" s="80"/>
      <c r="H182" s="80"/>
      <c r="I182" s="80"/>
      <c r="J182" s="80"/>
      <c r="K182" s="80"/>
      <c r="L182" s="80"/>
      <c r="M182" s="80"/>
      <c r="N182" s="80"/>
      <c r="O182" s="81">
        <v>4.08</v>
      </c>
      <c r="P182" s="81">
        <f>SUM(G182:O182)</f>
        <v>4.08</v>
      </c>
    </row>
    <row r="183" spans="1:17" ht="15">
      <c r="A183" s="160"/>
      <c r="B183" s="161"/>
      <c r="C183" s="161"/>
      <c r="D183" s="162"/>
      <c r="E183" s="163"/>
      <c r="F183" s="84"/>
      <c r="G183" s="94" t="s">
        <v>1273</v>
      </c>
      <c r="H183" s="94" t="s">
        <v>1274</v>
      </c>
      <c r="I183" s="94" t="s">
        <v>1275</v>
      </c>
      <c r="J183" s="94" t="s">
        <v>1276</v>
      </c>
      <c r="K183" s="94" t="s">
        <v>1277</v>
      </c>
      <c r="L183" s="94" t="s">
        <v>1278</v>
      </c>
      <c r="M183" s="94" t="s">
        <v>1279</v>
      </c>
      <c r="N183" s="78" t="s">
        <v>1280</v>
      </c>
      <c r="O183" s="79" t="s">
        <v>1281</v>
      </c>
      <c r="P183" s="79" t="s">
        <v>1369</v>
      </c>
      <c r="Q183" s="82" t="s">
        <v>1142</v>
      </c>
    </row>
    <row r="184" spans="1:17" ht="15">
      <c r="A184" s="160"/>
      <c r="B184" s="161" t="s">
        <v>1282</v>
      </c>
      <c r="C184" s="161"/>
      <c r="D184" s="162" t="s">
        <v>1006</v>
      </c>
      <c r="E184" s="163">
        <f>2.3*(2.3-1.1)*Q184</f>
        <v>0</v>
      </c>
      <c r="F184" s="84"/>
      <c r="G184" s="80"/>
      <c r="H184" s="80"/>
      <c r="I184" s="80"/>
      <c r="J184" s="80"/>
      <c r="K184" s="80"/>
      <c r="L184" s="80"/>
      <c r="M184" s="80"/>
      <c r="N184" s="80"/>
      <c r="O184" s="81"/>
      <c r="P184" s="81"/>
      <c r="Q184" s="81">
        <f>SUM(G184:P184)</f>
        <v>0</v>
      </c>
    </row>
    <row r="185" spans="1:17" ht="15">
      <c r="A185" s="160"/>
      <c r="B185" s="161"/>
      <c r="C185" s="161"/>
      <c r="D185" s="162"/>
      <c r="E185" s="163"/>
      <c r="F185" s="84"/>
      <c r="G185" s="94" t="s">
        <v>1285</v>
      </c>
      <c r="H185" s="94" t="s">
        <v>1286</v>
      </c>
      <c r="I185" s="94" t="s">
        <v>1287</v>
      </c>
      <c r="J185" s="94" t="s">
        <v>1288</v>
      </c>
      <c r="K185" s="94" t="s">
        <v>1289</v>
      </c>
      <c r="L185" s="94" t="s">
        <v>1290</v>
      </c>
      <c r="M185" s="94" t="s">
        <v>1291</v>
      </c>
      <c r="N185" s="78" t="s">
        <v>1292</v>
      </c>
      <c r="O185" s="79" t="s">
        <v>1371</v>
      </c>
      <c r="P185" s="79" t="s">
        <v>1142</v>
      </c>
      <c r="Q185" s="81"/>
    </row>
    <row r="186" spans="1:16" ht="15">
      <c r="A186" s="160"/>
      <c r="B186" s="161" t="s">
        <v>1293</v>
      </c>
      <c r="C186" s="161" t="s">
        <v>1385</v>
      </c>
      <c r="D186" s="162" t="s">
        <v>1006</v>
      </c>
      <c r="E186" s="163">
        <f>2.5*(2.5-1.3)*P186</f>
        <v>26.639999999999997</v>
      </c>
      <c r="F186" s="84"/>
      <c r="G186" s="80"/>
      <c r="H186" s="80"/>
      <c r="I186" s="80"/>
      <c r="J186" s="80"/>
      <c r="K186" s="80"/>
      <c r="L186" s="80"/>
      <c r="M186" s="80">
        <v>4.32</v>
      </c>
      <c r="N186" s="80">
        <v>4.56</v>
      </c>
      <c r="O186" s="81"/>
      <c r="P186" s="81">
        <f>SUM(G186:O186)</f>
        <v>8.879999999999999</v>
      </c>
    </row>
    <row r="187" spans="1:16" ht="15">
      <c r="A187" s="160"/>
      <c r="B187" s="161"/>
      <c r="C187" s="161"/>
      <c r="D187" s="162"/>
      <c r="E187" s="163"/>
      <c r="F187" s="84"/>
      <c r="G187" s="94" t="s">
        <v>1298</v>
      </c>
      <c r="H187" s="94" t="s">
        <v>1299</v>
      </c>
      <c r="I187" s="94" t="s">
        <v>1300</v>
      </c>
      <c r="J187" s="94" t="s">
        <v>1301</v>
      </c>
      <c r="K187" s="94" t="s">
        <v>1302</v>
      </c>
      <c r="L187" s="94" t="s">
        <v>1303</v>
      </c>
      <c r="M187" s="94" t="s">
        <v>1142</v>
      </c>
      <c r="N187" s="78"/>
      <c r="O187" s="79"/>
      <c r="P187" s="79"/>
    </row>
    <row r="188" spans="1:16" ht="15">
      <c r="A188" s="160"/>
      <c r="B188" s="161" t="s">
        <v>1304</v>
      </c>
      <c r="C188" s="161" t="s">
        <v>1386</v>
      </c>
      <c r="D188" s="162" t="s">
        <v>1006</v>
      </c>
      <c r="E188" s="163">
        <f>2.5*(2.5-1)*M188</f>
        <v>31.725</v>
      </c>
      <c r="F188" s="84"/>
      <c r="G188" s="80"/>
      <c r="H188" s="80"/>
      <c r="I188" s="80"/>
      <c r="J188" s="80">
        <v>4.04</v>
      </c>
      <c r="K188" s="80">
        <v>4.42</v>
      </c>
      <c r="L188" s="80"/>
      <c r="M188" s="80">
        <f>SUM(G188:L188)</f>
        <v>8.46</v>
      </c>
      <c r="N188" s="80"/>
      <c r="O188" s="81"/>
      <c r="P188" s="81"/>
    </row>
    <row r="189" spans="1:10" ht="12.75">
      <c r="A189" s="160"/>
      <c r="B189" s="161" t="s">
        <v>1306</v>
      </c>
      <c r="C189" s="161" t="s">
        <v>1387</v>
      </c>
      <c r="D189" s="162" t="s">
        <v>1006</v>
      </c>
      <c r="E189" s="163">
        <f>+(2.5*2.5*(1+2+2))*0.2</f>
        <v>6.25</v>
      </c>
      <c r="F189" s="84"/>
      <c r="G189" s="84"/>
      <c r="H189" s="84"/>
      <c r="I189" s="84"/>
      <c r="J189" s="85"/>
    </row>
    <row r="190" spans="1:10" ht="12.75">
      <c r="A190" s="160"/>
      <c r="B190" s="161"/>
      <c r="C190" s="161" t="s">
        <v>1142</v>
      </c>
      <c r="D190" s="162" t="s">
        <v>1006</v>
      </c>
      <c r="E190" s="163">
        <f>SUM(E180:E189)</f>
        <v>143.6927</v>
      </c>
      <c r="F190" s="84"/>
      <c r="G190" s="84"/>
      <c r="H190" s="84"/>
      <c r="I190" s="84"/>
      <c r="J190" s="85"/>
    </row>
    <row r="191" spans="1:10" ht="12.75">
      <c r="A191" s="160"/>
      <c r="B191" s="161"/>
      <c r="C191" s="177" t="s">
        <v>1388</v>
      </c>
      <c r="D191" s="178" t="s">
        <v>1006</v>
      </c>
      <c r="E191" s="179">
        <f>+E190*0.6</f>
        <v>86.21562</v>
      </c>
      <c r="F191" s="84"/>
      <c r="G191" s="84"/>
      <c r="H191" s="84"/>
      <c r="I191" s="84"/>
      <c r="J191" s="85"/>
    </row>
    <row r="192" spans="1:10" ht="25.5">
      <c r="A192" s="160"/>
      <c r="B192" s="161" t="s">
        <v>1254</v>
      </c>
      <c r="C192" s="161"/>
      <c r="D192" s="162" t="s">
        <v>1006</v>
      </c>
      <c r="E192" s="163">
        <f>+E75</f>
        <v>50.875</v>
      </c>
      <c r="F192" s="84"/>
      <c r="G192" s="84"/>
      <c r="H192" s="84"/>
      <c r="I192" s="84"/>
      <c r="J192" s="85"/>
    </row>
    <row r="193" spans="1:10" ht="25.5">
      <c r="A193" s="160"/>
      <c r="B193" s="170" t="s">
        <v>1318</v>
      </c>
      <c r="C193" s="161"/>
      <c r="D193" s="162" t="s">
        <v>1006</v>
      </c>
      <c r="E193" s="163">
        <f>+E98</f>
        <v>18</v>
      </c>
      <c r="F193" s="84"/>
      <c r="G193" s="84"/>
      <c r="H193" s="84"/>
      <c r="I193" s="84"/>
      <c r="J193" s="85"/>
    </row>
    <row r="194" spans="1:10" ht="25.5">
      <c r="A194" s="160"/>
      <c r="B194" s="170" t="s">
        <v>1320</v>
      </c>
      <c r="C194" s="161"/>
      <c r="D194" s="162" t="s">
        <v>1006</v>
      </c>
      <c r="E194" s="163">
        <f>+E99</f>
        <v>17</v>
      </c>
      <c r="F194" s="84"/>
      <c r="G194" s="84"/>
      <c r="H194" s="84"/>
      <c r="I194" s="84"/>
      <c r="J194" s="85"/>
    </row>
    <row r="195" spans="1:10" ht="25.5">
      <c r="A195" s="160"/>
      <c r="B195" s="161" t="s">
        <v>1352</v>
      </c>
      <c r="C195" s="161"/>
      <c r="D195" s="162" t="s">
        <v>1006</v>
      </c>
      <c r="E195" s="163">
        <f>+E73</f>
        <v>98.27</v>
      </c>
      <c r="F195" s="84"/>
      <c r="G195" s="84"/>
      <c r="H195" s="84"/>
      <c r="I195" s="84"/>
      <c r="J195" s="85"/>
    </row>
    <row r="196" spans="1:10" ht="12.75">
      <c r="A196" s="160"/>
      <c r="B196" s="161"/>
      <c r="C196" s="161" t="s">
        <v>1142</v>
      </c>
      <c r="D196" s="162" t="s">
        <v>1006</v>
      </c>
      <c r="E196" s="163">
        <f>SUM(E192:E195)</f>
        <v>184.14499999999998</v>
      </c>
      <c r="F196" s="84"/>
      <c r="G196" s="84"/>
      <c r="H196" s="84"/>
      <c r="I196" s="84"/>
      <c r="J196" s="85"/>
    </row>
    <row r="197" spans="1:10" ht="12.75">
      <c r="A197" s="160"/>
      <c r="B197" s="161"/>
      <c r="C197" s="177" t="s">
        <v>1381</v>
      </c>
      <c r="D197" s="178" t="s">
        <v>1006</v>
      </c>
      <c r="E197" s="179">
        <f>+E196*1</f>
        <v>184.14499999999998</v>
      </c>
      <c r="F197" s="84"/>
      <c r="G197" s="84"/>
      <c r="H197" s="84"/>
      <c r="I197" s="84"/>
      <c r="J197" s="85"/>
    </row>
    <row r="198" spans="1:10" ht="12.75">
      <c r="A198" s="160"/>
      <c r="B198" s="161" t="s">
        <v>1034</v>
      </c>
      <c r="C198" s="177"/>
      <c r="D198" s="162" t="s">
        <v>1006</v>
      </c>
      <c r="E198" s="163">
        <f>+E191+E197</f>
        <v>270.36062</v>
      </c>
      <c r="F198" s="84"/>
      <c r="G198" s="84"/>
      <c r="H198" s="84"/>
      <c r="I198" s="84"/>
      <c r="J198" s="85"/>
    </row>
    <row r="199" spans="1:10" ht="12.75">
      <c r="A199" s="160"/>
      <c r="B199" s="161"/>
      <c r="C199" s="161"/>
      <c r="D199" s="162"/>
      <c r="E199" s="163"/>
      <c r="F199" s="84"/>
      <c r="G199" s="84"/>
      <c r="H199" s="84"/>
      <c r="I199" s="84"/>
      <c r="J199" s="85"/>
    </row>
    <row r="200" spans="1:10" ht="12.75">
      <c r="A200" s="160" t="s">
        <v>388</v>
      </c>
      <c r="B200" s="161" t="s">
        <v>1389</v>
      </c>
      <c r="C200" s="161"/>
      <c r="D200" s="162"/>
      <c r="E200" s="163"/>
      <c r="F200" s="84"/>
      <c r="G200" s="84"/>
      <c r="H200" s="84"/>
      <c r="I200" s="84"/>
      <c r="J200" s="85"/>
    </row>
    <row r="201" spans="1:10" ht="12.75">
      <c r="A201" s="160"/>
      <c r="B201" s="161" t="s">
        <v>1390</v>
      </c>
      <c r="C201" s="161" t="s">
        <v>1391</v>
      </c>
      <c r="D201" s="162" t="s">
        <v>1006</v>
      </c>
      <c r="E201" s="163">
        <f>+E50</f>
        <v>890</v>
      </c>
      <c r="F201" s="84"/>
      <c r="G201" s="84"/>
      <c r="H201" s="84"/>
      <c r="I201" s="84"/>
      <c r="J201" s="85"/>
    </row>
    <row r="202" spans="1:10" ht="25.5">
      <c r="A202" s="160"/>
      <c r="B202" s="161" t="s">
        <v>1696</v>
      </c>
      <c r="C202" s="161" t="s">
        <v>1695</v>
      </c>
      <c r="D202" s="162" t="s">
        <v>1006</v>
      </c>
      <c r="E202" s="163">
        <f>1240*0.3+204.37*0.1</f>
        <v>392.437</v>
      </c>
      <c r="F202" s="84"/>
      <c r="G202" s="84"/>
      <c r="H202" s="84"/>
      <c r="I202" s="84"/>
      <c r="J202" s="85"/>
    </row>
    <row r="203" spans="1:10" ht="12.75">
      <c r="A203" s="160"/>
      <c r="B203" s="161"/>
      <c r="C203" s="161" t="s">
        <v>1142</v>
      </c>
      <c r="D203" s="162" t="s">
        <v>1006</v>
      </c>
      <c r="E203" s="163">
        <f>SUM(E201:E202)</f>
        <v>1282.437</v>
      </c>
      <c r="F203" s="84"/>
      <c r="G203" s="84"/>
      <c r="H203" s="84"/>
      <c r="I203" s="84"/>
      <c r="J203" s="85"/>
    </row>
    <row r="204" spans="1:10" ht="12.75">
      <c r="A204" s="160"/>
      <c r="B204" s="161"/>
      <c r="C204" s="161"/>
      <c r="D204" s="162"/>
      <c r="E204" s="163"/>
      <c r="F204" s="84"/>
      <c r="G204" s="84"/>
      <c r="H204" s="84"/>
      <c r="I204" s="84"/>
      <c r="J204" s="85"/>
    </row>
    <row r="205" spans="1:10" ht="12.75">
      <c r="A205" s="160" t="s">
        <v>391</v>
      </c>
      <c r="B205" s="161" t="s">
        <v>723</v>
      </c>
      <c r="C205" s="161"/>
      <c r="D205" s="162"/>
      <c r="E205" s="163"/>
      <c r="F205" s="84"/>
      <c r="G205" s="84"/>
      <c r="H205" s="84"/>
      <c r="I205" s="84"/>
      <c r="J205" s="85"/>
    </row>
    <row r="206" spans="1:10" ht="12.75">
      <c r="A206" s="160"/>
      <c r="B206" s="161" t="s">
        <v>1392</v>
      </c>
      <c r="C206" s="161" t="s">
        <v>1393</v>
      </c>
      <c r="D206" s="162" t="s">
        <v>1006</v>
      </c>
      <c r="E206" s="163">
        <f>+E7*0.1</f>
        <v>163.3</v>
      </c>
      <c r="F206" s="155"/>
      <c r="G206" s="84"/>
      <c r="H206" s="84"/>
      <c r="I206" s="84"/>
      <c r="J206" s="85"/>
    </row>
    <row r="207" spans="1:10" ht="12.75">
      <c r="A207" s="160"/>
      <c r="B207" s="161" t="s">
        <v>1394</v>
      </c>
      <c r="C207" s="161" t="s">
        <v>1378</v>
      </c>
      <c r="D207" s="162" t="s">
        <v>1006</v>
      </c>
      <c r="E207" s="163">
        <f>+E70</f>
        <v>1129.94554</v>
      </c>
      <c r="F207" s="155"/>
      <c r="G207" s="84"/>
      <c r="H207" s="84"/>
      <c r="I207" s="84"/>
      <c r="J207" s="85"/>
    </row>
    <row r="208" spans="1:10" ht="12.75">
      <c r="A208" s="160"/>
      <c r="B208" s="161" t="s">
        <v>1395</v>
      </c>
      <c r="C208" s="161" t="s">
        <v>1396</v>
      </c>
      <c r="D208" s="162" t="s">
        <v>1006</v>
      </c>
      <c r="E208" s="163">
        <f>+E77</f>
        <v>279.295</v>
      </c>
      <c r="F208" s="155"/>
      <c r="G208" s="84"/>
      <c r="H208" s="84"/>
      <c r="I208" s="84"/>
      <c r="J208" s="85"/>
    </row>
    <row r="209" spans="1:10" ht="12.75">
      <c r="A209" s="160"/>
      <c r="B209" s="161" t="s">
        <v>1397</v>
      </c>
      <c r="C209" s="161" t="s">
        <v>1698</v>
      </c>
      <c r="D209" s="162" t="s">
        <v>1006</v>
      </c>
      <c r="E209" s="163">
        <f>+E94</f>
        <v>3639.8152750000004</v>
      </c>
      <c r="F209" s="155"/>
      <c r="G209" s="84"/>
      <c r="H209" s="84"/>
      <c r="I209" s="84"/>
      <c r="J209" s="85"/>
    </row>
    <row r="210" spans="1:10" ht="12.75">
      <c r="A210" s="160"/>
      <c r="B210" s="161" t="s">
        <v>1398</v>
      </c>
      <c r="C210" s="161" t="s">
        <v>1399</v>
      </c>
      <c r="D210" s="162" t="s">
        <v>1006</v>
      </c>
      <c r="E210" s="163">
        <f>+E104</f>
        <v>124.67</v>
      </c>
      <c r="F210" s="155"/>
      <c r="G210" s="84"/>
      <c r="H210" s="84"/>
      <c r="I210" s="84"/>
      <c r="J210" s="85"/>
    </row>
    <row r="211" spans="1:10" ht="12.75">
      <c r="A211" s="160"/>
      <c r="B211" s="161" t="s">
        <v>1400</v>
      </c>
      <c r="C211" s="161" t="s">
        <v>1401</v>
      </c>
      <c r="D211" s="162" t="s">
        <v>1006</v>
      </c>
      <c r="E211" s="163">
        <f>+'[1]Výkaz kubatur'!K164</f>
        <v>949.0285200000001</v>
      </c>
      <c r="F211" s="155"/>
      <c r="G211" s="84"/>
      <c r="H211" s="84"/>
      <c r="I211" s="84"/>
      <c r="J211" s="85"/>
    </row>
    <row r="212" spans="1:10" ht="25.5">
      <c r="A212" s="160"/>
      <c r="B212" s="161" t="s">
        <v>1402</v>
      </c>
      <c r="C212" s="161" t="s">
        <v>1403</v>
      </c>
      <c r="D212" s="162" t="s">
        <v>1006</v>
      </c>
      <c r="E212" s="163">
        <f>+((2+1.37)*11+2*(11-2.14))*0.35+1.6*(0.79*0.35+2.33*(0.35+1.35)/2)</f>
        <v>22.787699999999997</v>
      </c>
      <c r="F212" s="155"/>
      <c r="G212" s="84"/>
      <c r="H212" s="84"/>
      <c r="I212" s="84"/>
      <c r="J212" s="85"/>
    </row>
    <row r="213" spans="1:10" ht="12.75">
      <c r="A213" s="160"/>
      <c r="B213" s="161" t="s">
        <v>1404</v>
      </c>
      <c r="C213" s="161" t="s">
        <v>1405</v>
      </c>
      <c r="D213" s="162" t="s">
        <v>1006</v>
      </c>
      <c r="E213" s="163">
        <f>3.14*0.53*0.53/4*70</f>
        <v>15.435455000000001</v>
      </c>
      <c r="F213" s="155"/>
      <c r="G213" s="84"/>
      <c r="H213" s="84"/>
      <c r="I213" s="84"/>
      <c r="J213" s="85"/>
    </row>
    <row r="214" spans="1:10" ht="12.75">
      <c r="A214" s="160"/>
      <c r="B214" s="161" t="s">
        <v>1406</v>
      </c>
      <c r="C214" s="161" t="s">
        <v>1407</v>
      </c>
      <c r="D214" s="162" t="s">
        <v>1006</v>
      </c>
      <c r="E214" s="163">
        <f>3.14*0.92*0.92/4*32</f>
        <v>21.261568000000004</v>
      </c>
      <c r="F214" s="155"/>
      <c r="G214" s="84"/>
      <c r="H214" s="84"/>
      <c r="I214" s="84"/>
      <c r="J214" s="85"/>
    </row>
    <row r="215" spans="1:10" ht="12.75">
      <c r="A215" s="160"/>
      <c r="B215" s="161"/>
      <c r="C215" s="161" t="s">
        <v>1142</v>
      </c>
      <c r="D215" s="162" t="s">
        <v>1006</v>
      </c>
      <c r="E215" s="163">
        <f>SUM(E207:E214)</f>
        <v>6182.239058</v>
      </c>
      <c r="F215" s="155"/>
      <c r="G215" s="84"/>
      <c r="H215" s="84"/>
      <c r="I215" s="84"/>
      <c r="J215" s="85"/>
    </row>
    <row r="216" spans="1:10" ht="12.75">
      <c r="A216" s="160"/>
      <c r="B216" s="161"/>
      <c r="C216" s="161"/>
      <c r="D216" s="162"/>
      <c r="E216" s="163"/>
      <c r="F216" s="84"/>
      <c r="G216" s="84"/>
      <c r="H216" s="84"/>
      <c r="I216" s="84"/>
      <c r="J216" s="85"/>
    </row>
    <row r="217" spans="1:10" ht="12.75">
      <c r="A217" s="160" t="s">
        <v>394</v>
      </c>
      <c r="B217" s="161" t="s">
        <v>1408</v>
      </c>
      <c r="C217" s="161"/>
      <c r="D217" s="162"/>
      <c r="E217" s="163"/>
      <c r="F217" s="84"/>
      <c r="G217" s="84"/>
      <c r="H217" s="84"/>
      <c r="I217" s="84"/>
      <c r="J217" s="85"/>
    </row>
    <row r="218" spans="1:10" ht="12.75">
      <c r="A218" s="160"/>
      <c r="B218" s="161" t="s">
        <v>1392</v>
      </c>
      <c r="C218" s="161" t="s">
        <v>1409</v>
      </c>
      <c r="D218" s="162" t="s">
        <v>1006</v>
      </c>
      <c r="E218" s="163">
        <f>+E206</f>
        <v>163.3</v>
      </c>
      <c r="F218" s="84"/>
      <c r="G218" s="84"/>
      <c r="H218" s="84"/>
      <c r="I218" s="84"/>
      <c r="J218" s="85"/>
    </row>
    <row r="219" spans="1:10" ht="12.75">
      <c r="A219" s="160"/>
      <c r="B219" s="161" t="s">
        <v>1400</v>
      </c>
      <c r="C219" s="161" t="s">
        <v>1410</v>
      </c>
      <c r="D219" s="162" t="s">
        <v>1006</v>
      </c>
      <c r="E219" s="163">
        <f>+E211</f>
        <v>949.0285200000001</v>
      </c>
      <c r="F219" s="84"/>
      <c r="G219" s="84"/>
      <c r="H219" s="84"/>
      <c r="I219" s="84"/>
      <c r="J219" s="85"/>
    </row>
    <row r="220" spans="1:10" ht="25.5">
      <c r="A220" s="160"/>
      <c r="B220" s="161" t="s">
        <v>1697</v>
      </c>
      <c r="C220" s="161" t="s">
        <v>1695</v>
      </c>
      <c r="D220" s="162" t="s">
        <v>1006</v>
      </c>
      <c r="E220" s="163">
        <f>1240*0.3+204.37*0.1</f>
        <v>392.437</v>
      </c>
      <c r="F220" s="84"/>
      <c r="G220" s="84"/>
      <c r="H220" s="84"/>
      <c r="I220" s="84"/>
      <c r="J220" s="85"/>
    </row>
    <row r="221" spans="1:10" ht="12.75">
      <c r="A221" s="160"/>
      <c r="B221" s="161" t="s">
        <v>1404</v>
      </c>
      <c r="C221" s="161"/>
      <c r="D221" s="162" t="s">
        <v>1006</v>
      </c>
      <c r="E221" s="163">
        <f>+E213</f>
        <v>15.435455000000001</v>
      </c>
      <c r="F221" s="84"/>
      <c r="G221" s="84"/>
      <c r="H221" s="84"/>
      <c r="I221" s="84"/>
      <c r="J221" s="85"/>
    </row>
    <row r="222" spans="1:10" ht="12.75">
      <c r="A222" s="160"/>
      <c r="B222" s="161" t="s">
        <v>1406</v>
      </c>
      <c r="C222" s="161"/>
      <c r="D222" s="162" t="s">
        <v>1006</v>
      </c>
      <c r="E222" s="163">
        <f>+E214</f>
        <v>21.261568000000004</v>
      </c>
      <c r="F222" s="84"/>
      <c r="G222" s="84"/>
      <c r="H222" s="84"/>
      <c r="I222" s="84"/>
      <c r="J222" s="85"/>
    </row>
    <row r="223" spans="1:10" ht="12.75">
      <c r="A223" s="160"/>
      <c r="B223" s="161"/>
      <c r="C223" s="161" t="s">
        <v>1142</v>
      </c>
      <c r="D223" s="162" t="s">
        <v>1006</v>
      </c>
      <c r="E223" s="163">
        <f>SUM(E218:E222)</f>
        <v>1541.4625429999999</v>
      </c>
      <c r="F223" s="84"/>
      <c r="G223" s="84"/>
      <c r="H223" s="84"/>
      <c r="I223" s="84"/>
      <c r="J223" s="85"/>
    </row>
    <row r="224" spans="1:10" ht="12.75">
      <c r="A224" s="160"/>
      <c r="B224" s="161"/>
      <c r="C224" s="161"/>
      <c r="D224" s="162"/>
      <c r="E224" s="163"/>
      <c r="F224" s="84"/>
      <c r="G224" s="84"/>
      <c r="H224" s="84"/>
      <c r="I224" s="84"/>
      <c r="J224" s="85"/>
    </row>
    <row r="225" spans="1:10" ht="12.75">
      <c r="A225" s="160" t="s">
        <v>398</v>
      </c>
      <c r="B225" s="161" t="s">
        <v>1411</v>
      </c>
      <c r="C225" s="161"/>
      <c r="D225" s="162"/>
      <c r="E225" s="163"/>
      <c r="F225" s="90"/>
      <c r="G225" s="90"/>
      <c r="H225" s="90"/>
      <c r="I225" s="84"/>
      <c r="J225" s="85"/>
    </row>
    <row r="226" spans="1:10" ht="12.75">
      <c r="A226" s="160"/>
      <c r="B226" s="161" t="s">
        <v>1412</v>
      </c>
      <c r="C226" s="161" t="s">
        <v>1672</v>
      </c>
      <c r="D226" s="162" t="s">
        <v>1006</v>
      </c>
      <c r="E226" s="163">
        <f>+E77+E94+E104</f>
        <v>4043.7802750000005</v>
      </c>
      <c r="F226" s="84"/>
      <c r="G226" s="84"/>
      <c r="H226" s="84"/>
      <c r="I226" s="84"/>
      <c r="J226" s="85"/>
    </row>
    <row r="227" spans="1:10" ht="12.75">
      <c r="A227" s="160"/>
      <c r="B227" s="161" t="s">
        <v>1413</v>
      </c>
      <c r="C227" s="161" t="s">
        <v>1414</v>
      </c>
      <c r="D227" s="162" t="s">
        <v>1006</v>
      </c>
      <c r="E227" s="163">
        <f>+(1.4*1.7*(0.25+1.95+0.6))</f>
        <v>6.664000000000001</v>
      </c>
      <c r="F227" s="84"/>
      <c r="G227" s="84"/>
      <c r="H227" s="84"/>
      <c r="I227" s="84"/>
      <c r="J227" s="85"/>
    </row>
    <row r="228" spans="1:10" ht="12.75">
      <c r="A228" s="160"/>
      <c r="B228" s="161" t="s">
        <v>1415</v>
      </c>
      <c r="C228" s="161" t="s">
        <v>1416</v>
      </c>
      <c r="D228" s="162" t="s">
        <v>1006</v>
      </c>
      <c r="E228" s="163">
        <f>+(4.1*3.1*1.3+(4.1*3+2.5+2.7)*0.4*0.6)</f>
        <v>20.723</v>
      </c>
      <c r="F228" s="84"/>
      <c r="G228" s="84"/>
      <c r="H228" s="84"/>
      <c r="I228" s="84"/>
      <c r="J228" s="85"/>
    </row>
    <row r="229" spans="1:10" ht="12.75">
      <c r="A229" s="160"/>
      <c r="B229" s="161"/>
      <c r="C229" s="161" t="s">
        <v>1142</v>
      </c>
      <c r="D229" s="162" t="s">
        <v>1006</v>
      </c>
      <c r="E229" s="163">
        <f>SUM(E226:E228)</f>
        <v>4071.1672750000007</v>
      </c>
      <c r="F229" s="84"/>
      <c r="G229" s="84"/>
      <c r="H229" s="84"/>
      <c r="I229" s="84"/>
      <c r="J229" s="85"/>
    </row>
    <row r="230" spans="1:10" ht="12.75">
      <c r="A230" s="160"/>
      <c r="B230" s="161" t="s">
        <v>1417</v>
      </c>
      <c r="C230" s="161" t="s">
        <v>1673</v>
      </c>
      <c r="D230" s="162" t="s">
        <v>1006</v>
      </c>
      <c r="E230" s="182">
        <f>+E264</f>
        <v>1106.03135</v>
      </c>
      <c r="F230" s="84"/>
      <c r="G230" s="84"/>
      <c r="H230" s="84"/>
      <c r="I230" s="84"/>
      <c r="J230" s="85"/>
    </row>
    <row r="231" spans="1:10" ht="12.75">
      <c r="A231" s="160"/>
      <c r="B231" s="161" t="s">
        <v>1418</v>
      </c>
      <c r="C231" s="161" t="s">
        <v>1674</v>
      </c>
      <c r="D231" s="162" t="s">
        <v>1006</v>
      </c>
      <c r="E231" s="182">
        <f>+E288</f>
        <v>248.49824999999996</v>
      </c>
      <c r="F231" s="84"/>
      <c r="G231" s="84"/>
      <c r="H231" s="84"/>
      <c r="I231" s="84"/>
      <c r="J231" s="85"/>
    </row>
    <row r="232" spans="1:10" ht="12.75">
      <c r="A232" s="160"/>
      <c r="B232" s="161" t="s">
        <v>1419</v>
      </c>
      <c r="C232" s="161" t="s">
        <v>1675</v>
      </c>
      <c r="D232" s="162" t="s">
        <v>1006</v>
      </c>
      <c r="E232" s="182">
        <f>+E250</f>
        <v>37.26</v>
      </c>
      <c r="F232" s="84"/>
      <c r="G232" s="84"/>
      <c r="H232" s="84"/>
      <c r="I232" s="84"/>
      <c r="J232" s="85"/>
    </row>
    <row r="233" spans="1:10" ht="12.75">
      <c r="A233" s="160"/>
      <c r="B233" s="161" t="s">
        <v>1420</v>
      </c>
      <c r="C233" s="161" t="s">
        <v>1421</v>
      </c>
      <c r="D233" s="162" t="s">
        <v>1006</v>
      </c>
      <c r="E233" s="182">
        <f>195*2.3*0.3</f>
        <v>134.54999999999998</v>
      </c>
      <c r="F233" s="84"/>
      <c r="G233" s="84"/>
      <c r="H233" s="84"/>
      <c r="I233" s="84"/>
      <c r="J233" s="85"/>
    </row>
    <row r="234" spans="1:16" ht="15">
      <c r="A234" s="160"/>
      <c r="B234" s="161" t="s">
        <v>1422</v>
      </c>
      <c r="C234" s="161"/>
      <c r="D234" s="162"/>
      <c r="E234" s="182"/>
      <c r="F234" s="84"/>
      <c r="G234" s="94" t="s">
        <v>1261</v>
      </c>
      <c r="H234" s="94" t="s">
        <v>1262</v>
      </c>
      <c r="I234" s="94" t="s">
        <v>1263</v>
      </c>
      <c r="J234" s="94" t="s">
        <v>1264</v>
      </c>
      <c r="K234" s="94" t="s">
        <v>1265</v>
      </c>
      <c r="L234" s="94" t="s">
        <v>1266</v>
      </c>
      <c r="M234" s="94" t="s">
        <v>1267</v>
      </c>
      <c r="N234" s="78" t="s">
        <v>1268</v>
      </c>
      <c r="O234" s="79" t="s">
        <v>1361</v>
      </c>
      <c r="P234" s="79" t="s">
        <v>1142</v>
      </c>
    </row>
    <row r="235" spans="1:16" ht="15">
      <c r="A235" s="160"/>
      <c r="B235" s="161" t="s">
        <v>1423</v>
      </c>
      <c r="C235" s="161" t="s">
        <v>1676</v>
      </c>
      <c r="D235" s="162" t="s">
        <v>1006</v>
      </c>
      <c r="E235" s="182">
        <f>+(3.14*2.3*2.3/4*2.13+3.14*1.3*1.3/4*P235)</f>
        <v>20.784994499999996</v>
      </c>
      <c r="F235" s="84"/>
      <c r="G235" s="80">
        <f>+G82-0.1-0.5-0.3-0.1</f>
        <v>1.7299999999999998</v>
      </c>
      <c r="H235" s="80">
        <f aca="true" t="shared" si="1" ref="H235:M235">+H82-0.1-0.5-0.3-0.1</f>
        <v>1.3199999999999996</v>
      </c>
      <c r="I235" s="80">
        <f t="shared" si="1"/>
        <v>1.22</v>
      </c>
      <c r="J235" s="80">
        <f t="shared" si="1"/>
        <v>1.0699999999999996</v>
      </c>
      <c r="K235" s="80">
        <f t="shared" si="1"/>
        <v>0.47999999999999987</v>
      </c>
      <c r="L235" s="80">
        <f t="shared" si="1"/>
        <v>1.0199999999999998</v>
      </c>
      <c r="M235" s="80">
        <f t="shared" si="1"/>
        <v>1.2599999999999996</v>
      </c>
      <c r="N235" s="80">
        <v>0.9</v>
      </c>
      <c r="O235" s="81"/>
      <c r="P235" s="81">
        <f>SUM(G235:O235)</f>
        <v>8.999999999999998</v>
      </c>
    </row>
    <row r="236" spans="1:18" ht="15">
      <c r="A236" s="160"/>
      <c r="B236" s="161"/>
      <c r="C236" s="161"/>
      <c r="D236" s="162"/>
      <c r="E236" s="182"/>
      <c r="F236" s="84"/>
      <c r="G236" s="94" t="s">
        <v>1273</v>
      </c>
      <c r="H236" s="94" t="s">
        <v>1274</v>
      </c>
      <c r="I236" s="94" t="s">
        <v>1275</v>
      </c>
      <c r="J236" s="94" t="s">
        <v>1276</v>
      </c>
      <c r="K236" s="94" t="s">
        <v>1277</v>
      </c>
      <c r="L236" s="94" t="s">
        <v>1278</v>
      </c>
      <c r="M236" s="94" t="s">
        <v>1279</v>
      </c>
      <c r="N236" s="78" t="s">
        <v>1280</v>
      </c>
      <c r="O236" s="79" t="s">
        <v>1281</v>
      </c>
      <c r="P236" s="79" t="s">
        <v>1142</v>
      </c>
      <c r="Q236" s="82"/>
      <c r="R236" t="s">
        <v>1424</v>
      </c>
    </row>
    <row r="237" spans="1:17" ht="15">
      <c r="A237" s="160"/>
      <c r="B237" s="161" t="s">
        <v>1425</v>
      </c>
      <c r="C237" s="161" t="s">
        <v>1677</v>
      </c>
      <c r="D237" s="162" t="s">
        <v>1006</v>
      </c>
      <c r="E237" s="182">
        <f>+(3.14*1.3*1.3/4*P237)</f>
        <v>16.636191000000004</v>
      </c>
      <c r="F237" s="84"/>
      <c r="G237" s="80"/>
      <c r="H237" s="80"/>
      <c r="I237" s="80"/>
      <c r="J237" s="80">
        <f aca="true" t="shared" si="2" ref="J237:O237">+J84-0.1-0.4-0.3-0.4</f>
        <v>2.3400000000000003</v>
      </c>
      <c r="K237" s="80">
        <f t="shared" si="2"/>
        <v>2.22</v>
      </c>
      <c r="L237" s="80">
        <f t="shared" si="2"/>
        <v>1.83</v>
      </c>
      <c r="M237" s="80">
        <f t="shared" si="2"/>
        <v>1.83</v>
      </c>
      <c r="N237" s="80">
        <f t="shared" si="2"/>
        <v>2.5100000000000002</v>
      </c>
      <c r="O237" s="80">
        <f t="shared" si="2"/>
        <v>1.81</v>
      </c>
      <c r="P237" s="81">
        <f>SUM(G237:O237)</f>
        <v>12.540000000000001</v>
      </c>
      <c r="Q237" s="81"/>
    </row>
    <row r="238" spans="1:17" ht="15">
      <c r="A238" s="160"/>
      <c r="B238" s="161"/>
      <c r="C238" s="161"/>
      <c r="D238" s="162"/>
      <c r="E238" s="182"/>
      <c r="F238" s="84"/>
      <c r="G238" s="94" t="s">
        <v>1285</v>
      </c>
      <c r="H238" s="94" t="s">
        <v>1286</v>
      </c>
      <c r="I238" s="94" t="s">
        <v>1287</v>
      </c>
      <c r="J238" s="94" t="s">
        <v>1288</v>
      </c>
      <c r="K238" s="94" t="s">
        <v>1289</v>
      </c>
      <c r="L238" s="94" t="s">
        <v>1290</v>
      </c>
      <c r="M238" s="94" t="s">
        <v>1291</v>
      </c>
      <c r="N238" s="78" t="s">
        <v>1292</v>
      </c>
      <c r="O238" s="79"/>
      <c r="P238" s="79" t="s">
        <v>1142</v>
      </c>
      <c r="Q238" s="81"/>
    </row>
    <row r="239" spans="1:16" ht="15">
      <c r="A239" s="160"/>
      <c r="B239" s="161" t="s">
        <v>1426</v>
      </c>
      <c r="C239" s="161" t="s">
        <v>1678</v>
      </c>
      <c r="D239" s="162" t="s">
        <v>1006</v>
      </c>
      <c r="E239" s="182">
        <f>+(3.14*1.5*1.5/4*(2.9-0.1-0.6-0.3)+3.14*1.3*1.3/4*P239)</f>
        <v>23.627087000000003</v>
      </c>
      <c r="F239" s="84"/>
      <c r="G239" s="80">
        <f>+G86-0.1-0.6-0.3</f>
        <v>2.11</v>
      </c>
      <c r="H239" s="80"/>
      <c r="I239" s="80"/>
      <c r="J239" s="80">
        <f>+J86-0.1-0.6-0.3-0.3</f>
        <v>1.8099999999999998</v>
      </c>
      <c r="K239" s="80">
        <f>+K86-0.1-0.6-0.3-0.3</f>
        <v>2.4200000000000004</v>
      </c>
      <c r="L239" s="80">
        <f>+L86-0.1-0.6-0.3-0.3</f>
        <v>3.020000000000001</v>
      </c>
      <c r="M239" s="80">
        <f>+M86-0.1-0.6-0.3-0.3</f>
        <v>3.2600000000000002</v>
      </c>
      <c r="N239" s="80">
        <f>+N86-0.1-0.6-0.3-0.3</f>
        <v>2.66</v>
      </c>
      <c r="O239" s="81"/>
      <c r="P239" s="81">
        <f>SUM(G239:O239)</f>
        <v>15.280000000000001</v>
      </c>
    </row>
    <row r="240" spans="1:16" ht="15">
      <c r="A240" s="160"/>
      <c r="B240" s="161"/>
      <c r="C240" s="161"/>
      <c r="D240" s="162"/>
      <c r="E240" s="182"/>
      <c r="F240" s="84"/>
      <c r="G240" s="94" t="s">
        <v>1298</v>
      </c>
      <c r="H240" s="94" t="s">
        <v>1299</v>
      </c>
      <c r="I240" s="94" t="s">
        <v>1300</v>
      </c>
      <c r="J240" s="94" t="s">
        <v>1301</v>
      </c>
      <c r="K240" s="94" t="s">
        <v>1302</v>
      </c>
      <c r="L240" s="94" t="s">
        <v>1303</v>
      </c>
      <c r="M240" s="94" t="s">
        <v>1142</v>
      </c>
      <c r="N240" s="78"/>
      <c r="O240" s="79"/>
      <c r="P240" s="79"/>
    </row>
    <row r="241" spans="1:16" ht="15">
      <c r="A241" s="160"/>
      <c r="B241" s="161" t="s">
        <v>1427</v>
      </c>
      <c r="C241" s="161" t="s">
        <v>1679</v>
      </c>
      <c r="D241" s="162" t="s">
        <v>1006</v>
      </c>
      <c r="E241" s="182">
        <f>+(3.14*1.3*1.3/4*M241)</f>
        <v>19.740552000000008</v>
      </c>
      <c r="F241" s="84"/>
      <c r="G241" s="80">
        <f>+G88-0.1-0.315-0.3-0.4</f>
        <v>1.565</v>
      </c>
      <c r="H241" s="80">
        <f>+H88-0.1-0.315-0.3-0.3</f>
        <v>1.805</v>
      </c>
      <c r="I241" s="80">
        <f>+I88-0.1-0.315-0.3-0.3</f>
        <v>2.515</v>
      </c>
      <c r="J241" s="80">
        <f>+J88-0.1-0.315-0.3-0.3</f>
        <v>3.0250000000000004</v>
      </c>
      <c r="K241" s="80">
        <f>+K88-0.1-0.315-0.3-0.3</f>
        <v>3.4050000000000002</v>
      </c>
      <c r="L241" s="80">
        <f>+L88-0.1-0.315-0.3-0.3</f>
        <v>2.5650000000000004</v>
      </c>
      <c r="M241" s="80">
        <f>SUM(G241:L241)</f>
        <v>14.880000000000003</v>
      </c>
      <c r="N241" s="80"/>
      <c r="O241" s="81"/>
      <c r="P241" s="81"/>
    </row>
    <row r="242" spans="1:16" ht="15">
      <c r="A242" s="160"/>
      <c r="B242" s="161" t="s">
        <v>1428</v>
      </c>
      <c r="C242" s="161"/>
      <c r="D242" s="162"/>
      <c r="E242" s="182"/>
      <c r="F242" s="84"/>
      <c r="G242" s="80"/>
      <c r="H242" s="80"/>
      <c r="I242" s="80"/>
      <c r="J242" s="80"/>
      <c r="K242" s="80"/>
      <c r="L242" s="80"/>
      <c r="M242" s="80"/>
      <c r="N242" s="80"/>
      <c r="O242" s="81"/>
      <c r="P242" s="81"/>
    </row>
    <row r="243" spans="1:16" ht="15">
      <c r="A243" s="160"/>
      <c r="B243" s="89" t="s">
        <v>1567</v>
      </c>
      <c r="C243" s="183" t="s">
        <v>1680</v>
      </c>
      <c r="D243" s="162" t="s">
        <v>1006</v>
      </c>
      <c r="E243" s="182">
        <f>+(26.6+18.4+22+2.6+3.4+2.2)*1.2*0.3</f>
        <v>27.072</v>
      </c>
      <c r="F243" s="84"/>
      <c r="G243" s="80"/>
      <c r="H243" s="80"/>
      <c r="I243" s="80"/>
      <c r="J243" s="80"/>
      <c r="K243" s="80"/>
      <c r="L243" s="80"/>
      <c r="M243" s="80"/>
      <c r="N243" s="80"/>
      <c r="O243" s="81"/>
      <c r="P243" s="81"/>
    </row>
    <row r="244" spans="1:16" ht="15">
      <c r="A244" s="160"/>
      <c r="B244" s="89" t="s">
        <v>1569</v>
      </c>
      <c r="C244" s="183" t="s">
        <v>1681</v>
      </c>
      <c r="D244" s="162" t="s">
        <v>1006</v>
      </c>
      <c r="E244" s="182">
        <f>+(4.3+15.8+7.3+48.5+48.5+54+69.7+2.6)*1.1*0.3</f>
        <v>82.73100000000001</v>
      </c>
      <c r="F244" s="84"/>
      <c r="G244" s="80"/>
      <c r="H244" s="80"/>
      <c r="I244" s="80"/>
      <c r="J244" s="80"/>
      <c r="K244" s="80"/>
      <c r="L244" s="80"/>
      <c r="M244" s="80"/>
      <c r="N244" s="80"/>
      <c r="O244" s="81"/>
      <c r="P244" s="81"/>
    </row>
    <row r="245" spans="1:10" ht="12.75">
      <c r="A245" s="160"/>
      <c r="B245" s="89" t="s">
        <v>1571</v>
      </c>
      <c r="C245" s="183" t="s">
        <v>1682</v>
      </c>
      <c r="D245" s="162" t="s">
        <v>1006</v>
      </c>
      <c r="E245" s="182">
        <f>+(21.5*1*0.3)</f>
        <v>6.45</v>
      </c>
      <c r="F245" s="95"/>
      <c r="G245" s="95"/>
      <c r="H245" s="95"/>
      <c r="I245" s="96"/>
      <c r="J245" s="85"/>
    </row>
    <row r="246" spans="1:10" ht="12.75">
      <c r="A246" s="160"/>
      <c r="B246" s="89"/>
      <c r="C246" s="183" t="s">
        <v>1684</v>
      </c>
      <c r="D246" s="162" t="s">
        <v>1006</v>
      </c>
      <c r="E246" s="182">
        <f>SUM(E230:E245)</f>
        <v>1723.3814244999999</v>
      </c>
      <c r="F246" s="95"/>
      <c r="G246" s="95"/>
      <c r="H246" s="95"/>
      <c r="I246" s="96"/>
      <c r="J246" s="85"/>
    </row>
    <row r="247" spans="1:10" ht="12.75">
      <c r="A247" s="160"/>
      <c r="B247" s="161"/>
      <c r="C247" s="161" t="s">
        <v>1429</v>
      </c>
      <c r="D247" s="162" t="s">
        <v>1006</v>
      </c>
      <c r="E247" s="163">
        <f>+E229-E246</f>
        <v>2347.785850500001</v>
      </c>
      <c r="F247" s="95"/>
      <c r="G247" s="95"/>
      <c r="H247" s="95"/>
      <c r="I247" s="96"/>
      <c r="J247" s="85"/>
    </row>
    <row r="248" spans="1:10" ht="12.75">
      <c r="A248" s="160"/>
      <c r="B248" s="161"/>
      <c r="C248" s="161"/>
      <c r="D248" s="162"/>
      <c r="E248" s="163"/>
      <c r="F248" s="95"/>
      <c r="G248" s="95"/>
      <c r="H248" s="95"/>
      <c r="I248" s="96"/>
      <c r="J248" s="85"/>
    </row>
    <row r="249" spans="1:16" ht="15">
      <c r="A249" s="160" t="s">
        <v>397</v>
      </c>
      <c r="B249" s="161" t="s">
        <v>1430</v>
      </c>
      <c r="C249" s="161"/>
      <c r="D249" s="162"/>
      <c r="E249" s="163"/>
      <c r="F249" s="95"/>
      <c r="G249" s="95"/>
      <c r="H249" s="95"/>
      <c r="I249" s="94" t="s">
        <v>1287</v>
      </c>
      <c r="J249" s="94" t="s">
        <v>1288</v>
      </c>
      <c r="K249" s="94" t="s">
        <v>1289</v>
      </c>
      <c r="L249" s="94" t="s">
        <v>1290</v>
      </c>
      <c r="M249" s="94" t="s">
        <v>1291</v>
      </c>
      <c r="N249" s="78" t="s">
        <v>1292</v>
      </c>
      <c r="O249" s="79"/>
      <c r="P249" s="79" t="s">
        <v>1142</v>
      </c>
    </row>
    <row r="250" spans="1:16" ht="38.25">
      <c r="A250" s="160"/>
      <c r="B250" s="161" t="s">
        <v>1670</v>
      </c>
      <c r="C250" s="161" t="s">
        <v>1671</v>
      </c>
      <c r="D250" s="162" t="s">
        <v>1006</v>
      </c>
      <c r="E250" s="163">
        <f>2.3*1*P250</f>
        <v>37.26</v>
      </c>
      <c r="F250" s="95"/>
      <c r="G250" s="84"/>
      <c r="H250" s="95"/>
      <c r="I250" s="97">
        <f>2.53-1</f>
        <v>1.5299999999999998</v>
      </c>
      <c r="J250" s="97">
        <f>+J86-1</f>
        <v>2.11</v>
      </c>
      <c r="K250" s="97">
        <f>+K86-1</f>
        <v>2.72</v>
      </c>
      <c r="L250" s="97">
        <f>+L86-1</f>
        <v>3.3200000000000003</v>
      </c>
      <c r="M250" s="97">
        <f>+M86-1</f>
        <v>3.5599999999999996</v>
      </c>
      <c r="N250" s="97">
        <f>+N86-1</f>
        <v>2.96</v>
      </c>
      <c r="O250" s="86"/>
      <c r="P250" s="50">
        <f>SUM(I250:O250)</f>
        <v>16.2</v>
      </c>
    </row>
    <row r="251" spans="1:10" ht="12.75">
      <c r="A251" s="160"/>
      <c r="B251" s="161"/>
      <c r="C251" s="161"/>
      <c r="D251" s="162"/>
      <c r="E251" s="163"/>
      <c r="F251" s="95"/>
      <c r="G251" s="95"/>
      <c r="H251" s="95"/>
      <c r="I251" s="96"/>
      <c r="J251" s="85"/>
    </row>
    <row r="252" spans="1:10" ht="12.75">
      <c r="A252" s="160" t="s">
        <v>399</v>
      </c>
      <c r="B252" s="161" t="s">
        <v>1431</v>
      </c>
      <c r="C252" s="161"/>
      <c r="D252" s="162"/>
      <c r="E252" s="163"/>
      <c r="F252" s="90"/>
      <c r="G252" s="90"/>
      <c r="H252" s="90"/>
      <c r="I252" s="85"/>
      <c r="J252" s="85"/>
    </row>
    <row r="253" spans="1:10" ht="12.75">
      <c r="A253" s="160"/>
      <c r="B253" s="161" t="s">
        <v>1432</v>
      </c>
      <c r="C253" s="161"/>
      <c r="D253" s="162"/>
      <c r="E253" s="163"/>
      <c r="F253" s="90"/>
      <c r="G253" s="90"/>
      <c r="H253" s="90"/>
      <c r="I253" s="85"/>
      <c r="J253" s="85"/>
    </row>
    <row r="254" spans="1:10" ht="12.75">
      <c r="A254" s="160"/>
      <c r="B254" s="161" t="s">
        <v>1433</v>
      </c>
      <c r="C254" s="161" t="s">
        <v>1434</v>
      </c>
      <c r="D254" s="162" t="s">
        <v>1006</v>
      </c>
      <c r="E254" s="163">
        <f>+(220.3-(0.65+6.5*2.5))*(0.315+0.3)*1</f>
        <v>125.09100000000001</v>
      </c>
      <c r="F254" s="84"/>
      <c r="G254" s="84"/>
      <c r="H254" s="84"/>
      <c r="I254" s="84"/>
      <c r="J254" s="85"/>
    </row>
    <row r="255" spans="1:10" ht="12.75">
      <c r="A255" s="160"/>
      <c r="B255" s="161" t="s">
        <v>1435</v>
      </c>
      <c r="C255" s="161" t="s">
        <v>1436</v>
      </c>
      <c r="D255" s="162" t="s">
        <v>1006</v>
      </c>
      <c r="E255" s="163">
        <f>+(479.53-(192+4.7+5+6.5*2.5))*(0.4+0.3)*1.1</f>
        <v>201.4166</v>
      </c>
      <c r="F255" s="84"/>
      <c r="G255" s="84"/>
      <c r="H255" s="84"/>
      <c r="I255" s="84"/>
      <c r="J255" s="85"/>
    </row>
    <row r="256" spans="1:10" ht="12.75">
      <c r="A256" s="160"/>
      <c r="B256" s="161" t="s">
        <v>1437</v>
      </c>
      <c r="C256" s="161" t="s">
        <v>1438</v>
      </c>
      <c r="D256" s="162" t="s">
        <v>1006</v>
      </c>
      <c r="E256" s="163">
        <f>+(444.75-(70.5+8*2.5+3.5+4))*(0.5+0.3)*1.2</f>
        <v>332.88000000000005</v>
      </c>
      <c r="F256" s="84"/>
      <c r="G256" s="84"/>
      <c r="H256" s="84"/>
      <c r="I256" s="84"/>
      <c r="J256" s="85"/>
    </row>
    <row r="257" spans="1:10" ht="12.75">
      <c r="A257" s="160"/>
      <c r="B257" s="161" t="s">
        <v>1439</v>
      </c>
      <c r="C257" s="161" t="s">
        <v>1440</v>
      </c>
      <c r="D257" s="162" t="s">
        <v>1006</v>
      </c>
      <c r="E257" s="163">
        <f>+(265-(32+8.5*2.5+8))*(0.6+0.3)*1.3</f>
        <v>238.38749999999996</v>
      </c>
      <c r="F257" s="84"/>
      <c r="G257" s="84"/>
      <c r="H257" s="84"/>
      <c r="I257" s="84"/>
      <c r="J257" s="85"/>
    </row>
    <row r="258" spans="1:10" ht="12.75">
      <c r="A258" s="160"/>
      <c r="B258" s="161" t="s">
        <v>1441</v>
      </c>
      <c r="C258" s="161"/>
      <c r="D258" s="162"/>
      <c r="E258" s="163"/>
      <c r="F258" s="84"/>
      <c r="G258" s="84"/>
      <c r="H258" s="84"/>
      <c r="I258" s="84"/>
      <c r="J258" s="85"/>
    </row>
    <row r="259" spans="1:10" ht="12.75">
      <c r="A259" s="160"/>
      <c r="B259" s="161" t="s">
        <v>1442</v>
      </c>
      <c r="C259" s="161" t="s">
        <v>1443</v>
      </c>
      <c r="D259" s="162" t="s">
        <v>1006</v>
      </c>
      <c r="E259" s="163">
        <f>2.5*1.25*(0.2+0.315+0.3)*6</f>
        <v>15.28125</v>
      </c>
      <c r="F259" s="84"/>
      <c r="G259" s="84" t="s">
        <v>1444</v>
      </c>
      <c r="H259" s="84"/>
      <c r="I259" s="84"/>
      <c r="J259" s="85"/>
    </row>
    <row r="260" spans="1:10" ht="12.75">
      <c r="A260" s="160"/>
      <c r="B260" s="161" t="s">
        <v>1445</v>
      </c>
      <c r="C260" s="161" t="s">
        <v>1446</v>
      </c>
      <c r="D260" s="162" t="s">
        <v>1006</v>
      </c>
      <c r="E260" s="163">
        <f>2.5*2.5*(0.2+0.4+0.3)*6</f>
        <v>33.75000000000001</v>
      </c>
      <c r="F260" s="84"/>
      <c r="G260" s="84"/>
      <c r="H260" s="84"/>
      <c r="I260" s="84"/>
      <c r="J260" s="85"/>
    </row>
    <row r="261" spans="1:10" ht="12.75">
      <c r="A261" s="160"/>
      <c r="B261" s="161" t="s">
        <v>1447</v>
      </c>
      <c r="C261" s="161" t="s">
        <v>1448</v>
      </c>
      <c r="D261" s="162" t="s">
        <v>1006</v>
      </c>
      <c r="E261" s="163">
        <f>3.5*3.5*(0.9+0.5+0.3)+2.5*2.5*(0.2+0.5+0.3)*8</f>
        <v>70.825</v>
      </c>
      <c r="F261" s="84"/>
      <c r="G261" s="84" t="s">
        <v>1449</v>
      </c>
      <c r="H261" s="84"/>
      <c r="I261" s="84"/>
      <c r="J261" s="85"/>
    </row>
    <row r="262" spans="1:10" ht="25.5">
      <c r="A262" s="160"/>
      <c r="B262" s="161" t="s">
        <v>1450</v>
      </c>
      <c r="C262" s="161" t="s">
        <v>1451</v>
      </c>
      <c r="D262" s="162" t="s">
        <v>1006</v>
      </c>
      <c r="E262" s="163">
        <f>2*2*(0.3+0.6+0.3)+2.5*2.5*(0.2+0.6+0.3)*6+8*3.5*(0.3+0.6+0.3)</f>
        <v>79.65</v>
      </c>
      <c r="F262" s="84"/>
      <c r="G262" s="84"/>
      <c r="H262" s="84"/>
      <c r="I262" s="84"/>
      <c r="J262" s="85"/>
    </row>
    <row r="263" spans="1:10" ht="12.75">
      <c r="A263" s="160"/>
      <c r="B263" s="161" t="s">
        <v>1452</v>
      </c>
      <c r="C263" s="161" t="s">
        <v>1453</v>
      </c>
      <c r="D263" s="162" t="s">
        <v>1006</v>
      </c>
      <c r="E263" s="163">
        <f>5*2.5*(0.4+0.3)</f>
        <v>8.75</v>
      </c>
      <c r="F263" s="84"/>
      <c r="G263" s="84"/>
      <c r="H263" s="84"/>
      <c r="I263" s="84"/>
      <c r="J263" s="85"/>
    </row>
    <row r="264" spans="1:10" ht="12.75">
      <c r="A264" s="160"/>
      <c r="B264" s="161"/>
      <c r="C264" s="161" t="s">
        <v>1142</v>
      </c>
      <c r="D264" s="162" t="s">
        <v>1006</v>
      </c>
      <c r="E264" s="163">
        <f>SUM(E254:E263)</f>
        <v>1106.03135</v>
      </c>
      <c r="F264" s="84"/>
      <c r="G264" s="84"/>
      <c r="H264" s="84"/>
      <c r="I264" s="84"/>
      <c r="J264" s="85"/>
    </row>
    <row r="265" spans="1:10" ht="12.75">
      <c r="A265" s="160"/>
      <c r="B265" s="161" t="s">
        <v>1454</v>
      </c>
      <c r="C265" s="161"/>
      <c r="D265" s="162"/>
      <c r="E265" s="163"/>
      <c r="F265" s="84"/>
      <c r="G265" s="84"/>
      <c r="H265" s="84"/>
      <c r="I265" s="84"/>
      <c r="J265" s="85"/>
    </row>
    <row r="266" spans="1:10" ht="12.75">
      <c r="A266" s="160"/>
      <c r="B266" s="161" t="s">
        <v>1442</v>
      </c>
      <c r="C266" s="161" t="s">
        <v>1455</v>
      </c>
      <c r="D266" s="162" t="s">
        <v>1006</v>
      </c>
      <c r="E266" s="163">
        <f>+(220.3-6.5*1.3)*3.14*0.315*0.315/4</f>
        <v>16.501340756250002</v>
      </c>
      <c r="F266" s="84"/>
      <c r="G266" s="84"/>
      <c r="H266" s="84"/>
      <c r="I266" s="84"/>
      <c r="J266" s="85"/>
    </row>
    <row r="267" spans="1:10" ht="12.75">
      <c r="A267" s="160"/>
      <c r="B267" s="161" t="s">
        <v>1445</v>
      </c>
      <c r="C267" s="161" t="s">
        <v>1456</v>
      </c>
      <c r="D267" s="162" t="s">
        <v>1006</v>
      </c>
      <c r="E267" s="163">
        <f>+(479.53-(192+4.7+5+6.5*1.3))*3.14*0.4*0.4/4</f>
        <v>33.83412800000001</v>
      </c>
      <c r="F267" s="84"/>
      <c r="G267" s="84"/>
      <c r="H267" s="84"/>
      <c r="I267" s="84"/>
      <c r="J267" s="85"/>
    </row>
    <row r="268" spans="1:10" ht="12.75">
      <c r="A268" s="160"/>
      <c r="B268" s="161" t="s">
        <v>1447</v>
      </c>
      <c r="C268" s="161" t="s">
        <v>1457</v>
      </c>
      <c r="D268" s="162" t="s">
        <v>1006</v>
      </c>
      <c r="E268" s="163">
        <f>+(444.75-70.5-8*1.3-2.3)*3.14*0.5*0.5/4</f>
        <v>70.9541875</v>
      </c>
      <c r="F268" s="84"/>
      <c r="G268" s="84"/>
      <c r="H268" s="84"/>
      <c r="I268" s="84"/>
      <c r="J268" s="85"/>
    </row>
    <row r="269" spans="1:10" ht="12.75">
      <c r="A269" s="160"/>
      <c r="B269" s="161" t="s">
        <v>1450</v>
      </c>
      <c r="C269" s="161" t="s">
        <v>1458</v>
      </c>
      <c r="D269" s="162" t="s">
        <v>1006</v>
      </c>
      <c r="E269" s="163">
        <f>+(265-30.5-1.5-7*1.3)*3.14*0.6*0.6/4</f>
        <v>63.27414</v>
      </c>
      <c r="F269" s="84"/>
      <c r="G269" s="84"/>
      <c r="H269" s="84"/>
      <c r="I269" s="84"/>
      <c r="J269" s="85"/>
    </row>
    <row r="270" spans="1:10" ht="12.75">
      <c r="A270" s="160"/>
      <c r="B270" s="161" t="s">
        <v>1459</v>
      </c>
      <c r="C270" s="161"/>
      <c r="D270" s="162"/>
      <c r="E270" s="163"/>
      <c r="F270" s="84"/>
      <c r="G270" s="84"/>
      <c r="H270" s="84"/>
      <c r="I270" s="84"/>
      <c r="J270" s="85"/>
    </row>
    <row r="271" spans="1:10" ht="12.75">
      <c r="A271" s="160"/>
      <c r="B271" s="161" t="s">
        <v>1442</v>
      </c>
      <c r="C271" s="161" t="s">
        <v>1460</v>
      </c>
      <c r="D271" s="162" t="s">
        <v>1006</v>
      </c>
      <c r="E271" s="163">
        <f>3.14*1.3*1.3/4*6*(0.2+0.315+0.3)</f>
        <v>6.4873185000000015</v>
      </c>
      <c r="F271" s="84"/>
      <c r="G271" s="84"/>
      <c r="H271" s="84"/>
      <c r="I271" s="84"/>
      <c r="J271" s="85"/>
    </row>
    <row r="272" spans="1:10" ht="12.75">
      <c r="A272" s="160"/>
      <c r="B272" s="161" t="s">
        <v>1445</v>
      </c>
      <c r="C272" s="161" t="s">
        <v>1461</v>
      </c>
      <c r="D272" s="162" t="s">
        <v>1006</v>
      </c>
      <c r="E272" s="163">
        <f>3.14*1.3*1.3/4*6*(0.2+0.4+0.3)</f>
        <v>7.163910000000003</v>
      </c>
      <c r="F272" s="84"/>
      <c r="G272" s="84"/>
      <c r="H272" s="84"/>
      <c r="I272" s="84"/>
      <c r="J272" s="85"/>
    </row>
    <row r="273" spans="1:10" ht="25.5">
      <c r="A273" s="160"/>
      <c r="B273" s="161" t="s">
        <v>1447</v>
      </c>
      <c r="C273" s="161" t="s">
        <v>1462</v>
      </c>
      <c r="D273" s="162" t="s">
        <v>1006</v>
      </c>
      <c r="E273" s="163">
        <f>+(3.14*2.3*2.3/4)*(0.9+0.5+0.3)+3.14*1.3*1.3/4*7*(0.2+0.5+0.3)</f>
        <v>16.346055</v>
      </c>
      <c r="F273" s="84"/>
      <c r="G273" s="84"/>
      <c r="H273" s="84"/>
      <c r="I273" s="84"/>
      <c r="J273" s="85"/>
    </row>
    <row r="274" spans="1:10" ht="12.75">
      <c r="A274" s="160"/>
      <c r="B274" s="161" t="s">
        <v>1450</v>
      </c>
      <c r="C274" s="161" t="s">
        <v>1463</v>
      </c>
      <c r="D274" s="162" t="s">
        <v>1006</v>
      </c>
      <c r="E274" s="163">
        <f>3.14*1.5*1.5/4+3.14*1.3*1.3/4*7*(0.2+0.6+0.3)</f>
        <v>11.981455000000002</v>
      </c>
      <c r="F274" s="84"/>
      <c r="G274" s="84"/>
      <c r="H274" s="84"/>
      <c r="I274" s="84"/>
      <c r="J274" s="85"/>
    </row>
    <row r="275" spans="1:10" ht="12.75">
      <c r="A275" s="160"/>
      <c r="B275" s="161"/>
      <c r="C275" s="161" t="s">
        <v>1464</v>
      </c>
      <c r="D275" s="162" t="s">
        <v>1006</v>
      </c>
      <c r="E275" s="163">
        <f>SUM(E266:E274)</f>
        <v>226.54253475625006</v>
      </c>
      <c r="F275" s="84"/>
      <c r="G275" s="84"/>
      <c r="H275" s="84"/>
      <c r="I275" s="84"/>
      <c r="J275" s="85"/>
    </row>
    <row r="276" spans="1:10" ht="12.75">
      <c r="A276" s="160"/>
      <c r="B276" s="161"/>
      <c r="C276" s="161" t="s">
        <v>1465</v>
      </c>
      <c r="D276" s="162" t="s">
        <v>1006</v>
      </c>
      <c r="E276" s="163">
        <f>+E264-E275</f>
        <v>879.48881524375</v>
      </c>
      <c r="F276" s="84"/>
      <c r="G276" s="84"/>
      <c r="H276" s="84"/>
      <c r="I276" s="84"/>
      <c r="J276" s="85"/>
    </row>
    <row r="277" spans="1:10" ht="12.75">
      <c r="A277" s="160"/>
      <c r="B277" s="161"/>
      <c r="C277" s="161"/>
      <c r="D277" s="162"/>
      <c r="E277" s="163"/>
      <c r="F277" s="84"/>
      <c r="G277" s="84"/>
      <c r="H277" s="84"/>
      <c r="I277" s="84"/>
      <c r="J277" s="85"/>
    </row>
    <row r="278" spans="1:10" ht="12.75">
      <c r="A278" s="160" t="s">
        <v>1466</v>
      </c>
      <c r="B278" s="161" t="s">
        <v>1467</v>
      </c>
      <c r="C278" s="161"/>
      <c r="D278" s="162"/>
      <c r="E278" s="163"/>
      <c r="F278" s="84"/>
      <c r="G278" s="84"/>
      <c r="H278" s="84"/>
      <c r="I278" s="84"/>
      <c r="J278" s="85"/>
    </row>
    <row r="279" spans="1:10" ht="25.5">
      <c r="A279" s="160"/>
      <c r="B279" s="161" t="s">
        <v>1316</v>
      </c>
      <c r="C279" s="161" t="s">
        <v>1468</v>
      </c>
      <c r="D279" s="162" t="s">
        <v>1006</v>
      </c>
      <c r="E279" s="163">
        <f>2.5*2.5*(3.8-1-0.21)</f>
        <v>16.1875</v>
      </c>
      <c r="F279" s="84"/>
      <c r="G279" s="84" t="s">
        <v>1469</v>
      </c>
      <c r="H279" s="84"/>
      <c r="I279" s="84"/>
      <c r="J279" s="85"/>
    </row>
    <row r="280" spans="1:10" ht="25.5">
      <c r="A280" s="160"/>
      <c r="B280" s="170" t="s">
        <v>1318</v>
      </c>
      <c r="C280" s="170" t="s">
        <v>1470</v>
      </c>
      <c r="D280" s="171" t="s">
        <v>1006</v>
      </c>
      <c r="E280" s="172">
        <f>2*2*(4.5-1)</f>
        <v>14</v>
      </c>
      <c r="F280" s="84"/>
      <c r="G280" s="84"/>
      <c r="H280" s="84"/>
      <c r="I280" s="84"/>
      <c r="J280" s="85"/>
    </row>
    <row r="281" spans="1:10" ht="25.5">
      <c r="A281" s="160"/>
      <c r="B281" s="170" t="s">
        <v>1320</v>
      </c>
      <c r="C281" s="170" t="s">
        <v>1471</v>
      </c>
      <c r="D281" s="171" t="s">
        <v>1006</v>
      </c>
      <c r="E281" s="172">
        <f>1.7*2*(5-1)</f>
        <v>13.6</v>
      </c>
      <c r="F281" s="84"/>
      <c r="G281" s="84"/>
      <c r="H281" s="84"/>
      <c r="I281" s="84"/>
      <c r="J281" s="85"/>
    </row>
    <row r="282" spans="1:10" ht="25.5">
      <c r="A282" s="160"/>
      <c r="B282" s="161" t="s">
        <v>1352</v>
      </c>
      <c r="C282" s="161" t="s">
        <v>1472</v>
      </c>
      <c r="D282" s="162" t="s">
        <v>1006</v>
      </c>
      <c r="E282" s="163">
        <f>6*3.5*(4.85-(0.1+0.35))-1.95*1.5*0.35</f>
        <v>91.37624999999998</v>
      </c>
      <c r="F282" s="84"/>
      <c r="G282" s="84" t="s">
        <v>1473</v>
      </c>
      <c r="H282" s="84"/>
      <c r="I282" s="84"/>
      <c r="J282" s="85"/>
    </row>
    <row r="283" spans="1:10" ht="25.5">
      <c r="A283" s="160"/>
      <c r="B283" s="161" t="s">
        <v>1335</v>
      </c>
      <c r="C283" s="161" t="s">
        <v>1474</v>
      </c>
      <c r="D283" s="162" t="s">
        <v>1006</v>
      </c>
      <c r="E283" s="163">
        <f>5*2.5*(3.7-0.1)</f>
        <v>45</v>
      </c>
      <c r="F283" s="84"/>
      <c r="G283" s="84"/>
      <c r="H283" s="84"/>
      <c r="I283" s="84"/>
      <c r="J283" s="85"/>
    </row>
    <row r="284" spans="1:10" ht="12.75">
      <c r="A284" s="160"/>
      <c r="B284" s="161" t="s">
        <v>1322</v>
      </c>
      <c r="C284" s="161" t="s">
        <v>1475</v>
      </c>
      <c r="D284" s="162" t="s">
        <v>1006</v>
      </c>
      <c r="E284" s="163">
        <f>2*2*(3.3-0.1)</f>
        <v>12.799999999999999</v>
      </c>
      <c r="F284" s="84"/>
      <c r="G284" s="84"/>
      <c r="H284" s="84"/>
      <c r="I284" s="84"/>
      <c r="J284" s="85"/>
    </row>
    <row r="285" spans="1:10" ht="12.75">
      <c r="A285" s="160"/>
      <c r="B285" s="161" t="s">
        <v>1324</v>
      </c>
      <c r="C285" s="161" t="s">
        <v>1476</v>
      </c>
      <c r="D285" s="162" t="s">
        <v>1006</v>
      </c>
      <c r="E285" s="163">
        <f>3*2*(3.4-0.1)</f>
        <v>19.799999999999997</v>
      </c>
      <c r="F285" s="84"/>
      <c r="G285" s="84"/>
      <c r="H285" s="84"/>
      <c r="I285" s="84"/>
      <c r="J285" s="85"/>
    </row>
    <row r="286" spans="1:10" ht="12.75">
      <c r="A286" s="160"/>
      <c r="B286" s="161" t="s">
        <v>1326</v>
      </c>
      <c r="C286" s="161" t="s">
        <v>1477</v>
      </c>
      <c r="D286" s="162" t="s">
        <v>1006</v>
      </c>
      <c r="E286" s="163">
        <f>3*2*(3.6-0.1)</f>
        <v>21</v>
      </c>
      <c r="F286" s="84"/>
      <c r="G286" s="84"/>
      <c r="H286" s="84"/>
      <c r="I286" s="84"/>
      <c r="J286" s="85"/>
    </row>
    <row r="287" spans="1:10" ht="12.75">
      <c r="A287" s="160"/>
      <c r="B287" s="161" t="s">
        <v>1478</v>
      </c>
      <c r="C287" s="161" t="s">
        <v>1479</v>
      </c>
      <c r="D287" s="162" t="s">
        <v>1006</v>
      </c>
      <c r="E287" s="163">
        <f>+'[1]Výkaz kubatur'!J170</f>
        <v>14.734499999999942</v>
      </c>
      <c r="F287" s="84"/>
      <c r="G287" s="84"/>
      <c r="H287" s="84"/>
      <c r="I287" s="84"/>
      <c r="J287" s="85"/>
    </row>
    <row r="288" spans="1:10" ht="12.75">
      <c r="A288" s="160"/>
      <c r="B288" s="161"/>
      <c r="C288" s="161" t="s">
        <v>1142</v>
      </c>
      <c r="D288" s="162" t="s">
        <v>1006</v>
      </c>
      <c r="E288" s="163">
        <f>SUM(E279:E287)</f>
        <v>248.49824999999996</v>
      </c>
      <c r="F288" s="84"/>
      <c r="G288" s="84"/>
      <c r="H288" s="84"/>
      <c r="I288" s="84"/>
      <c r="J288" s="85"/>
    </row>
    <row r="289" spans="1:10" ht="12.75">
      <c r="A289" s="160"/>
      <c r="B289" s="161" t="s">
        <v>1480</v>
      </c>
      <c r="C289" s="161"/>
      <c r="D289" s="162"/>
      <c r="E289" s="163"/>
      <c r="F289" s="84"/>
      <c r="G289" s="84"/>
      <c r="H289" s="84"/>
      <c r="I289" s="84"/>
      <c r="J289" s="85"/>
    </row>
    <row r="290" spans="1:10" ht="12.75">
      <c r="A290" s="160"/>
      <c r="B290" s="161" t="s">
        <v>1481</v>
      </c>
      <c r="C290" s="161" t="s">
        <v>1482</v>
      </c>
      <c r="D290" s="162" t="s">
        <v>1006</v>
      </c>
      <c r="E290" s="163">
        <f>3.14*0.4*0.4/4*((3-1.3)*3+4.7)</f>
        <v>1.2308800000000002</v>
      </c>
      <c r="F290" s="84"/>
      <c r="G290" s="84"/>
      <c r="H290" s="84"/>
      <c r="I290" s="84"/>
      <c r="J290" s="85"/>
    </row>
    <row r="291" spans="1:10" ht="12.75">
      <c r="A291" s="160"/>
      <c r="B291" s="161" t="s">
        <v>1483</v>
      </c>
      <c r="C291" s="161" t="s">
        <v>1484</v>
      </c>
      <c r="D291" s="162" t="s">
        <v>1006</v>
      </c>
      <c r="E291" s="163">
        <f>3.14*0.53*0.53/4*(2.5-1.3+2+1.7+4.7-1.3)</f>
        <v>1.8302039500000002</v>
      </c>
      <c r="F291" s="84"/>
      <c r="G291" s="84"/>
      <c r="H291" s="84"/>
      <c r="I291" s="84"/>
      <c r="J291" s="85"/>
    </row>
    <row r="292" spans="1:10" ht="12.75">
      <c r="A292" s="160"/>
      <c r="B292" s="161" t="s">
        <v>1485</v>
      </c>
      <c r="C292" s="161" t="s">
        <v>1486</v>
      </c>
      <c r="D292" s="162" t="s">
        <v>1006</v>
      </c>
      <c r="E292" s="163">
        <f>3.14*1.3*1.3/4*(3.8-1-0.21)</f>
        <v>3.4360235000000006</v>
      </c>
      <c r="F292" s="84"/>
      <c r="G292" s="84"/>
      <c r="H292" s="84"/>
      <c r="I292" s="84"/>
      <c r="J292" s="85"/>
    </row>
    <row r="293" spans="1:10" ht="12.75">
      <c r="A293" s="160"/>
      <c r="B293" s="161" t="s">
        <v>1487</v>
      </c>
      <c r="C293" s="161" t="s">
        <v>1488</v>
      </c>
      <c r="D293" s="162" t="s">
        <v>1006</v>
      </c>
      <c r="E293" s="163">
        <f>3.14*1.3*1.3/4*(4.18-0.1)</f>
        <v>5.412732000000002</v>
      </c>
      <c r="F293" s="84"/>
      <c r="G293" s="84"/>
      <c r="H293" s="84"/>
      <c r="I293" s="84"/>
      <c r="J293" s="85"/>
    </row>
    <row r="294" spans="1:10" ht="12.75">
      <c r="A294" s="160"/>
      <c r="B294" s="161" t="s">
        <v>1489</v>
      </c>
      <c r="C294" s="161" t="s">
        <v>1490</v>
      </c>
      <c r="D294" s="162" t="s">
        <v>1006</v>
      </c>
      <c r="E294" s="163">
        <f>3.14*1.3*1.3/4*(3.3-0.1)</f>
        <v>4.245280000000001</v>
      </c>
      <c r="F294" s="84"/>
      <c r="G294" s="84"/>
      <c r="H294" s="84"/>
      <c r="I294" s="84"/>
      <c r="J294" s="85"/>
    </row>
    <row r="295" spans="1:10" ht="12.75">
      <c r="A295" s="160"/>
      <c r="B295" s="161" t="s">
        <v>1491</v>
      </c>
      <c r="C295" s="161" t="s">
        <v>1492</v>
      </c>
      <c r="D295" s="162" t="s">
        <v>1006</v>
      </c>
      <c r="E295" s="163">
        <f>3.14*1.3*1.3/4*(3.4-0.1)</f>
        <v>4.377945</v>
      </c>
      <c r="F295" s="84"/>
      <c r="G295" s="84"/>
      <c r="H295" s="84"/>
      <c r="I295" s="84"/>
      <c r="J295" s="85"/>
    </row>
    <row r="296" spans="1:10" ht="12.75">
      <c r="A296" s="160"/>
      <c r="B296" s="161" t="s">
        <v>1493</v>
      </c>
      <c r="C296" s="161" t="s">
        <v>1494</v>
      </c>
      <c r="D296" s="162" t="s">
        <v>1006</v>
      </c>
      <c r="E296" s="163">
        <f>3.14*1.3*1.3/4*(3.6-0.1)</f>
        <v>4.643275000000001</v>
      </c>
      <c r="F296" s="84"/>
      <c r="G296" s="84"/>
      <c r="H296" s="84"/>
      <c r="I296" s="84"/>
      <c r="J296" s="85"/>
    </row>
    <row r="297" spans="1:10" ht="12.75">
      <c r="A297" s="160"/>
      <c r="B297" s="161"/>
      <c r="C297" s="161" t="s">
        <v>1142</v>
      </c>
      <c r="D297" s="162" t="s">
        <v>1006</v>
      </c>
      <c r="E297" s="163">
        <f>SUM(E290:E296)</f>
        <v>25.176339450000008</v>
      </c>
      <c r="F297" s="84"/>
      <c r="G297" s="84"/>
      <c r="H297" s="84"/>
      <c r="I297" s="84"/>
      <c r="J297" s="85"/>
    </row>
    <row r="298" spans="1:10" ht="12.75">
      <c r="A298" s="160"/>
      <c r="B298" s="161" t="s">
        <v>1034</v>
      </c>
      <c r="C298" s="161"/>
      <c r="D298" s="162" t="s">
        <v>1006</v>
      </c>
      <c r="E298" s="163">
        <f>+E288-E297</f>
        <v>223.32191054999996</v>
      </c>
      <c r="F298" s="84"/>
      <c r="G298" s="84"/>
      <c r="H298" s="84"/>
      <c r="I298" s="84"/>
      <c r="J298" s="85"/>
    </row>
    <row r="299" spans="1:10" ht="12.75">
      <c r="A299" s="160"/>
      <c r="B299" s="161"/>
      <c r="C299" s="161"/>
      <c r="D299" s="162"/>
      <c r="E299" s="163"/>
      <c r="F299" s="84"/>
      <c r="G299" s="84"/>
      <c r="H299" s="84"/>
      <c r="I299" s="84"/>
      <c r="J299" s="85"/>
    </row>
    <row r="300" spans="1:10" ht="12.75">
      <c r="A300" s="160" t="s">
        <v>1495</v>
      </c>
      <c r="B300" s="161" t="s">
        <v>1496</v>
      </c>
      <c r="C300" s="161"/>
      <c r="D300" s="162" t="s">
        <v>1497</v>
      </c>
      <c r="E300" s="163">
        <v>1500</v>
      </c>
      <c r="F300" s="84"/>
      <c r="G300" s="84"/>
      <c r="H300" s="84"/>
      <c r="I300" s="84"/>
      <c r="J300" s="85"/>
    </row>
    <row r="301" spans="1:10" ht="12.75">
      <c r="A301" s="160"/>
      <c r="B301" s="161" t="s">
        <v>1498</v>
      </c>
      <c r="C301" s="161"/>
      <c r="D301" s="162" t="s">
        <v>1497</v>
      </c>
      <c r="E301" s="163">
        <v>185</v>
      </c>
      <c r="F301" s="84"/>
      <c r="G301" s="84"/>
      <c r="H301" s="84"/>
      <c r="I301" s="84"/>
      <c r="J301" s="85"/>
    </row>
    <row r="302" spans="1:10" ht="12.75">
      <c r="A302" s="160"/>
      <c r="B302" s="161"/>
      <c r="C302" s="161" t="s">
        <v>1142</v>
      </c>
      <c r="D302" s="162" t="s">
        <v>1497</v>
      </c>
      <c r="E302" s="163">
        <f>SUM(E300:E301)</f>
        <v>1685</v>
      </c>
      <c r="F302" s="84"/>
      <c r="G302" s="84"/>
      <c r="H302" s="84"/>
      <c r="I302" s="84"/>
      <c r="J302" s="85"/>
    </row>
    <row r="303" spans="1:10" ht="12.75">
      <c r="A303" s="160"/>
      <c r="B303" s="161"/>
      <c r="C303" s="161"/>
      <c r="D303" s="162"/>
      <c r="E303" s="163"/>
      <c r="F303" s="84"/>
      <c r="G303" s="84"/>
      <c r="H303" s="84"/>
      <c r="I303" s="84"/>
      <c r="J303" s="85"/>
    </row>
    <row r="304" spans="1:10" ht="25.5">
      <c r="A304" s="160" t="s">
        <v>403</v>
      </c>
      <c r="B304" s="161" t="s">
        <v>1499</v>
      </c>
      <c r="C304" s="161" t="s">
        <v>1689</v>
      </c>
      <c r="D304" s="162" t="s">
        <v>1005</v>
      </c>
      <c r="E304" s="163">
        <f>+E49/0.5</f>
        <v>1240</v>
      </c>
      <c r="F304" s="84"/>
      <c r="G304" s="84"/>
      <c r="H304" s="84"/>
      <c r="I304" s="84"/>
      <c r="J304" s="85"/>
    </row>
    <row r="305" spans="1:10" ht="12.75">
      <c r="A305" s="160"/>
      <c r="B305" s="161"/>
      <c r="C305" s="161"/>
      <c r="D305" s="162"/>
      <c r="E305" s="163"/>
      <c r="F305" s="84"/>
      <c r="G305" s="84"/>
      <c r="H305" s="84"/>
      <c r="I305" s="84"/>
      <c r="J305" s="85"/>
    </row>
    <row r="306" spans="1:10" ht="12.75">
      <c r="A306" s="160" t="s">
        <v>409</v>
      </c>
      <c r="B306" s="161" t="s">
        <v>1500</v>
      </c>
      <c r="C306" s="161"/>
      <c r="D306" s="162"/>
      <c r="E306" s="163"/>
      <c r="F306" s="84"/>
      <c r="G306" s="84"/>
      <c r="H306" s="84"/>
      <c r="I306" s="84"/>
      <c r="J306" s="85"/>
    </row>
    <row r="307" spans="1:10" ht="12.75">
      <c r="A307" s="160"/>
      <c r="B307" s="161" t="s">
        <v>1501</v>
      </c>
      <c r="C307" s="161"/>
      <c r="D307" s="162" t="s">
        <v>1006</v>
      </c>
      <c r="E307" s="163">
        <f>+E70</f>
        <v>1129.94554</v>
      </c>
      <c r="F307" s="84"/>
      <c r="G307" s="84"/>
      <c r="H307" s="84"/>
      <c r="I307" s="84"/>
      <c r="J307" s="85"/>
    </row>
    <row r="308" spans="1:10" ht="12.75">
      <c r="A308" s="160"/>
      <c r="B308" s="161" t="s">
        <v>1502</v>
      </c>
      <c r="C308" s="161"/>
      <c r="D308" s="162" t="s">
        <v>1006</v>
      </c>
      <c r="E308" s="163">
        <f>+E77</f>
        <v>279.295</v>
      </c>
      <c r="F308" s="84"/>
      <c r="G308" s="84"/>
      <c r="H308" s="84"/>
      <c r="I308" s="84"/>
      <c r="J308" s="85"/>
    </row>
    <row r="309" spans="1:10" ht="12.75">
      <c r="A309" s="160"/>
      <c r="B309" s="161" t="s">
        <v>1503</v>
      </c>
      <c r="C309" s="161"/>
      <c r="D309" s="162" t="s">
        <v>1006</v>
      </c>
      <c r="E309" s="163">
        <f>+E94</f>
        <v>3639.8152750000004</v>
      </c>
      <c r="F309" s="84"/>
      <c r="G309" s="84"/>
      <c r="H309" s="84"/>
      <c r="I309" s="84"/>
      <c r="J309" s="85"/>
    </row>
    <row r="310" spans="1:10" ht="12.75">
      <c r="A310" s="160"/>
      <c r="B310" s="161" t="s">
        <v>1398</v>
      </c>
      <c r="C310" s="161"/>
      <c r="D310" s="162" t="s">
        <v>1006</v>
      </c>
      <c r="E310" s="163">
        <f>+E104</f>
        <v>124.67</v>
      </c>
      <c r="F310" s="84"/>
      <c r="G310" s="84"/>
      <c r="H310" s="84"/>
      <c r="I310" s="84"/>
      <c r="J310" s="85"/>
    </row>
    <row r="311" spans="1:10" ht="12.75">
      <c r="A311" s="160"/>
      <c r="B311" s="161" t="s">
        <v>1404</v>
      </c>
      <c r="C311" s="161"/>
      <c r="D311" s="162" t="s">
        <v>1006</v>
      </c>
      <c r="E311" s="163">
        <f>+E213</f>
        <v>15.435455000000001</v>
      </c>
      <c r="F311" s="84"/>
      <c r="G311" s="84"/>
      <c r="H311" s="84"/>
      <c r="I311" s="84"/>
      <c r="J311" s="85"/>
    </row>
    <row r="312" spans="1:10" ht="12.75">
      <c r="A312" s="160"/>
      <c r="B312" s="161" t="s">
        <v>1406</v>
      </c>
      <c r="C312" s="161"/>
      <c r="D312" s="162" t="s">
        <v>1006</v>
      </c>
      <c r="E312" s="163">
        <f>+E214</f>
        <v>21.261568000000004</v>
      </c>
      <c r="F312" s="84"/>
      <c r="G312" s="84"/>
      <c r="H312" s="84"/>
      <c r="I312" s="84"/>
      <c r="J312" s="85"/>
    </row>
    <row r="313" spans="1:10" ht="25.5">
      <c r="A313" s="160"/>
      <c r="B313" s="161" t="s">
        <v>1402</v>
      </c>
      <c r="C313" s="161" t="s">
        <v>1403</v>
      </c>
      <c r="D313" s="162" t="s">
        <v>1006</v>
      </c>
      <c r="E313" s="163">
        <f>+((2+1.37)*11+2*(11-2.14))*0.35+1.6*(0.79*0.35+2.33*(0.35+1.35)/2)</f>
        <v>22.787699999999997</v>
      </c>
      <c r="F313" s="84"/>
      <c r="G313" s="84"/>
      <c r="H313" s="84"/>
      <c r="I313" s="84"/>
      <c r="J313" s="85"/>
    </row>
    <row r="314" spans="1:10" ht="12.75">
      <c r="A314" s="160"/>
      <c r="B314" s="161"/>
      <c r="C314" s="161" t="s">
        <v>1142</v>
      </c>
      <c r="D314" s="162" t="s">
        <v>1006</v>
      </c>
      <c r="E314" s="163">
        <f>SUM(E307:E313)</f>
        <v>5233.210538</v>
      </c>
      <c r="F314" s="84"/>
      <c r="G314" s="84"/>
      <c r="H314" s="84"/>
      <c r="I314" s="84"/>
      <c r="J314" s="85"/>
    </row>
    <row r="315" spans="1:10" ht="12.75">
      <c r="A315" s="160"/>
      <c r="B315" s="161" t="s">
        <v>1504</v>
      </c>
      <c r="C315" s="161"/>
      <c r="D315" s="162" t="s">
        <v>1006</v>
      </c>
      <c r="E315" s="163">
        <f>+E211</f>
        <v>949.0285200000001</v>
      </c>
      <c r="F315" s="84"/>
      <c r="G315" s="84"/>
      <c r="H315" s="84"/>
      <c r="I315" s="84"/>
      <c r="J315" s="85"/>
    </row>
    <row r="316" spans="1:10" ht="12.75">
      <c r="A316" s="160"/>
      <c r="B316" s="161"/>
      <c r="C316" s="161" t="s">
        <v>1034</v>
      </c>
      <c r="D316" s="162" t="s">
        <v>1006</v>
      </c>
      <c r="E316" s="163">
        <f>+E314-E315</f>
        <v>4284.182018</v>
      </c>
      <c r="F316" s="84"/>
      <c r="G316" s="84"/>
      <c r="H316" s="84"/>
      <c r="I316" s="84"/>
      <c r="J316" s="85"/>
    </row>
    <row r="317" spans="1:10" ht="12.75">
      <c r="A317" s="160"/>
      <c r="B317" s="161"/>
      <c r="C317" s="161" t="s">
        <v>1034</v>
      </c>
      <c r="D317" s="162" t="s">
        <v>1011</v>
      </c>
      <c r="E317" s="163">
        <f>+E316*1.6</f>
        <v>6854.691228800001</v>
      </c>
      <c r="F317" s="84"/>
      <c r="G317" s="84"/>
      <c r="H317" s="84"/>
      <c r="I317" s="84"/>
      <c r="J317" s="85"/>
    </row>
    <row r="318" spans="1:10" ht="12.75">
      <c r="A318" s="160"/>
      <c r="B318" s="161"/>
      <c r="C318" s="161"/>
      <c r="D318" s="162"/>
      <c r="E318" s="163"/>
      <c r="F318" s="84"/>
      <c r="G318" s="84"/>
      <c r="H318" s="84"/>
      <c r="I318" s="84"/>
      <c r="J318" s="85"/>
    </row>
    <row r="319" spans="1:10" ht="12.75">
      <c r="A319" s="184" t="s">
        <v>1505</v>
      </c>
      <c r="B319" s="185" t="s">
        <v>1506</v>
      </c>
      <c r="C319" s="161"/>
      <c r="D319" s="162"/>
      <c r="E319" s="163"/>
      <c r="F319" s="84"/>
      <c r="G319" s="84"/>
      <c r="H319" s="84"/>
      <c r="I319" s="84"/>
      <c r="J319" s="85"/>
    </row>
    <row r="320" spans="1:10" ht="12.75">
      <c r="A320" s="160" t="s">
        <v>424</v>
      </c>
      <c r="B320" s="161" t="s">
        <v>1507</v>
      </c>
      <c r="C320" s="161"/>
      <c r="D320" s="162"/>
      <c r="E320" s="163"/>
      <c r="F320" s="84"/>
      <c r="G320" s="84"/>
      <c r="H320" s="84"/>
      <c r="I320" s="84"/>
      <c r="J320" s="85"/>
    </row>
    <row r="321" spans="1:10" ht="12.75">
      <c r="A321" s="160"/>
      <c r="B321" s="161" t="s">
        <v>1508</v>
      </c>
      <c r="C321" s="161"/>
      <c r="D321" s="162"/>
      <c r="E321" s="163"/>
      <c r="F321" s="84"/>
      <c r="G321" s="84"/>
      <c r="H321" s="84"/>
      <c r="I321" s="84"/>
      <c r="J321" s="85"/>
    </row>
    <row r="322" spans="1:10" ht="12.75">
      <c r="A322" s="160"/>
      <c r="B322" s="161" t="s">
        <v>1442</v>
      </c>
      <c r="C322" s="161" t="s">
        <v>1509</v>
      </c>
      <c r="D322" s="162" t="s">
        <v>1006</v>
      </c>
      <c r="E322" s="163">
        <f>+((220.3-(0.65+5.5*2.5))*0.1*1)</f>
        <v>20.590000000000003</v>
      </c>
      <c r="F322" s="84"/>
      <c r="G322" s="84"/>
      <c r="H322" s="84"/>
      <c r="I322" s="84"/>
      <c r="J322" s="85"/>
    </row>
    <row r="323" spans="1:10" ht="12.75">
      <c r="A323" s="186"/>
      <c r="B323" s="161" t="s">
        <v>1445</v>
      </c>
      <c r="C323" s="161" t="s">
        <v>1510</v>
      </c>
      <c r="D323" s="162" t="s">
        <v>1006</v>
      </c>
      <c r="E323" s="187">
        <f>+(479.53-(192+5+6.5*2.5+3*3))*0.1*1.1</f>
        <v>28.3008</v>
      </c>
      <c r="F323" s="84"/>
      <c r="G323" s="84"/>
      <c r="H323" s="84"/>
      <c r="I323" s="98"/>
      <c r="J323" s="85"/>
    </row>
    <row r="324" spans="1:10" ht="12.75">
      <c r="A324" s="186"/>
      <c r="B324" s="161" t="s">
        <v>1447</v>
      </c>
      <c r="C324" s="161" t="s">
        <v>1511</v>
      </c>
      <c r="D324" s="162" t="s">
        <v>1006</v>
      </c>
      <c r="E324" s="187">
        <f>+(444.75-(70.5+8.5*2.5+3.5))*0.1*1.2</f>
        <v>41.940000000000005</v>
      </c>
      <c r="F324" s="84"/>
      <c r="G324" s="84"/>
      <c r="H324" s="84"/>
      <c r="I324" s="98"/>
      <c r="J324" s="85"/>
    </row>
    <row r="325" spans="1:10" ht="12.75">
      <c r="A325" s="186"/>
      <c r="B325" s="161" t="s">
        <v>1450</v>
      </c>
      <c r="C325" s="161" t="s">
        <v>1512</v>
      </c>
      <c r="D325" s="162" t="s">
        <v>1006</v>
      </c>
      <c r="E325" s="187">
        <f>+(265-(30.5+7.5*2.5+2))*0.1*1.3</f>
        <v>27.7875</v>
      </c>
      <c r="F325" s="84"/>
      <c r="G325" s="84"/>
      <c r="H325" s="84"/>
      <c r="I325" s="98"/>
      <c r="J325" s="85"/>
    </row>
    <row r="326" spans="1:10" ht="12.75">
      <c r="A326" s="188"/>
      <c r="B326" s="161" t="s">
        <v>1513</v>
      </c>
      <c r="C326" s="189"/>
      <c r="D326" s="190"/>
      <c r="E326" s="191"/>
      <c r="F326" s="95"/>
      <c r="G326" s="95"/>
      <c r="H326" s="95"/>
      <c r="I326" s="96"/>
      <c r="J326" s="85"/>
    </row>
    <row r="327" spans="1:10" ht="12.75">
      <c r="A327" s="188"/>
      <c r="B327" s="161" t="s">
        <v>1514</v>
      </c>
      <c r="C327" s="192" t="s">
        <v>1515</v>
      </c>
      <c r="D327" s="162" t="s">
        <v>1006</v>
      </c>
      <c r="E327" s="193">
        <f>2.5*2.5*0.21</f>
        <v>1.3125</v>
      </c>
      <c r="F327" s="95"/>
      <c r="G327" s="95"/>
      <c r="H327" s="95"/>
      <c r="I327" s="96"/>
      <c r="J327" s="85"/>
    </row>
    <row r="328" spans="1:10" ht="12.75">
      <c r="A328" s="194"/>
      <c r="B328" s="161" t="s">
        <v>1516</v>
      </c>
      <c r="C328" s="183" t="s">
        <v>1517</v>
      </c>
      <c r="D328" s="162" t="s">
        <v>1006</v>
      </c>
      <c r="E328" s="195">
        <f>6*3.5*0.15</f>
        <v>3.15</v>
      </c>
      <c r="F328" s="87"/>
      <c r="G328" s="87" t="s">
        <v>1518</v>
      </c>
      <c r="H328" s="87"/>
      <c r="I328" s="87"/>
      <c r="J328" s="87"/>
    </row>
    <row r="329" spans="1:10" ht="12.75">
      <c r="A329" s="194"/>
      <c r="B329" s="161" t="s">
        <v>1519</v>
      </c>
      <c r="C329" s="183" t="s">
        <v>1520</v>
      </c>
      <c r="D329" s="162" t="s">
        <v>1006</v>
      </c>
      <c r="E329" s="195">
        <f>+(2*6+2.5)*0.5*0.2</f>
        <v>1.4500000000000002</v>
      </c>
      <c r="F329" s="87"/>
      <c r="G329" s="87" t="s">
        <v>1521</v>
      </c>
      <c r="H329" s="87"/>
      <c r="I329" s="87"/>
      <c r="J329" s="87"/>
    </row>
    <row r="330" spans="1:7" ht="12.75">
      <c r="A330" s="194"/>
      <c r="B330" s="161" t="s">
        <v>1522</v>
      </c>
      <c r="C330" s="161"/>
      <c r="D330" s="162" t="s">
        <v>1006</v>
      </c>
      <c r="E330" s="163"/>
      <c r="G330" s="87" t="s">
        <v>1523</v>
      </c>
    </row>
    <row r="331" spans="1:5" ht="12.75">
      <c r="A331" s="194"/>
      <c r="B331" s="161" t="s">
        <v>1524</v>
      </c>
      <c r="C331" s="161" t="s">
        <v>1525</v>
      </c>
      <c r="D331" s="162" t="s">
        <v>1006</v>
      </c>
      <c r="E331" s="163">
        <f>5*2.5*0.88</f>
        <v>11</v>
      </c>
    </row>
    <row r="332" spans="1:5" ht="12.75">
      <c r="A332" s="194"/>
      <c r="B332" s="161" t="s">
        <v>1526</v>
      </c>
      <c r="C332" s="192" t="s">
        <v>1527</v>
      </c>
      <c r="D332" s="162" t="s">
        <v>1006</v>
      </c>
      <c r="E332" s="163">
        <f>+(2*2*0.34)</f>
        <v>1.36</v>
      </c>
    </row>
    <row r="333" spans="1:7" ht="12.75">
      <c r="A333" s="194"/>
      <c r="B333" s="161" t="s">
        <v>1528</v>
      </c>
      <c r="C333" s="161" t="s">
        <v>1529</v>
      </c>
      <c r="D333" s="162" t="s">
        <v>1006</v>
      </c>
      <c r="E333" s="163">
        <f>7*3.5*0.15</f>
        <v>3.675</v>
      </c>
      <c r="G333" s="87" t="s">
        <v>1530</v>
      </c>
    </row>
    <row r="334" spans="1:7" ht="12.75">
      <c r="A334" s="194"/>
      <c r="B334" s="161" t="s">
        <v>1531</v>
      </c>
      <c r="C334" s="161" t="s">
        <v>1532</v>
      </c>
      <c r="D334" s="162" t="s">
        <v>1006</v>
      </c>
      <c r="E334" s="163">
        <f>+(2*7*0.25+3*0.8)*0.2</f>
        <v>1.1800000000000002</v>
      </c>
      <c r="G334" s="87" t="s">
        <v>1533</v>
      </c>
    </row>
    <row r="335" spans="1:5" ht="12.75">
      <c r="A335" s="194"/>
      <c r="B335" s="183"/>
      <c r="C335" s="183" t="s">
        <v>1142</v>
      </c>
      <c r="D335" s="162" t="s">
        <v>1006</v>
      </c>
      <c r="E335" s="196">
        <f>SUM(E322:E334)</f>
        <v>141.74580000000003</v>
      </c>
    </row>
    <row r="336" spans="1:5" ht="12.75">
      <c r="A336" s="194"/>
      <c r="B336" s="183"/>
      <c r="C336" s="183"/>
      <c r="D336" s="183"/>
      <c r="E336" s="197"/>
    </row>
    <row r="337" spans="1:5" ht="12.75">
      <c r="A337" s="194" t="s">
        <v>427</v>
      </c>
      <c r="B337" s="183" t="s">
        <v>1534</v>
      </c>
      <c r="C337" s="183"/>
      <c r="D337" s="198"/>
      <c r="E337" s="197"/>
    </row>
    <row r="338" spans="1:5" ht="12.75">
      <c r="A338" s="194"/>
      <c r="B338" s="161" t="s">
        <v>1535</v>
      </c>
      <c r="C338" s="183"/>
      <c r="D338" s="183"/>
      <c r="E338" s="197"/>
    </row>
    <row r="339" spans="1:5" ht="12.75">
      <c r="A339" s="194"/>
      <c r="B339" s="161" t="s">
        <v>1442</v>
      </c>
      <c r="C339" s="161" t="s">
        <v>1536</v>
      </c>
      <c r="D339" s="162" t="s">
        <v>1006</v>
      </c>
      <c r="E339" s="199">
        <f>+(1.5*1.5*6*0.1)</f>
        <v>1.35</v>
      </c>
    </row>
    <row r="340" spans="1:5" ht="12.75">
      <c r="A340" s="194"/>
      <c r="B340" s="161" t="s">
        <v>1445</v>
      </c>
      <c r="C340" s="161" t="s">
        <v>1537</v>
      </c>
      <c r="D340" s="162" t="s">
        <v>1006</v>
      </c>
      <c r="E340" s="199">
        <f>1.5*1.5*9*0.1</f>
        <v>2.025</v>
      </c>
    </row>
    <row r="341" spans="1:5" ht="12.75">
      <c r="A341" s="194"/>
      <c r="B341" s="161" t="s">
        <v>1447</v>
      </c>
      <c r="C341" s="161" t="s">
        <v>1538</v>
      </c>
      <c r="D341" s="162" t="s">
        <v>1006</v>
      </c>
      <c r="E341" s="199">
        <f>2.9*2.9*0.15+1.5*1.5*8*0.1</f>
        <v>3.0615</v>
      </c>
    </row>
    <row r="342" spans="1:5" ht="12.75">
      <c r="A342" s="194"/>
      <c r="B342" s="161" t="s">
        <v>1450</v>
      </c>
      <c r="C342" s="161" t="s">
        <v>1539</v>
      </c>
      <c r="D342" s="162" t="s">
        <v>1006</v>
      </c>
      <c r="E342" s="199">
        <f>1.7*1.7*0.1+1.5*1.5*7*0.1</f>
        <v>1.864</v>
      </c>
    </row>
    <row r="343" spans="1:5" ht="12.75">
      <c r="A343" s="194"/>
      <c r="B343" s="161" t="s">
        <v>1540</v>
      </c>
      <c r="C343" s="161" t="s">
        <v>1541</v>
      </c>
      <c r="D343" s="162" t="s">
        <v>1006</v>
      </c>
      <c r="E343" s="199">
        <f>2.2*2.7*0.15</f>
        <v>0.8910000000000001</v>
      </c>
    </row>
    <row r="344" spans="1:5" ht="12.75">
      <c r="A344" s="194"/>
      <c r="B344" s="161" t="s">
        <v>1542</v>
      </c>
      <c r="C344" s="161" t="s">
        <v>1543</v>
      </c>
      <c r="D344" s="162" t="s">
        <v>1006</v>
      </c>
      <c r="E344" s="199">
        <f>+(5.3*2.5*0.2)</f>
        <v>2.6500000000000004</v>
      </c>
    </row>
    <row r="345" spans="1:5" ht="12.75">
      <c r="A345" s="194"/>
      <c r="B345" s="161" t="s">
        <v>1544</v>
      </c>
      <c r="C345" s="161" t="s">
        <v>1545</v>
      </c>
      <c r="D345" s="162" t="s">
        <v>1006</v>
      </c>
      <c r="E345" s="199">
        <f>2*1.5*0.25</f>
        <v>0.75</v>
      </c>
    </row>
    <row r="346" spans="1:5" ht="12.75">
      <c r="A346" s="194"/>
      <c r="B346" s="183"/>
      <c r="C346" s="183" t="s">
        <v>1142</v>
      </c>
      <c r="D346" s="162" t="s">
        <v>1006</v>
      </c>
      <c r="E346" s="199">
        <f>SUM(E339:E345)</f>
        <v>12.591500000000002</v>
      </c>
    </row>
    <row r="347" spans="1:5" ht="12.75">
      <c r="A347" s="194"/>
      <c r="B347" s="183"/>
      <c r="C347" s="183"/>
      <c r="D347" s="162"/>
      <c r="E347" s="199"/>
    </row>
    <row r="348" spans="1:5" ht="12.75">
      <c r="A348" s="194" t="s">
        <v>428</v>
      </c>
      <c r="B348" s="183" t="s">
        <v>1546</v>
      </c>
      <c r="C348" s="183"/>
      <c r="D348" s="162"/>
      <c r="E348" s="199"/>
    </row>
    <row r="349" spans="1:5" ht="12.75">
      <c r="A349" s="194"/>
      <c r="B349" s="161" t="s">
        <v>1547</v>
      </c>
      <c r="C349" s="183" t="s">
        <v>1548</v>
      </c>
      <c r="D349" s="162" t="s">
        <v>1006</v>
      </c>
      <c r="E349" s="199">
        <f>0.324*4.7</f>
        <v>1.5228000000000002</v>
      </c>
    </row>
    <row r="350" spans="1:5" ht="12.75">
      <c r="A350" s="194"/>
      <c r="B350" s="161" t="s">
        <v>1549</v>
      </c>
      <c r="C350" s="183" t="s">
        <v>1550</v>
      </c>
      <c r="D350" s="162" t="s">
        <v>1006</v>
      </c>
      <c r="E350" s="199">
        <f>+(1.43-3.14*0.63*0.63/4)*2.13</f>
        <v>2.3822633549999996</v>
      </c>
    </row>
    <row r="351" spans="1:5" ht="12.75">
      <c r="A351" s="194"/>
      <c r="B351" s="183"/>
      <c r="C351" s="183" t="s">
        <v>1142</v>
      </c>
      <c r="D351" s="162" t="s">
        <v>1006</v>
      </c>
      <c r="E351" s="199">
        <f>SUM(E349:E350)</f>
        <v>3.905063355</v>
      </c>
    </row>
    <row r="352" spans="1:5" ht="12.75">
      <c r="A352" s="194"/>
      <c r="B352" s="183"/>
      <c r="C352" s="183"/>
      <c r="D352" s="162"/>
      <c r="E352" s="199"/>
    </row>
    <row r="353" spans="1:5" ht="12.75">
      <c r="A353" s="194" t="s">
        <v>429</v>
      </c>
      <c r="B353" s="183" t="s">
        <v>1551</v>
      </c>
      <c r="C353" s="183"/>
      <c r="D353" s="162"/>
      <c r="E353" s="199"/>
    </row>
    <row r="354" spans="1:5" ht="12.75">
      <c r="A354" s="194"/>
      <c r="B354" s="161" t="s">
        <v>1552</v>
      </c>
      <c r="C354" s="183" t="s">
        <v>1553</v>
      </c>
      <c r="D354" s="162" t="s">
        <v>1006</v>
      </c>
      <c r="E354" s="199">
        <f>+(0.5*0.8-0.15*0.18)*1.03</f>
        <v>0.38419000000000003</v>
      </c>
    </row>
    <row r="355" spans="1:5" ht="12.75">
      <c r="A355" s="194"/>
      <c r="B355" s="183"/>
      <c r="C355" s="183"/>
      <c r="D355" s="162"/>
      <c r="E355" s="199"/>
    </row>
    <row r="356" spans="1:5" ht="12.75">
      <c r="A356" s="194" t="s">
        <v>430</v>
      </c>
      <c r="B356" s="183" t="s">
        <v>772</v>
      </c>
      <c r="C356" s="183"/>
      <c r="D356" s="162"/>
      <c r="E356" s="199"/>
    </row>
    <row r="357" spans="1:5" ht="12.75">
      <c r="A357" s="194"/>
      <c r="B357" s="161" t="s">
        <v>1442</v>
      </c>
      <c r="C357" s="161" t="s">
        <v>1554</v>
      </c>
      <c r="D357" s="162" t="s">
        <v>1005</v>
      </c>
      <c r="E357" s="196">
        <f>+(1.5*4*0.1*6)</f>
        <v>3.6000000000000005</v>
      </c>
    </row>
    <row r="358" spans="1:5" ht="12.75">
      <c r="A358" s="194"/>
      <c r="B358" s="161" t="s">
        <v>1445</v>
      </c>
      <c r="C358" s="161" t="s">
        <v>1555</v>
      </c>
      <c r="D358" s="162" t="s">
        <v>1005</v>
      </c>
      <c r="E358" s="176">
        <f>1.5*4*0.1*9</f>
        <v>5.4</v>
      </c>
    </row>
    <row r="359" spans="1:5" ht="12.75">
      <c r="A359" s="194"/>
      <c r="B359" s="161" t="s">
        <v>1447</v>
      </c>
      <c r="C359" s="161" t="s">
        <v>1556</v>
      </c>
      <c r="D359" s="162" t="s">
        <v>1005</v>
      </c>
      <c r="E359" s="176">
        <f>+(2.9*4*0.15+1.5*4*0.1*9)</f>
        <v>7.140000000000001</v>
      </c>
    </row>
    <row r="360" spans="1:5" ht="12.75">
      <c r="A360" s="194"/>
      <c r="B360" s="161" t="s">
        <v>1450</v>
      </c>
      <c r="C360" s="161" t="s">
        <v>1557</v>
      </c>
      <c r="D360" s="162" t="s">
        <v>1005</v>
      </c>
      <c r="E360" s="176">
        <f>+(1.7*4*0.1+1.5*4*0.1*7)</f>
        <v>4.880000000000001</v>
      </c>
    </row>
    <row r="361" spans="1:5" ht="12.75">
      <c r="A361" s="194"/>
      <c r="B361" s="161" t="s">
        <v>1540</v>
      </c>
      <c r="C361" s="161" t="s">
        <v>1541</v>
      </c>
      <c r="D361" s="162" t="s">
        <v>1005</v>
      </c>
      <c r="E361" s="176">
        <f>+(2.2*2.7*0.15)</f>
        <v>0.8910000000000001</v>
      </c>
    </row>
    <row r="362" spans="1:5" ht="12.75">
      <c r="A362" s="194"/>
      <c r="B362" s="161" t="s">
        <v>1547</v>
      </c>
      <c r="C362" s="183" t="s">
        <v>1558</v>
      </c>
      <c r="D362" s="162" t="s">
        <v>1005</v>
      </c>
      <c r="E362" s="176">
        <f>+(0.625*2*4.7)</f>
        <v>5.875</v>
      </c>
    </row>
    <row r="363" spans="1:5" ht="12.75">
      <c r="A363" s="194"/>
      <c r="B363" s="161" t="s">
        <v>1549</v>
      </c>
      <c r="C363" s="183" t="s">
        <v>1559</v>
      </c>
      <c r="D363" s="162" t="s">
        <v>1005</v>
      </c>
      <c r="E363" s="176">
        <f>+(1.2*2*2.15+1.2*1.2)</f>
        <v>6.6</v>
      </c>
    </row>
    <row r="364" spans="1:5" ht="12.75">
      <c r="A364" s="194"/>
      <c r="B364" s="161" t="s">
        <v>1552</v>
      </c>
      <c r="C364" s="183" t="s">
        <v>1560</v>
      </c>
      <c r="D364" s="162" t="s">
        <v>1005</v>
      </c>
      <c r="E364" s="176">
        <f>+(0.8+0.62+0.18)*1.03+(0.5*0.8-0.15*0.18)*2</f>
        <v>2.394</v>
      </c>
    </row>
    <row r="365" spans="1:5" ht="12.75">
      <c r="A365" s="194"/>
      <c r="B365" s="161" t="s">
        <v>1542</v>
      </c>
      <c r="C365" s="161" t="s">
        <v>1561</v>
      </c>
      <c r="D365" s="162" t="s">
        <v>1005</v>
      </c>
      <c r="E365" s="176">
        <f>+(5.3*2+2.5)*0.2</f>
        <v>2.62</v>
      </c>
    </row>
    <row r="366" spans="1:5" ht="12.75">
      <c r="A366" s="194"/>
      <c r="B366" s="161" t="s">
        <v>1544</v>
      </c>
      <c r="C366" s="161" t="s">
        <v>1562</v>
      </c>
      <c r="D366" s="162" t="s">
        <v>1005</v>
      </c>
      <c r="E366" s="176">
        <f>+(2*2+1.5)*0.25</f>
        <v>1.375</v>
      </c>
    </row>
    <row r="367" spans="1:5" ht="12.75">
      <c r="A367" s="194"/>
      <c r="B367" s="183"/>
      <c r="C367" s="183" t="s">
        <v>1142</v>
      </c>
      <c r="D367" s="162" t="s">
        <v>1005</v>
      </c>
      <c r="E367" s="196">
        <f>SUM(E357:E366)</f>
        <v>40.775</v>
      </c>
    </row>
    <row r="368" spans="1:5" ht="12.75">
      <c r="A368" s="194"/>
      <c r="B368" s="183"/>
      <c r="C368" s="183"/>
      <c r="D368" s="162"/>
      <c r="E368" s="199"/>
    </row>
    <row r="369" spans="1:5" ht="12.75">
      <c r="A369" s="194" t="s">
        <v>431</v>
      </c>
      <c r="B369" s="183" t="s">
        <v>1563</v>
      </c>
      <c r="C369" s="183"/>
      <c r="D369" s="162"/>
      <c r="E369" s="199"/>
    </row>
    <row r="370" spans="1:5" ht="12.75">
      <c r="A370" s="194"/>
      <c r="B370" s="161" t="s">
        <v>1564</v>
      </c>
      <c r="C370" s="183" t="s">
        <v>1565</v>
      </c>
      <c r="D370" s="162" t="s">
        <v>1011</v>
      </c>
      <c r="E370" s="199">
        <f>2.5*2.5*2*4.44/1000</f>
        <v>0.05550000000000001</v>
      </c>
    </row>
    <row r="371" spans="1:5" ht="12.75">
      <c r="A371" s="194"/>
      <c r="B371" s="183"/>
      <c r="C371" s="183"/>
      <c r="D371" s="183"/>
      <c r="E371" s="197"/>
    </row>
    <row r="372" spans="1:5" ht="12.75">
      <c r="A372" s="194" t="s">
        <v>434</v>
      </c>
      <c r="B372" s="88" t="s">
        <v>1566</v>
      </c>
      <c r="C372" s="183"/>
      <c r="D372" s="183"/>
      <c r="E372" s="197"/>
    </row>
    <row r="373" spans="1:5" ht="12.75">
      <c r="A373" s="194"/>
      <c r="B373" s="89" t="s">
        <v>1567</v>
      </c>
      <c r="C373" s="183" t="s">
        <v>1568</v>
      </c>
      <c r="D373" s="162" t="s">
        <v>1011</v>
      </c>
      <c r="E373" s="196">
        <f>+(26.6+18.4+22+2.6+3.4+2.2)*1.2*0.3*1.93</f>
        <v>52.24896</v>
      </c>
    </row>
    <row r="374" spans="1:5" ht="12.75">
      <c r="A374" s="194"/>
      <c r="B374" s="89" t="s">
        <v>1569</v>
      </c>
      <c r="C374" s="183" t="s">
        <v>1570</v>
      </c>
      <c r="D374" s="162" t="s">
        <v>1011</v>
      </c>
      <c r="E374" s="196">
        <f>+(4.3+15.8+7.3+48.5+48.5+54+69.7+2.6)*1.1*0.3*1.93</f>
        <v>159.67083000000002</v>
      </c>
    </row>
    <row r="375" spans="1:5" ht="12.75">
      <c r="A375" s="194"/>
      <c r="B375" s="89" t="s">
        <v>1571</v>
      </c>
      <c r="C375" s="183" t="s">
        <v>1572</v>
      </c>
      <c r="D375" s="162" t="s">
        <v>1011</v>
      </c>
      <c r="E375" s="196">
        <f>+(21.5*1*0.3*1.93)</f>
        <v>12.4485</v>
      </c>
    </row>
    <row r="376" spans="1:7" ht="12.75">
      <c r="A376" s="194"/>
      <c r="B376" s="89" t="s">
        <v>1573</v>
      </c>
      <c r="C376" s="183" t="s">
        <v>1574</v>
      </c>
      <c r="D376" s="162" t="s">
        <v>1011</v>
      </c>
      <c r="E376" s="196">
        <f>+(2.5*2.5*7)*0.3*1.93</f>
        <v>25.33125</v>
      </c>
      <c r="G376" t="s">
        <v>1575</v>
      </c>
    </row>
    <row r="377" spans="1:5" ht="12.75">
      <c r="A377" s="194"/>
      <c r="B377" s="89"/>
      <c r="C377" s="183" t="s">
        <v>1142</v>
      </c>
      <c r="D377" s="162" t="s">
        <v>1011</v>
      </c>
      <c r="E377" s="196">
        <f>SUM(E373:E376)</f>
        <v>249.69954000000004</v>
      </c>
    </row>
    <row r="378" spans="1:5" ht="12.75">
      <c r="A378" s="194"/>
      <c r="B378" s="183"/>
      <c r="C378" s="183"/>
      <c r="D378" s="183"/>
      <c r="E378" s="196"/>
    </row>
    <row r="379" spans="1:5" ht="12.75">
      <c r="A379" s="194" t="s">
        <v>435</v>
      </c>
      <c r="B379" s="88" t="s">
        <v>779</v>
      </c>
      <c r="C379" s="183"/>
      <c r="D379" s="183"/>
      <c r="E379" s="196"/>
    </row>
    <row r="380" spans="1:5" ht="12.75">
      <c r="A380" s="194"/>
      <c r="B380" s="89" t="s">
        <v>1576</v>
      </c>
      <c r="C380" s="88" t="s">
        <v>1577</v>
      </c>
      <c r="D380" s="162" t="s">
        <v>1011</v>
      </c>
      <c r="E380" s="200">
        <f>+(26.6+18.4+22)*1.2*0.05*2.32</f>
        <v>9.326399999999998</v>
      </c>
    </row>
    <row r="381" spans="1:5" ht="12.75">
      <c r="A381" s="194"/>
      <c r="B381" s="89" t="s">
        <v>1569</v>
      </c>
      <c r="C381" s="88" t="s">
        <v>1578</v>
      </c>
      <c r="D381" s="162" t="s">
        <v>1011</v>
      </c>
      <c r="E381" s="200">
        <f>+(4.3+15.8+7.3+48.5+48.5+54+69.7+2.6)*1.1*0.05*2.32</f>
        <v>31.989320000000003</v>
      </c>
    </row>
    <row r="382" spans="1:5" ht="12.75">
      <c r="A382" s="194"/>
      <c r="B382" s="89" t="s">
        <v>1571</v>
      </c>
      <c r="C382" s="88" t="s">
        <v>1579</v>
      </c>
      <c r="D382" s="162" t="s">
        <v>1011</v>
      </c>
      <c r="E382" s="200">
        <f>+(21.5*1+1.4*0.5)*0.05*2.32</f>
        <v>2.5752</v>
      </c>
    </row>
    <row r="383" spans="1:5" ht="12.75">
      <c r="A383" s="194"/>
      <c r="B383" s="89" t="s">
        <v>1573</v>
      </c>
      <c r="C383" s="88" t="s">
        <v>1580</v>
      </c>
      <c r="D383" s="162" t="s">
        <v>1011</v>
      </c>
      <c r="E383" s="200">
        <f>+(2.5*2.5*7)*0.05*2.32</f>
        <v>5.074999999999999</v>
      </c>
    </row>
    <row r="384" spans="1:5" ht="12.75">
      <c r="A384" s="194"/>
      <c r="B384" s="89" t="s">
        <v>1581</v>
      </c>
      <c r="C384" s="88" t="s">
        <v>1582</v>
      </c>
      <c r="D384" s="162" t="s">
        <v>1011</v>
      </c>
      <c r="E384" s="200">
        <f>+(6*3.5+5*2.5+3*2*3+5*2.5)*0.05*2.32</f>
        <v>7.4239999999999995</v>
      </c>
    </row>
    <row r="385" spans="1:5" ht="12.75">
      <c r="A385" s="194"/>
      <c r="B385" s="183"/>
      <c r="C385" s="183" t="s">
        <v>1142</v>
      </c>
      <c r="D385" s="162" t="s">
        <v>1011</v>
      </c>
      <c r="E385" s="196">
        <f>SUM(E380:E384)</f>
        <v>56.38992</v>
      </c>
    </row>
    <row r="386" spans="1:5" ht="12.75">
      <c r="A386" s="194"/>
      <c r="B386" s="183"/>
      <c r="C386" s="183"/>
      <c r="D386" s="162"/>
      <c r="E386" s="196"/>
    </row>
    <row r="387" spans="1:5" ht="12.75">
      <c r="A387" s="194" t="s">
        <v>436</v>
      </c>
      <c r="B387" s="183" t="s">
        <v>1583</v>
      </c>
      <c r="C387" s="183"/>
      <c r="D387" s="162"/>
      <c r="E387" s="196"/>
    </row>
    <row r="388" spans="1:5" ht="12.75">
      <c r="A388" s="194"/>
      <c r="B388" s="89" t="s">
        <v>1567</v>
      </c>
      <c r="C388" s="183" t="s">
        <v>1584</v>
      </c>
      <c r="D388" s="162" t="s">
        <v>1005</v>
      </c>
      <c r="E388" s="196">
        <f>+(26.6+18.4+22+2.6+3.4+2.2)*1.2</f>
        <v>90.24</v>
      </c>
    </row>
    <row r="389" spans="1:5" ht="12.75">
      <c r="A389" s="194"/>
      <c r="B389" s="89" t="s">
        <v>1585</v>
      </c>
      <c r="C389" s="183" t="s">
        <v>1586</v>
      </c>
      <c r="D389" s="162" t="s">
        <v>1005</v>
      </c>
      <c r="E389" s="196">
        <f>+(4.3+15.8+7.3+69.9+2.6)*1.1</f>
        <v>109.89000000000001</v>
      </c>
    </row>
    <row r="390" spans="1:5" ht="25.5">
      <c r="A390" s="194"/>
      <c r="B390" s="89" t="s">
        <v>1587</v>
      </c>
      <c r="C390" s="183" t="s">
        <v>1588</v>
      </c>
      <c r="D390" s="162" t="s">
        <v>1005</v>
      </c>
      <c r="E390" s="196">
        <f>645.25-171.38</f>
        <v>473.87</v>
      </c>
    </row>
    <row r="391" spans="1:5" ht="12.75">
      <c r="A391" s="194"/>
      <c r="B391" s="89" t="s">
        <v>1589</v>
      </c>
      <c r="C391" s="183" t="s">
        <v>1590</v>
      </c>
      <c r="D391" s="162" t="s">
        <v>1005</v>
      </c>
      <c r="E391" s="196">
        <f>21.5*1</f>
        <v>21.5</v>
      </c>
    </row>
    <row r="392" spans="1:5" ht="12.75">
      <c r="A392" s="194"/>
      <c r="B392" s="89" t="s">
        <v>1591</v>
      </c>
      <c r="C392" s="183" t="s">
        <v>1592</v>
      </c>
      <c r="D392" s="162" t="s">
        <v>1005</v>
      </c>
      <c r="E392" s="196">
        <f>2.5*2.5*4</f>
        <v>25</v>
      </c>
    </row>
    <row r="393" spans="1:5" ht="12.75">
      <c r="A393" s="194"/>
      <c r="B393" s="89" t="s">
        <v>1581</v>
      </c>
      <c r="C393" s="183" t="s">
        <v>1593</v>
      </c>
      <c r="D393" s="162" t="s">
        <v>1005</v>
      </c>
      <c r="E393" s="196">
        <f>+(6*3.5+5*2.5+3*2*3+5*2.5)</f>
        <v>64</v>
      </c>
    </row>
    <row r="394" spans="1:5" ht="12.75">
      <c r="A394" s="194"/>
      <c r="B394" s="89"/>
      <c r="C394" s="183" t="s">
        <v>1142</v>
      </c>
      <c r="D394" s="162" t="s">
        <v>1005</v>
      </c>
      <c r="E394" s="196">
        <f>SUM(E388:E393)</f>
        <v>784.5</v>
      </c>
    </row>
    <row r="395" spans="1:5" ht="12.75">
      <c r="A395" s="194"/>
      <c r="B395" s="183"/>
      <c r="C395" s="183"/>
      <c r="D395" s="162"/>
      <c r="E395" s="196"/>
    </row>
    <row r="396" spans="1:5" ht="12.75">
      <c r="A396" s="194" t="s">
        <v>438</v>
      </c>
      <c r="B396" s="183" t="s">
        <v>1594</v>
      </c>
      <c r="C396" s="183"/>
      <c r="D396" s="183"/>
      <c r="E396" s="197"/>
    </row>
    <row r="397" spans="1:5" ht="38.25">
      <c r="A397" s="194"/>
      <c r="B397" s="161" t="s">
        <v>1595</v>
      </c>
      <c r="C397" s="183"/>
      <c r="D397" s="183"/>
      <c r="E397" s="197"/>
    </row>
    <row r="398" spans="1:5" ht="12.75">
      <c r="A398" s="194"/>
      <c r="B398" s="161" t="s">
        <v>1596</v>
      </c>
      <c r="C398" s="183"/>
      <c r="D398" s="198" t="s">
        <v>1005</v>
      </c>
      <c r="E398" s="197">
        <v>160</v>
      </c>
    </row>
    <row r="399" spans="1:5" ht="12.75">
      <c r="A399" s="194"/>
      <c r="B399" s="161" t="s">
        <v>1597</v>
      </c>
      <c r="C399" s="183"/>
      <c r="D399" s="198" t="s">
        <v>1005</v>
      </c>
      <c r="E399" s="197">
        <v>316</v>
      </c>
    </row>
    <row r="400" spans="1:5" ht="12.75">
      <c r="A400" s="194"/>
      <c r="B400" s="161" t="s">
        <v>1598</v>
      </c>
      <c r="C400" s="183"/>
      <c r="D400" s="198" t="s">
        <v>1005</v>
      </c>
      <c r="E400" s="197">
        <v>482</v>
      </c>
    </row>
    <row r="401" spans="1:5" ht="12.75">
      <c r="A401" s="194"/>
      <c r="B401" s="161" t="s">
        <v>1599</v>
      </c>
      <c r="C401" s="183"/>
      <c r="D401" s="198" t="s">
        <v>1005</v>
      </c>
      <c r="E401" s="197">
        <v>587</v>
      </c>
    </row>
    <row r="402" spans="1:5" ht="12.75">
      <c r="A402" s="194"/>
      <c r="B402" s="161" t="s">
        <v>1600</v>
      </c>
      <c r="C402" s="183"/>
      <c r="D402" s="198" t="s">
        <v>1005</v>
      </c>
      <c r="E402" s="197">
        <v>165</v>
      </c>
    </row>
    <row r="403" spans="1:5" ht="12.75">
      <c r="A403" s="194"/>
      <c r="B403" s="161" t="s">
        <v>1601</v>
      </c>
      <c r="C403" s="183"/>
      <c r="D403" s="198"/>
      <c r="E403" s="197"/>
    </row>
    <row r="404" spans="1:7" ht="12.75">
      <c r="A404" s="194"/>
      <c r="B404" s="161" t="s">
        <v>1602</v>
      </c>
      <c r="C404" s="183" t="s">
        <v>1603</v>
      </c>
      <c r="D404" s="198" t="s">
        <v>1005</v>
      </c>
      <c r="E404" s="197">
        <f>3*2</f>
        <v>6</v>
      </c>
      <c r="G404" t="s">
        <v>1604</v>
      </c>
    </row>
    <row r="405" spans="1:7" ht="12.75">
      <c r="A405" s="194"/>
      <c r="B405" s="161" t="s">
        <v>1605</v>
      </c>
      <c r="C405" s="183" t="s">
        <v>1606</v>
      </c>
      <c r="D405" s="198" t="s">
        <v>1005</v>
      </c>
      <c r="E405" s="197">
        <f>8*3+3*2</f>
        <v>30</v>
      </c>
      <c r="G405" t="s">
        <v>1607</v>
      </c>
    </row>
    <row r="406" spans="1:5" ht="12.75">
      <c r="A406" s="194"/>
      <c r="B406" s="183"/>
      <c r="C406" s="183" t="s">
        <v>1034</v>
      </c>
      <c r="D406" s="198" t="s">
        <v>1005</v>
      </c>
      <c r="E406" s="197">
        <f>SUM(E398:E405)</f>
        <v>1746</v>
      </c>
    </row>
    <row r="407" spans="1:5" ht="13.5" thickBot="1">
      <c r="A407" s="201"/>
      <c r="B407" s="202"/>
      <c r="C407" s="202"/>
      <c r="D407" s="202"/>
      <c r="E407" s="203"/>
    </row>
    <row r="408" ht="12.75">
      <c r="A408" s="77"/>
    </row>
    <row r="409" ht="12.75">
      <c r="A409" s="77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2"/>
  <sheetViews>
    <sheetView zoomScalePageLayoutView="0" workbookViewId="0" topLeftCell="A1">
      <selection activeCell="H5" sqref="H5"/>
    </sheetView>
  </sheetViews>
  <sheetFormatPr defaultColWidth="9.140625" defaultRowHeight="12.75"/>
  <sheetData>
    <row r="1" spans="1:14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41" t="s">
        <v>1117</v>
      </c>
      <c r="B2" s="41" t="s">
        <v>1118</v>
      </c>
      <c r="C2" s="41" t="s">
        <v>1119</v>
      </c>
      <c r="D2" s="41"/>
      <c r="E2" s="41"/>
      <c r="F2" s="41" t="s">
        <v>1120</v>
      </c>
      <c r="G2" s="41"/>
      <c r="H2" s="41" t="s">
        <v>1121</v>
      </c>
      <c r="I2" s="41" t="s">
        <v>1122</v>
      </c>
      <c r="J2" s="41"/>
      <c r="K2" s="41"/>
      <c r="L2" s="40"/>
      <c r="M2" s="40"/>
      <c r="N2" s="40"/>
    </row>
    <row r="3" spans="1:14" ht="12.75">
      <c r="A3" s="41"/>
      <c r="B3" s="41"/>
      <c r="C3" s="41" t="s">
        <v>1123</v>
      </c>
      <c r="D3" s="41" t="s">
        <v>1124</v>
      </c>
      <c r="E3" s="41" t="s">
        <v>1125</v>
      </c>
      <c r="F3" s="41" t="s">
        <v>1126</v>
      </c>
      <c r="G3" s="41" t="s">
        <v>1127</v>
      </c>
      <c r="H3" s="41" t="s">
        <v>1128</v>
      </c>
      <c r="I3" s="41" t="s">
        <v>1129</v>
      </c>
      <c r="J3" s="41" t="s">
        <v>1130</v>
      </c>
      <c r="K3" s="42" t="s">
        <v>1131</v>
      </c>
      <c r="L3" s="40"/>
      <c r="M3" s="40"/>
      <c r="N3" s="40"/>
    </row>
    <row r="4" spans="1:14" ht="12.75">
      <c r="A4" s="41" t="s">
        <v>1132</v>
      </c>
      <c r="B4" s="41" t="s">
        <v>1133</v>
      </c>
      <c r="C4" s="41" t="s">
        <v>1133</v>
      </c>
      <c r="D4" s="41" t="s">
        <v>1133</v>
      </c>
      <c r="E4" s="41" t="s">
        <v>1133</v>
      </c>
      <c r="F4" s="41" t="s">
        <v>1134</v>
      </c>
      <c r="G4" s="41" t="s">
        <v>1134</v>
      </c>
      <c r="H4" s="41" t="s">
        <v>1133</v>
      </c>
      <c r="I4" s="41" t="s">
        <v>1135</v>
      </c>
      <c r="J4" s="41" t="s">
        <v>1135</v>
      </c>
      <c r="K4" s="41" t="s">
        <v>1135</v>
      </c>
      <c r="L4" s="40"/>
      <c r="M4" s="40"/>
      <c r="N4" s="40"/>
    </row>
    <row r="5" spans="1:14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0"/>
      <c r="M5" s="40"/>
      <c r="N5" s="40"/>
    </row>
    <row r="6" spans="1:14" ht="15">
      <c r="A6" s="43" t="s">
        <v>1136</v>
      </c>
      <c r="B6" s="44"/>
      <c r="C6" s="45"/>
      <c r="D6" s="44"/>
      <c r="E6" s="44"/>
      <c r="F6" s="44"/>
      <c r="G6" s="44"/>
      <c r="H6" s="44"/>
      <c r="I6" s="44"/>
      <c r="J6" s="44"/>
      <c r="K6" s="44"/>
      <c r="L6" s="40"/>
      <c r="M6" s="40"/>
      <c r="N6" s="40"/>
    </row>
    <row r="7" spans="1:14" ht="15">
      <c r="A7" s="46">
        <v>0</v>
      </c>
      <c r="B7" s="44"/>
      <c r="C7" s="47">
        <f>+M7</f>
        <v>0.88</v>
      </c>
      <c r="D7" s="44"/>
      <c r="E7" s="44"/>
      <c r="F7" s="44"/>
      <c r="G7" s="44"/>
      <c r="H7" s="44"/>
      <c r="I7" s="44"/>
      <c r="J7" s="44"/>
      <c r="K7" s="44"/>
      <c r="L7" s="48"/>
      <c r="M7" s="47">
        <v>0.88</v>
      </c>
      <c r="N7" s="40"/>
    </row>
    <row r="8" spans="1:14" ht="15">
      <c r="A8" s="46">
        <v>0.00624</v>
      </c>
      <c r="B8" s="47">
        <f>+(A8-A7)*1000</f>
        <v>6.24</v>
      </c>
      <c r="C8" s="47">
        <f>+M8</f>
        <v>1.34</v>
      </c>
      <c r="D8" s="47">
        <f>+C7+C8</f>
        <v>2.22</v>
      </c>
      <c r="E8" s="47">
        <f>+D8/2</f>
        <v>1.11</v>
      </c>
      <c r="F8" s="47"/>
      <c r="G8" s="47"/>
      <c r="H8" s="47">
        <v>1.2</v>
      </c>
      <c r="I8" s="47">
        <f aca="true" t="shared" si="0" ref="I8:I24">+B8*E8*H8</f>
        <v>8.31168</v>
      </c>
      <c r="J8" s="47"/>
      <c r="K8" s="47"/>
      <c r="L8" s="48"/>
      <c r="M8" s="47">
        <v>1.34</v>
      </c>
      <c r="N8" s="40"/>
    </row>
    <row r="9" spans="1:14" ht="15">
      <c r="A9" s="46">
        <v>0.01713</v>
      </c>
      <c r="B9" s="47">
        <f>+(A9-A8)*1000</f>
        <v>10.89</v>
      </c>
      <c r="C9" s="47">
        <f>+M9</f>
        <v>1.4</v>
      </c>
      <c r="D9" s="47">
        <f>+C8+C9</f>
        <v>2.74</v>
      </c>
      <c r="E9" s="47">
        <f aca="true" t="shared" si="1" ref="E9:E25">+D9/2</f>
        <v>1.37</v>
      </c>
      <c r="F9" s="47">
        <f>+B9*E9*2</f>
        <v>29.838600000000003</v>
      </c>
      <c r="G9" s="47"/>
      <c r="H9" s="47">
        <v>1.2</v>
      </c>
      <c r="I9" s="47">
        <f t="shared" si="0"/>
        <v>17.90316</v>
      </c>
      <c r="J9" s="47"/>
      <c r="K9" s="47"/>
      <c r="L9" s="48"/>
      <c r="M9" s="47">
        <v>1.4</v>
      </c>
      <c r="N9" s="40"/>
    </row>
    <row r="10" spans="1:14" ht="15">
      <c r="A10" s="46">
        <v>0.02661</v>
      </c>
      <c r="B10" s="47">
        <f>+(A10-A9)*1000</f>
        <v>9.480000000000002</v>
      </c>
      <c r="C10" s="47">
        <f>+M10</f>
        <v>2.96</v>
      </c>
      <c r="D10" s="47">
        <f>+C9+C10</f>
        <v>4.359999999999999</v>
      </c>
      <c r="E10" s="47">
        <f t="shared" si="1"/>
        <v>2.1799999999999997</v>
      </c>
      <c r="F10" s="47"/>
      <c r="G10" s="47">
        <f aca="true" t="shared" si="2" ref="G10:G22">+B10*E10*2</f>
        <v>41.332800000000006</v>
      </c>
      <c r="H10" s="47">
        <v>1.2</v>
      </c>
      <c r="I10" s="47">
        <f t="shared" si="0"/>
        <v>24.799680000000002</v>
      </c>
      <c r="J10" s="47"/>
      <c r="K10" s="47"/>
      <c r="L10" s="48"/>
      <c r="M10" s="47">
        <v>2.96</v>
      </c>
      <c r="N10" s="40"/>
    </row>
    <row r="11" spans="1:14" ht="15">
      <c r="A11" s="46">
        <v>0.0293</v>
      </c>
      <c r="B11" s="47">
        <f>+(A11-A10)*1000</f>
        <v>2.6899999999999977</v>
      </c>
      <c r="C11" s="47">
        <f>+M11</f>
        <v>2.99</v>
      </c>
      <c r="D11" s="47">
        <f>+C10+C11</f>
        <v>5.95</v>
      </c>
      <c r="E11" s="47">
        <f t="shared" si="1"/>
        <v>2.975</v>
      </c>
      <c r="F11" s="47"/>
      <c r="G11" s="47">
        <f t="shared" si="2"/>
        <v>16.005499999999987</v>
      </c>
      <c r="H11" s="47">
        <v>1.2</v>
      </c>
      <c r="I11" s="47"/>
      <c r="J11" s="47">
        <f>+B11*E11*H11</f>
        <v>9.603299999999992</v>
      </c>
      <c r="K11" s="47"/>
      <c r="L11" s="48"/>
      <c r="M11" s="47">
        <v>2.99</v>
      </c>
      <c r="N11" s="49"/>
    </row>
    <row r="12" spans="1:14" ht="15">
      <c r="A12" s="46">
        <v>0.03285</v>
      </c>
      <c r="B12" s="47">
        <f aca="true" t="shared" si="3" ref="B12:B25">+(A12-A11)*1000</f>
        <v>3.5499999999999976</v>
      </c>
      <c r="C12" s="47">
        <f aca="true" t="shared" si="4" ref="C12:C19">+M12-0.18</f>
        <v>2.86</v>
      </c>
      <c r="D12" s="47">
        <f aca="true" t="shared" si="5" ref="D12:D25">+C11+C12</f>
        <v>5.85</v>
      </c>
      <c r="E12" s="47">
        <f t="shared" si="1"/>
        <v>2.925</v>
      </c>
      <c r="F12" s="47"/>
      <c r="G12" s="47">
        <f t="shared" si="2"/>
        <v>20.767499999999984</v>
      </c>
      <c r="H12" s="47">
        <v>1.2</v>
      </c>
      <c r="I12" s="47"/>
      <c r="J12" s="47">
        <f>+B12*E12*H12</f>
        <v>12.46049999999999</v>
      </c>
      <c r="K12" s="47"/>
      <c r="L12" s="48"/>
      <c r="M12" s="47">
        <v>3.04</v>
      </c>
      <c r="N12" s="49" t="s">
        <v>1137</v>
      </c>
    </row>
    <row r="13" spans="1:16" ht="15">
      <c r="A13" s="46">
        <v>0.05943</v>
      </c>
      <c r="B13" s="47">
        <f t="shared" si="3"/>
        <v>26.58</v>
      </c>
      <c r="C13" s="47">
        <f t="shared" si="4"/>
        <v>2.4899999999999998</v>
      </c>
      <c r="D13" s="47">
        <f t="shared" si="5"/>
        <v>5.35</v>
      </c>
      <c r="E13" s="47">
        <f t="shared" si="1"/>
        <v>2.675</v>
      </c>
      <c r="F13" s="47"/>
      <c r="G13" s="47">
        <f t="shared" si="2"/>
        <v>142.20299999999997</v>
      </c>
      <c r="H13" s="47">
        <v>1.2</v>
      </c>
      <c r="I13" s="47"/>
      <c r="J13" s="47">
        <f>+B13*E13*H13</f>
        <v>85.32179999999998</v>
      </c>
      <c r="K13" s="47"/>
      <c r="L13" s="48"/>
      <c r="M13" s="47">
        <v>2.67</v>
      </c>
      <c r="N13" s="49" t="s">
        <v>1137</v>
      </c>
      <c r="P13" s="50">
        <f>+B13</f>
        <v>26.58</v>
      </c>
    </row>
    <row r="14" spans="1:14" ht="15">
      <c r="A14" s="46">
        <v>0.05943</v>
      </c>
      <c r="B14" s="47">
        <f t="shared" si="3"/>
        <v>0</v>
      </c>
      <c r="C14" s="47">
        <f t="shared" si="4"/>
        <v>2.5999999999999996</v>
      </c>
      <c r="D14" s="47">
        <f t="shared" si="5"/>
        <v>5.09</v>
      </c>
      <c r="E14" s="47">
        <f t="shared" si="1"/>
        <v>2.545</v>
      </c>
      <c r="F14" s="47"/>
      <c r="G14" s="47">
        <f t="shared" si="2"/>
        <v>0</v>
      </c>
      <c r="H14" s="47">
        <v>1.2</v>
      </c>
      <c r="I14" s="47"/>
      <c r="J14" s="47">
        <f>+B14*E14*H14</f>
        <v>0</v>
      </c>
      <c r="K14" s="47"/>
      <c r="L14" s="48"/>
      <c r="M14" s="47">
        <v>2.78</v>
      </c>
      <c r="N14" s="49"/>
    </row>
    <row r="15" spans="1:14" ht="15">
      <c r="A15" s="46">
        <v>0.0643</v>
      </c>
      <c r="B15" s="47">
        <f t="shared" si="3"/>
        <v>4.869999999999999</v>
      </c>
      <c r="C15" s="47">
        <f t="shared" si="4"/>
        <v>2.55</v>
      </c>
      <c r="D15" s="47">
        <f t="shared" si="5"/>
        <v>5.1499999999999995</v>
      </c>
      <c r="E15" s="47">
        <f t="shared" si="1"/>
        <v>2.5749999999999997</v>
      </c>
      <c r="F15" s="47"/>
      <c r="G15" s="47">
        <f t="shared" si="2"/>
        <v>25.080499999999994</v>
      </c>
      <c r="H15" s="47">
        <v>1.2</v>
      </c>
      <c r="I15" s="47"/>
      <c r="J15" s="47">
        <f>+B15*E15*H15</f>
        <v>15.048299999999996</v>
      </c>
      <c r="K15" s="47"/>
      <c r="L15" s="48"/>
      <c r="M15" s="47">
        <v>2.73</v>
      </c>
      <c r="N15" s="49"/>
    </row>
    <row r="16" spans="1:14" ht="15">
      <c r="A16" s="46">
        <v>0.08667</v>
      </c>
      <c r="B16" s="47">
        <f t="shared" si="3"/>
        <v>22.37</v>
      </c>
      <c r="C16" s="47">
        <f t="shared" si="4"/>
        <v>2.38</v>
      </c>
      <c r="D16" s="47">
        <f t="shared" si="5"/>
        <v>4.93</v>
      </c>
      <c r="E16" s="47">
        <f t="shared" si="1"/>
        <v>2.465</v>
      </c>
      <c r="F16" s="47"/>
      <c r="G16" s="47">
        <f t="shared" si="2"/>
        <v>110.2841</v>
      </c>
      <c r="H16" s="47">
        <v>1.2</v>
      </c>
      <c r="I16" s="47">
        <f t="shared" si="0"/>
        <v>66.17045999999999</v>
      </c>
      <c r="J16" s="47"/>
      <c r="K16" s="47"/>
      <c r="L16" s="48"/>
      <c r="M16" s="47">
        <v>2.56</v>
      </c>
      <c r="N16" s="49"/>
    </row>
    <row r="17" spans="1:14" ht="15">
      <c r="A17" s="46">
        <v>0.12109</v>
      </c>
      <c r="B17" s="47">
        <f t="shared" si="3"/>
        <v>34.42000000000001</v>
      </c>
      <c r="C17" s="47">
        <f t="shared" si="4"/>
        <v>2.32</v>
      </c>
      <c r="D17" s="47">
        <f t="shared" si="5"/>
        <v>4.699999999999999</v>
      </c>
      <c r="E17" s="47">
        <f t="shared" si="1"/>
        <v>2.3499999999999996</v>
      </c>
      <c r="F17" s="47"/>
      <c r="G17" s="47">
        <f t="shared" si="2"/>
        <v>161.77400000000003</v>
      </c>
      <c r="H17" s="47">
        <v>1.2</v>
      </c>
      <c r="I17" s="47">
        <f t="shared" si="0"/>
        <v>97.06440000000002</v>
      </c>
      <c r="J17" s="47"/>
      <c r="K17" s="47"/>
      <c r="L17" s="48"/>
      <c r="M17" s="47">
        <v>2.5</v>
      </c>
      <c r="N17" s="49"/>
    </row>
    <row r="18" spans="1:14" ht="15">
      <c r="A18" s="46">
        <v>0.13224</v>
      </c>
      <c r="B18" s="47">
        <f t="shared" si="3"/>
        <v>11.149999999999993</v>
      </c>
      <c r="C18" s="47">
        <f t="shared" si="4"/>
        <v>2.1399999999999997</v>
      </c>
      <c r="D18" s="47">
        <f t="shared" si="5"/>
        <v>4.459999999999999</v>
      </c>
      <c r="E18" s="47">
        <f t="shared" si="1"/>
        <v>2.2299999999999995</v>
      </c>
      <c r="F18" s="47"/>
      <c r="G18" s="47">
        <f t="shared" si="2"/>
        <v>49.72899999999996</v>
      </c>
      <c r="H18" s="47">
        <v>1.2</v>
      </c>
      <c r="I18" s="47">
        <f t="shared" si="0"/>
        <v>29.837399999999974</v>
      </c>
      <c r="J18" s="47"/>
      <c r="K18" s="47"/>
      <c r="L18" s="48"/>
      <c r="M18" s="47">
        <v>2.32</v>
      </c>
      <c r="N18" s="49"/>
    </row>
    <row r="19" spans="1:14" ht="15">
      <c r="A19" s="46">
        <v>0.13965</v>
      </c>
      <c r="B19" s="47">
        <f t="shared" si="3"/>
        <v>7.41</v>
      </c>
      <c r="C19" s="47">
        <f t="shared" si="4"/>
        <v>2.04</v>
      </c>
      <c r="D19" s="47">
        <f t="shared" si="5"/>
        <v>4.18</v>
      </c>
      <c r="E19" s="47">
        <f t="shared" si="1"/>
        <v>2.09</v>
      </c>
      <c r="F19" s="47"/>
      <c r="G19" s="47">
        <f>+B19*E19*2</f>
        <v>30.973799999999997</v>
      </c>
      <c r="H19" s="47">
        <v>1.2</v>
      </c>
      <c r="I19" s="47">
        <f t="shared" si="0"/>
        <v>18.584279999999996</v>
      </c>
      <c r="J19" s="47"/>
      <c r="K19" s="47"/>
      <c r="L19" s="48"/>
      <c r="M19" s="47">
        <v>2.22</v>
      </c>
      <c r="N19" s="49"/>
    </row>
    <row r="20" spans="1:14" ht="15">
      <c r="A20" s="46">
        <v>0.15329</v>
      </c>
      <c r="B20" s="47">
        <f t="shared" si="3"/>
        <v>13.640000000000013</v>
      </c>
      <c r="C20" s="47">
        <f aca="true" t="shared" si="6" ref="C20:C26">+M20</f>
        <v>2.13</v>
      </c>
      <c r="D20" s="47">
        <f t="shared" si="5"/>
        <v>4.17</v>
      </c>
      <c r="E20" s="47">
        <f t="shared" si="1"/>
        <v>2.085</v>
      </c>
      <c r="F20" s="47"/>
      <c r="G20" s="47">
        <f t="shared" si="2"/>
        <v>56.878800000000055</v>
      </c>
      <c r="H20" s="47">
        <v>1.2</v>
      </c>
      <c r="I20" s="47">
        <f t="shared" si="0"/>
        <v>34.127280000000034</v>
      </c>
      <c r="J20" s="47"/>
      <c r="K20" s="47"/>
      <c r="L20" s="48"/>
      <c r="M20" s="47">
        <v>2.13</v>
      </c>
      <c r="N20" s="49"/>
    </row>
    <row r="21" spans="1:14" ht="15">
      <c r="A21" s="46">
        <v>0.16533</v>
      </c>
      <c r="B21" s="47">
        <f t="shared" si="3"/>
        <v>12.039999999999996</v>
      </c>
      <c r="C21" s="47">
        <f t="shared" si="6"/>
        <v>2.07</v>
      </c>
      <c r="D21" s="47">
        <f t="shared" si="5"/>
        <v>4.199999999999999</v>
      </c>
      <c r="E21" s="47">
        <f t="shared" si="1"/>
        <v>2.0999999999999996</v>
      </c>
      <c r="F21" s="47"/>
      <c r="G21" s="47">
        <f t="shared" si="2"/>
        <v>50.56799999999997</v>
      </c>
      <c r="H21" s="47">
        <v>1.2</v>
      </c>
      <c r="I21" s="47">
        <f t="shared" si="0"/>
        <v>30.34079999999998</v>
      </c>
      <c r="J21" s="47"/>
      <c r="K21" s="47"/>
      <c r="L21" s="48"/>
      <c r="M21" s="47">
        <v>2.07</v>
      </c>
      <c r="N21" s="49"/>
    </row>
    <row r="22" spans="1:14" ht="15">
      <c r="A22" s="46">
        <v>0.17593</v>
      </c>
      <c r="B22" s="47">
        <f t="shared" si="3"/>
        <v>10.599999999999998</v>
      </c>
      <c r="C22" s="47">
        <f t="shared" si="6"/>
        <v>1.98</v>
      </c>
      <c r="D22" s="47">
        <f t="shared" si="5"/>
        <v>4.05</v>
      </c>
      <c r="E22" s="47">
        <f t="shared" si="1"/>
        <v>2.025</v>
      </c>
      <c r="F22" s="47"/>
      <c r="G22" s="47">
        <f t="shared" si="2"/>
        <v>42.92999999999999</v>
      </c>
      <c r="H22" s="47">
        <v>1.2</v>
      </c>
      <c r="I22" s="47">
        <f t="shared" si="0"/>
        <v>25.757999999999996</v>
      </c>
      <c r="J22" s="47"/>
      <c r="K22" s="47"/>
      <c r="L22" s="48"/>
      <c r="M22" s="47">
        <v>1.98</v>
      </c>
      <c r="N22" s="49"/>
    </row>
    <row r="23" spans="1:14" ht="15">
      <c r="A23" s="46">
        <v>0.17593</v>
      </c>
      <c r="B23" s="47">
        <f t="shared" si="3"/>
        <v>0</v>
      </c>
      <c r="C23" s="47">
        <f>+M23-0.18</f>
        <v>1.6400000000000001</v>
      </c>
      <c r="D23" s="47">
        <f t="shared" si="5"/>
        <v>3.62</v>
      </c>
      <c r="E23" s="47">
        <f t="shared" si="1"/>
        <v>1.81</v>
      </c>
      <c r="F23" s="47"/>
      <c r="G23" s="47"/>
      <c r="H23" s="47">
        <v>1.2</v>
      </c>
      <c r="I23" s="47"/>
      <c r="J23" s="47"/>
      <c r="K23" s="47"/>
      <c r="L23" s="48"/>
      <c r="M23" s="47">
        <v>1.82</v>
      </c>
      <c r="N23" s="49" t="s">
        <v>1137</v>
      </c>
    </row>
    <row r="24" spans="1:16" ht="15">
      <c r="A24" s="46">
        <v>0.19429</v>
      </c>
      <c r="B24" s="47">
        <f t="shared" si="3"/>
        <v>18.35999999999999</v>
      </c>
      <c r="C24" s="47">
        <f>+M24-0.18</f>
        <v>1.32</v>
      </c>
      <c r="D24" s="47">
        <f t="shared" si="5"/>
        <v>2.96</v>
      </c>
      <c r="E24" s="47">
        <f t="shared" si="1"/>
        <v>1.48</v>
      </c>
      <c r="F24" s="47">
        <f>+B24*E24*2</f>
        <v>54.34559999999997</v>
      </c>
      <c r="G24" s="47"/>
      <c r="H24" s="47">
        <v>1.2</v>
      </c>
      <c r="I24" s="47">
        <f t="shared" si="0"/>
        <v>32.60735999999998</v>
      </c>
      <c r="J24" s="47"/>
      <c r="K24" s="47"/>
      <c r="L24" s="48"/>
      <c r="M24" s="47">
        <v>1.5</v>
      </c>
      <c r="N24" s="49" t="s">
        <v>1137</v>
      </c>
      <c r="P24" s="50">
        <f>+B24</f>
        <v>18.35999999999999</v>
      </c>
    </row>
    <row r="25" spans="1:14" ht="15">
      <c r="A25" s="46">
        <v>0.19429</v>
      </c>
      <c r="B25" s="47">
        <f t="shared" si="3"/>
        <v>0</v>
      </c>
      <c r="C25" s="47">
        <f t="shared" si="6"/>
        <v>1.76</v>
      </c>
      <c r="D25" s="47">
        <f t="shared" si="5"/>
        <v>3.08</v>
      </c>
      <c r="E25" s="47">
        <f t="shared" si="1"/>
        <v>1.54</v>
      </c>
      <c r="F25" s="47">
        <f>+B25*E25*2</f>
        <v>0</v>
      </c>
      <c r="G25" s="47"/>
      <c r="H25" s="47">
        <v>1.2</v>
      </c>
      <c r="I25" s="47"/>
      <c r="J25" s="47"/>
      <c r="K25" s="47"/>
      <c r="L25" s="48"/>
      <c r="M25" s="47">
        <v>1.76</v>
      </c>
      <c r="N25" s="49"/>
    </row>
    <row r="26" spans="1:14" ht="15">
      <c r="A26" s="46">
        <v>0.20535</v>
      </c>
      <c r="B26" s="47">
        <f>+(A26-A25)*1000</f>
        <v>11.060000000000015</v>
      </c>
      <c r="C26" s="47">
        <f t="shared" si="6"/>
        <v>1.52</v>
      </c>
      <c r="D26" s="47">
        <f>+C25+C26</f>
        <v>3.2800000000000002</v>
      </c>
      <c r="E26" s="47">
        <f>+D26/2</f>
        <v>1.6400000000000001</v>
      </c>
      <c r="F26" s="47">
        <f>+B26*E26*2</f>
        <v>36.27680000000005</v>
      </c>
      <c r="G26" s="47"/>
      <c r="H26" s="47">
        <v>1.2</v>
      </c>
      <c r="I26" s="47">
        <f>+B26*E26*H26</f>
        <v>21.76608000000003</v>
      </c>
      <c r="J26" s="47"/>
      <c r="K26" s="47"/>
      <c r="L26" s="48"/>
      <c r="M26" s="47">
        <v>1.52</v>
      </c>
      <c r="N26" s="49"/>
    </row>
    <row r="27" spans="1:14" ht="15">
      <c r="A27" s="46">
        <v>0.20535</v>
      </c>
      <c r="B27" s="47">
        <f aca="true" t="shared" si="7" ref="B27:B58">+(A27-A26)*1000</f>
        <v>0</v>
      </c>
      <c r="C27" s="47">
        <f>+M27-0.18</f>
        <v>1.1900000000000002</v>
      </c>
      <c r="D27" s="47">
        <f aca="true" t="shared" si="8" ref="D27:D58">+C26+C27</f>
        <v>2.71</v>
      </c>
      <c r="E27" s="47">
        <f aca="true" t="shared" si="9" ref="E27:E62">+D27/2</f>
        <v>1.355</v>
      </c>
      <c r="F27" s="47">
        <f aca="true" t="shared" si="10" ref="F27:F38">+B27*E27*2</f>
        <v>0</v>
      </c>
      <c r="G27" s="47"/>
      <c r="H27" s="47">
        <v>1.2</v>
      </c>
      <c r="I27" s="47"/>
      <c r="J27" s="47"/>
      <c r="K27" s="47"/>
      <c r="L27" s="48"/>
      <c r="M27" s="47">
        <v>1.37</v>
      </c>
      <c r="N27" s="49" t="s">
        <v>1137</v>
      </c>
    </row>
    <row r="28" spans="1:16" ht="15">
      <c r="A28" s="46">
        <v>0.22733</v>
      </c>
      <c r="B28" s="47">
        <f t="shared" si="7"/>
        <v>21.98</v>
      </c>
      <c r="C28" s="47">
        <f>+M28-0.18</f>
        <v>1.1800000000000002</v>
      </c>
      <c r="D28" s="47">
        <f t="shared" si="8"/>
        <v>2.37</v>
      </c>
      <c r="E28" s="47">
        <f t="shared" si="9"/>
        <v>1.185</v>
      </c>
      <c r="F28" s="47">
        <f t="shared" si="10"/>
        <v>52.092600000000004</v>
      </c>
      <c r="G28" s="47"/>
      <c r="H28" s="47">
        <v>1.2</v>
      </c>
      <c r="I28" s="47">
        <f aca="true" t="shared" si="11" ref="I28:I40">+B28*E28*H28</f>
        <v>31.255560000000003</v>
      </c>
      <c r="J28" s="47"/>
      <c r="K28" s="47"/>
      <c r="L28" s="48"/>
      <c r="M28" s="47">
        <v>1.36</v>
      </c>
      <c r="N28" s="49" t="s">
        <v>1137</v>
      </c>
      <c r="P28" s="50">
        <f>+B28</f>
        <v>21.98</v>
      </c>
    </row>
    <row r="29" spans="1:16" ht="15">
      <c r="A29" s="46">
        <v>0.22733</v>
      </c>
      <c r="B29" s="47">
        <f t="shared" si="7"/>
        <v>0</v>
      </c>
      <c r="C29" s="47">
        <f>+M29</f>
        <v>1.48</v>
      </c>
      <c r="D29" s="47">
        <f t="shared" si="8"/>
        <v>2.66</v>
      </c>
      <c r="E29" s="47">
        <f t="shared" si="9"/>
        <v>1.33</v>
      </c>
      <c r="F29" s="47">
        <f t="shared" si="10"/>
        <v>0</v>
      </c>
      <c r="G29" s="47"/>
      <c r="H29" s="47">
        <v>1.2</v>
      </c>
      <c r="I29" s="47"/>
      <c r="J29" s="47"/>
      <c r="K29" s="47"/>
      <c r="L29" s="48"/>
      <c r="M29" s="47">
        <v>1.48</v>
      </c>
      <c r="N29" s="49"/>
      <c r="P29" s="51">
        <f>SUM(P13:P28)</f>
        <v>66.91999999999999</v>
      </c>
    </row>
    <row r="30" spans="1:14" ht="15">
      <c r="A30" s="46">
        <v>0.2316</v>
      </c>
      <c r="B30" s="47">
        <f t="shared" si="7"/>
        <v>4.269999999999996</v>
      </c>
      <c r="C30" s="47">
        <f>+M30</f>
        <v>1.48</v>
      </c>
      <c r="D30" s="47">
        <f t="shared" si="8"/>
        <v>2.96</v>
      </c>
      <c r="E30" s="47">
        <f t="shared" si="9"/>
        <v>1.48</v>
      </c>
      <c r="F30" s="47">
        <f t="shared" si="10"/>
        <v>12.639199999999988</v>
      </c>
      <c r="G30" s="47"/>
      <c r="H30" s="47">
        <v>1.2</v>
      </c>
      <c r="I30" s="47">
        <f t="shared" si="11"/>
        <v>7.583519999999993</v>
      </c>
      <c r="J30" s="47"/>
      <c r="K30" s="47"/>
      <c r="L30" s="48"/>
      <c r="M30" s="47">
        <v>1.48</v>
      </c>
      <c r="N30" s="49"/>
    </row>
    <row r="31" spans="1:14" ht="15">
      <c r="A31" s="46">
        <v>0.23822</v>
      </c>
      <c r="B31" s="47">
        <f t="shared" si="7"/>
        <v>6.619999999999987</v>
      </c>
      <c r="C31" s="47">
        <f>+M31-0.05</f>
        <v>1.48</v>
      </c>
      <c r="D31" s="47">
        <f t="shared" si="8"/>
        <v>2.96</v>
      </c>
      <c r="E31" s="47">
        <f t="shared" si="9"/>
        <v>1.48</v>
      </c>
      <c r="F31" s="47">
        <f t="shared" si="10"/>
        <v>19.59519999999996</v>
      </c>
      <c r="G31" s="47"/>
      <c r="H31" s="47">
        <v>1.2</v>
      </c>
      <c r="I31" s="47">
        <f t="shared" si="11"/>
        <v>11.757119999999976</v>
      </c>
      <c r="J31" s="47"/>
      <c r="K31" s="47"/>
      <c r="L31" s="48"/>
      <c r="M31" s="47">
        <v>1.53</v>
      </c>
      <c r="N31" s="49" t="s">
        <v>1138</v>
      </c>
    </row>
    <row r="32" spans="1:16" ht="15">
      <c r="A32" s="46">
        <v>0.24078</v>
      </c>
      <c r="B32" s="47">
        <f t="shared" si="7"/>
        <v>2.5600000000000067</v>
      </c>
      <c r="C32" s="47">
        <f>+M32-0.05</f>
        <v>1.54</v>
      </c>
      <c r="D32" s="47">
        <f t="shared" si="8"/>
        <v>3.02</v>
      </c>
      <c r="E32" s="47">
        <f t="shared" si="9"/>
        <v>1.51</v>
      </c>
      <c r="F32" s="47">
        <f t="shared" si="10"/>
        <v>7.731200000000021</v>
      </c>
      <c r="G32" s="47"/>
      <c r="H32" s="47">
        <v>1.2</v>
      </c>
      <c r="I32" s="47">
        <f t="shared" si="11"/>
        <v>4.638720000000013</v>
      </c>
      <c r="J32" s="47"/>
      <c r="K32" s="47"/>
      <c r="L32" s="48"/>
      <c r="M32" s="47">
        <v>1.59</v>
      </c>
      <c r="N32" s="49" t="s">
        <v>1138</v>
      </c>
      <c r="P32" s="50">
        <f>+B32</f>
        <v>2.5600000000000067</v>
      </c>
    </row>
    <row r="33" spans="1:14" ht="15">
      <c r="A33" s="46">
        <v>0.247</v>
      </c>
      <c r="B33" s="47">
        <f t="shared" si="7"/>
        <v>6.220000000000003</v>
      </c>
      <c r="C33" s="47">
        <f>+M33</f>
        <v>1.94</v>
      </c>
      <c r="D33" s="47">
        <f t="shared" si="8"/>
        <v>3.48</v>
      </c>
      <c r="E33" s="47">
        <f t="shared" si="9"/>
        <v>1.74</v>
      </c>
      <c r="F33" s="47">
        <f t="shared" si="10"/>
        <v>21.645600000000012</v>
      </c>
      <c r="G33" s="47"/>
      <c r="H33" s="47">
        <v>1.2</v>
      </c>
      <c r="I33" s="47">
        <f t="shared" si="11"/>
        <v>12.987360000000008</v>
      </c>
      <c r="J33" s="47"/>
      <c r="K33" s="47"/>
      <c r="L33" s="48"/>
      <c r="M33" s="47">
        <v>1.94</v>
      </c>
      <c r="N33" s="49"/>
    </row>
    <row r="34" spans="1:14" ht="15">
      <c r="A34" s="46">
        <v>0.25951</v>
      </c>
      <c r="B34" s="47">
        <f t="shared" si="7"/>
        <v>12.510000000000021</v>
      </c>
      <c r="C34" s="47">
        <f>+M34-0.05</f>
        <v>1.94</v>
      </c>
      <c r="D34" s="47">
        <f t="shared" si="8"/>
        <v>3.88</v>
      </c>
      <c r="E34" s="47">
        <f t="shared" si="9"/>
        <v>1.94</v>
      </c>
      <c r="F34" s="47">
        <f t="shared" si="10"/>
        <v>48.53880000000008</v>
      </c>
      <c r="G34" s="47"/>
      <c r="H34" s="47">
        <v>1.2</v>
      </c>
      <c r="I34" s="47">
        <f t="shared" si="11"/>
        <v>29.123280000000047</v>
      </c>
      <c r="J34" s="47"/>
      <c r="K34" s="47"/>
      <c r="L34" s="48"/>
      <c r="M34" s="47">
        <v>1.99</v>
      </c>
      <c r="N34" s="49" t="s">
        <v>1138</v>
      </c>
    </row>
    <row r="35" spans="1:16" ht="15">
      <c r="A35" s="46">
        <v>0.26289</v>
      </c>
      <c r="B35" s="47">
        <f t="shared" si="7"/>
        <v>3.379999999999994</v>
      </c>
      <c r="C35" s="47">
        <f>+M35-0.05</f>
        <v>1.8599999999999999</v>
      </c>
      <c r="D35" s="47">
        <f t="shared" si="8"/>
        <v>3.8</v>
      </c>
      <c r="E35" s="47">
        <f t="shared" si="9"/>
        <v>1.9</v>
      </c>
      <c r="F35" s="47">
        <f t="shared" si="10"/>
        <v>12.843999999999976</v>
      </c>
      <c r="G35" s="47"/>
      <c r="H35" s="47">
        <v>1.2</v>
      </c>
      <c r="I35" s="47">
        <f t="shared" si="11"/>
        <v>7.706399999999985</v>
      </c>
      <c r="J35" s="47"/>
      <c r="K35" s="47"/>
      <c r="L35" s="48"/>
      <c r="M35" s="47">
        <v>1.91</v>
      </c>
      <c r="N35" s="49" t="s">
        <v>1138</v>
      </c>
      <c r="P35" s="50">
        <f>+B35</f>
        <v>3.379999999999994</v>
      </c>
    </row>
    <row r="36" spans="1:16" ht="15">
      <c r="A36" s="46">
        <v>0.27887</v>
      </c>
      <c r="B36" s="47">
        <f t="shared" si="7"/>
        <v>15.979999999999993</v>
      </c>
      <c r="C36" s="47">
        <f>+M36</f>
        <v>2.02</v>
      </c>
      <c r="D36" s="47">
        <f t="shared" si="8"/>
        <v>3.88</v>
      </c>
      <c r="E36" s="47">
        <f t="shared" si="9"/>
        <v>1.94</v>
      </c>
      <c r="F36" s="47">
        <f t="shared" si="10"/>
        <v>62.00239999999997</v>
      </c>
      <c r="G36" s="47"/>
      <c r="H36" s="47">
        <v>1.2</v>
      </c>
      <c r="I36" s="47">
        <f t="shared" si="11"/>
        <v>37.201439999999984</v>
      </c>
      <c r="J36" s="47"/>
      <c r="K36" s="47"/>
      <c r="L36" s="48"/>
      <c r="M36" s="47">
        <v>2.02</v>
      </c>
      <c r="N36" s="49"/>
      <c r="P36" s="51">
        <f>SUM(P32:P35)</f>
        <v>5.940000000000001</v>
      </c>
    </row>
    <row r="37" spans="1:14" ht="15">
      <c r="A37" s="46">
        <v>0.28531</v>
      </c>
      <c r="B37" s="47">
        <f t="shared" si="7"/>
        <v>6.440000000000001</v>
      </c>
      <c r="C37" s="47">
        <f>+M37-0.05</f>
        <v>1.88</v>
      </c>
      <c r="D37" s="47">
        <f t="shared" si="8"/>
        <v>3.9</v>
      </c>
      <c r="E37" s="47">
        <f t="shared" si="9"/>
        <v>1.95</v>
      </c>
      <c r="F37" s="47">
        <f t="shared" si="10"/>
        <v>25.116000000000003</v>
      </c>
      <c r="G37" s="47"/>
      <c r="H37" s="47">
        <v>1.2</v>
      </c>
      <c r="I37" s="47">
        <f t="shared" si="11"/>
        <v>15.069600000000001</v>
      </c>
      <c r="J37" s="47"/>
      <c r="K37" s="47"/>
      <c r="L37" s="48"/>
      <c r="M37" s="47">
        <v>1.93</v>
      </c>
      <c r="N37" s="49" t="s">
        <v>1139</v>
      </c>
    </row>
    <row r="38" spans="1:14" ht="15">
      <c r="A38" s="46">
        <v>0.28742</v>
      </c>
      <c r="B38" s="47">
        <f t="shared" si="7"/>
        <v>2.1100000000000008</v>
      </c>
      <c r="C38" s="47">
        <f>+M38-0.05</f>
        <v>1.9</v>
      </c>
      <c r="D38" s="47">
        <f t="shared" si="8"/>
        <v>3.78</v>
      </c>
      <c r="E38" s="47">
        <f t="shared" si="9"/>
        <v>1.89</v>
      </c>
      <c r="F38" s="47">
        <f t="shared" si="10"/>
        <v>7.975800000000002</v>
      </c>
      <c r="G38" s="47"/>
      <c r="H38" s="47">
        <v>1.2</v>
      </c>
      <c r="I38" s="47">
        <f t="shared" si="11"/>
        <v>4.7854800000000015</v>
      </c>
      <c r="J38" s="47"/>
      <c r="K38" s="47"/>
      <c r="L38" s="48"/>
      <c r="M38" s="47">
        <v>1.95</v>
      </c>
      <c r="N38" s="49" t="s">
        <v>1139</v>
      </c>
    </row>
    <row r="39" spans="1:14" ht="15">
      <c r="A39" s="46">
        <v>0.32751</v>
      </c>
      <c r="B39" s="47">
        <f t="shared" si="7"/>
        <v>40.09000000000002</v>
      </c>
      <c r="C39" s="47">
        <f>+M39</f>
        <v>2.26</v>
      </c>
      <c r="D39" s="47">
        <f t="shared" si="8"/>
        <v>4.16</v>
      </c>
      <c r="E39" s="47">
        <f t="shared" si="9"/>
        <v>2.08</v>
      </c>
      <c r="F39" s="47"/>
      <c r="G39" s="47">
        <f aca="true" t="shared" si="12" ref="G39:G62">+B39*E39*2</f>
        <v>166.77440000000007</v>
      </c>
      <c r="H39" s="47">
        <v>1.2</v>
      </c>
      <c r="I39" s="47">
        <f t="shared" si="11"/>
        <v>100.06464000000004</v>
      </c>
      <c r="J39" s="47"/>
      <c r="K39" s="47"/>
      <c r="L39" s="48"/>
      <c r="M39" s="47">
        <v>2.26</v>
      </c>
      <c r="N39" s="49"/>
    </row>
    <row r="40" spans="1:14" ht="15">
      <c r="A40" s="46">
        <v>0.33638</v>
      </c>
      <c r="B40" s="47">
        <f t="shared" si="7"/>
        <v>8.869999999999989</v>
      </c>
      <c r="C40" s="47">
        <f>+M40</f>
        <v>2.42</v>
      </c>
      <c r="D40" s="47">
        <f t="shared" si="8"/>
        <v>4.68</v>
      </c>
      <c r="E40" s="47">
        <f t="shared" si="9"/>
        <v>2.34</v>
      </c>
      <c r="F40" s="47"/>
      <c r="G40" s="47">
        <f t="shared" si="12"/>
        <v>41.511599999999945</v>
      </c>
      <c r="H40" s="47">
        <v>1.2</v>
      </c>
      <c r="I40" s="47">
        <f t="shared" si="11"/>
        <v>24.906959999999966</v>
      </c>
      <c r="J40" s="47"/>
      <c r="K40" s="47"/>
      <c r="L40" s="48"/>
      <c r="M40" s="47">
        <v>2.42</v>
      </c>
      <c r="N40" s="49"/>
    </row>
    <row r="41" spans="1:14" ht="15">
      <c r="A41" s="46">
        <v>0.35725</v>
      </c>
      <c r="B41" s="47">
        <f t="shared" si="7"/>
        <v>20.87</v>
      </c>
      <c r="C41" s="47">
        <f>+M41</f>
        <v>2.97</v>
      </c>
      <c r="D41" s="47">
        <f t="shared" si="8"/>
        <v>5.390000000000001</v>
      </c>
      <c r="E41" s="47">
        <f t="shared" si="9"/>
        <v>2.6950000000000003</v>
      </c>
      <c r="F41" s="47"/>
      <c r="G41" s="47">
        <f t="shared" si="12"/>
        <v>112.48930000000001</v>
      </c>
      <c r="H41" s="47">
        <v>1.2</v>
      </c>
      <c r="I41" s="47"/>
      <c r="J41" s="47">
        <f aca="true" t="shared" si="13" ref="J41:J62">+B41*E41*H41</f>
        <v>67.49358000000001</v>
      </c>
      <c r="K41" s="47"/>
      <c r="L41" s="48"/>
      <c r="M41" s="47">
        <v>2.97</v>
      </c>
      <c r="N41" s="49"/>
    </row>
    <row r="42" spans="1:14" ht="15">
      <c r="A42" s="46">
        <v>0.36725</v>
      </c>
      <c r="B42" s="47">
        <f t="shared" si="7"/>
        <v>10.000000000000009</v>
      </c>
      <c r="C42" s="47">
        <f>+M42</f>
        <v>3.36</v>
      </c>
      <c r="D42" s="47">
        <f t="shared" si="8"/>
        <v>6.33</v>
      </c>
      <c r="E42" s="47">
        <f t="shared" si="9"/>
        <v>3.165</v>
      </c>
      <c r="F42" s="47"/>
      <c r="G42" s="47">
        <f t="shared" si="12"/>
        <v>63.300000000000054</v>
      </c>
      <c r="H42" s="47">
        <v>1.2</v>
      </c>
      <c r="I42" s="47"/>
      <c r="J42" s="47">
        <f t="shared" si="13"/>
        <v>37.98000000000003</v>
      </c>
      <c r="K42" s="47"/>
      <c r="L42" s="48"/>
      <c r="M42" s="47">
        <v>3.36</v>
      </c>
      <c r="N42" s="49"/>
    </row>
    <row r="43" spans="1:14" ht="15">
      <c r="A43" s="46">
        <v>0.37075</v>
      </c>
      <c r="B43" s="248" t="s">
        <v>1140</v>
      </c>
      <c r="C43" s="249"/>
      <c r="D43" s="249"/>
      <c r="E43" s="249"/>
      <c r="F43" s="249"/>
      <c r="G43" s="249"/>
      <c r="H43" s="249"/>
      <c r="I43" s="249"/>
      <c r="J43" s="249"/>
      <c r="K43" s="250"/>
      <c r="L43" s="48"/>
      <c r="M43" s="47"/>
      <c r="N43" s="49"/>
    </row>
    <row r="44" spans="1:14" ht="15">
      <c r="A44" s="46">
        <v>0.44075</v>
      </c>
      <c r="B44" s="251"/>
      <c r="C44" s="252"/>
      <c r="D44" s="252"/>
      <c r="E44" s="252"/>
      <c r="F44" s="252"/>
      <c r="G44" s="252"/>
      <c r="H44" s="252"/>
      <c r="I44" s="252"/>
      <c r="J44" s="252"/>
      <c r="K44" s="253"/>
      <c r="L44" s="48"/>
      <c r="M44" s="47"/>
      <c r="N44" s="49"/>
    </row>
    <row r="45" spans="1:14" ht="15">
      <c r="A45" s="46">
        <v>0.44475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47"/>
      <c r="N45" s="52" t="s">
        <v>1141</v>
      </c>
    </row>
    <row r="46" spans="1:14" ht="15">
      <c r="A46" s="46">
        <v>0.44475</v>
      </c>
      <c r="B46" s="47"/>
      <c r="C46" s="47">
        <f>+M46-0.18</f>
        <v>3.9</v>
      </c>
      <c r="D46" s="47">
        <f>+C45+C46</f>
        <v>3.9</v>
      </c>
      <c r="E46" s="47">
        <f t="shared" si="9"/>
        <v>1.95</v>
      </c>
      <c r="F46" s="47"/>
      <c r="G46" s="47">
        <f t="shared" si="12"/>
        <v>0</v>
      </c>
      <c r="H46" s="47">
        <v>1.2</v>
      </c>
      <c r="I46" s="47"/>
      <c r="J46" s="47">
        <f t="shared" si="13"/>
        <v>0</v>
      </c>
      <c r="K46" s="47"/>
      <c r="L46" s="48"/>
      <c r="M46" s="47">
        <v>4.08</v>
      </c>
      <c r="N46" s="49" t="s">
        <v>1137</v>
      </c>
    </row>
    <row r="47" spans="1:14" ht="15">
      <c r="A47" s="46">
        <v>0.44475</v>
      </c>
      <c r="B47" s="47">
        <f t="shared" si="7"/>
        <v>0</v>
      </c>
      <c r="C47" s="47">
        <f>+M47-0.18</f>
        <v>2.84</v>
      </c>
      <c r="D47" s="47">
        <f t="shared" si="8"/>
        <v>6.74</v>
      </c>
      <c r="E47" s="47">
        <f t="shared" si="9"/>
        <v>3.37</v>
      </c>
      <c r="F47" s="47"/>
      <c r="G47" s="47"/>
      <c r="H47" s="47">
        <v>1.1</v>
      </c>
      <c r="I47" s="47"/>
      <c r="J47" s="47">
        <f t="shared" si="13"/>
        <v>0</v>
      </c>
      <c r="K47" s="47"/>
      <c r="L47" s="48"/>
      <c r="M47" s="47">
        <v>3.02</v>
      </c>
      <c r="N47" s="49" t="s">
        <v>1137</v>
      </c>
    </row>
    <row r="48" spans="1:14" ht="15">
      <c r="A48" s="46">
        <v>0.45015</v>
      </c>
      <c r="B48" s="47">
        <f t="shared" si="7"/>
        <v>5.400000000000016</v>
      </c>
      <c r="C48" s="47">
        <f>+M48-0.18</f>
        <v>2.9</v>
      </c>
      <c r="D48" s="47">
        <f t="shared" si="8"/>
        <v>5.74</v>
      </c>
      <c r="E48" s="47">
        <f t="shared" si="9"/>
        <v>2.87</v>
      </c>
      <c r="F48" s="47"/>
      <c r="G48" s="47">
        <f t="shared" si="12"/>
        <v>30.996000000000095</v>
      </c>
      <c r="H48" s="47">
        <v>1.1</v>
      </c>
      <c r="I48" s="47"/>
      <c r="J48" s="47">
        <f t="shared" si="13"/>
        <v>17.047800000000052</v>
      </c>
      <c r="K48" s="47"/>
      <c r="L48" s="48"/>
      <c r="M48" s="47">
        <v>3.08</v>
      </c>
      <c r="N48" s="49" t="s">
        <v>1137</v>
      </c>
    </row>
    <row r="49" spans="1:14" ht="15">
      <c r="A49" s="46">
        <v>0.45015</v>
      </c>
      <c r="B49" s="248" t="s">
        <v>1140</v>
      </c>
      <c r="C49" s="249"/>
      <c r="D49" s="249"/>
      <c r="E49" s="249"/>
      <c r="F49" s="249"/>
      <c r="G49" s="249"/>
      <c r="H49" s="249"/>
      <c r="I49" s="249"/>
      <c r="J49" s="249"/>
      <c r="K49" s="250"/>
      <c r="L49" s="48"/>
      <c r="M49" s="47"/>
      <c r="N49" s="49"/>
    </row>
    <row r="50" spans="1:14" ht="15">
      <c r="A50" s="46">
        <v>0.65115</v>
      </c>
      <c r="B50" s="251"/>
      <c r="C50" s="252"/>
      <c r="D50" s="252"/>
      <c r="E50" s="252"/>
      <c r="F50" s="252"/>
      <c r="G50" s="252"/>
      <c r="H50" s="252"/>
      <c r="I50" s="252"/>
      <c r="J50" s="252"/>
      <c r="K50" s="253"/>
      <c r="L50" s="48"/>
      <c r="M50" s="47"/>
      <c r="N50" s="49"/>
    </row>
    <row r="51" spans="1:14" ht="15">
      <c r="A51" s="46">
        <v>0.65115</v>
      </c>
      <c r="B51" s="47"/>
      <c r="C51" s="47">
        <f aca="true" t="shared" si="14" ref="C51:C59">+M51-0.18</f>
        <v>3.26</v>
      </c>
      <c r="D51" s="47"/>
      <c r="E51" s="47"/>
      <c r="F51" s="47"/>
      <c r="G51" s="47"/>
      <c r="H51" s="47"/>
      <c r="I51" s="47"/>
      <c r="J51" s="47"/>
      <c r="K51" s="47"/>
      <c r="L51" s="48"/>
      <c r="M51" s="47">
        <v>3.44</v>
      </c>
      <c r="N51" s="49" t="s">
        <v>1137</v>
      </c>
    </row>
    <row r="52" spans="1:14" ht="15">
      <c r="A52" s="46">
        <v>0.66925</v>
      </c>
      <c r="B52" s="47">
        <f>+(A52-A51)*1000</f>
        <v>18.100000000000005</v>
      </c>
      <c r="C52" s="47">
        <f t="shared" si="14"/>
        <v>3.36</v>
      </c>
      <c r="D52" s="47">
        <f>+C51+C52</f>
        <v>6.619999999999999</v>
      </c>
      <c r="E52" s="47">
        <f t="shared" si="9"/>
        <v>3.3099999999999996</v>
      </c>
      <c r="F52" s="47"/>
      <c r="G52" s="47">
        <f t="shared" si="12"/>
        <v>119.82200000000002</v>
      </c>
      <c r="H52" s="47">
        <v>1.1</v>
      </c>
      <c r="I52" s="47"/>
      <c r="J52" s="47">
        <f t="shared" si="13"/>
        <v>65.90210000000002</v>
      </c>
      <c r="K52" s="47"/>
      <c r="L52" s="48"/>
      <c r="M52" s="47">
        <v>3.54</v>
      </c>
      <c r="N52" s="49" t="s">
        <v>1137</v>
      </c>
    </row>
    <row r="53" spans="1:14" ht="15">
      <c r="A53" s="46">
        <v>0.67899</v>
      </c>
      <c r="B53" s="47">
        <f t="shared" si="7"/>
        <v>9.73999999999997</v>
      </c>
      <c r="C53" s="47">
        <f t="shared" si="14"/>
        <v>3.2399999999999998</v>
      </c>
      <c r="D53" s="47">
        <f t="shared" si="8"/>
        <v>6.6</v>
      </c>
      <c r="E53" s="47">
        <f t="shared" si="9"/>
        <v>3.3</v>
      </c>
      <c r="F53" s="47"/>
      <c r="G53" s="47">
        <f t="shared" si="12"/>
        <v>64.28399999999979</v>
      </c>
      <c r="H53" s="47">
        <v>1.1</v>
      </c>
      <c r="I53" s="47"/>
      <c r="J53" s="47">
        <f t="shared" si="13"/>
        <v>35.35619999999989</v>
      </c>
      <c r="K53" s="47"/>
      <c r="L53" s="48"/>
      <c r="M53" s="47">
        <v>3.42</v>
      </c>
      <c r="N53" s="49" t="s">
        <v>1137</v>
      </c>
    </row>
    <row r="54" spans="1:14" ht="15">
      <c r="A54" s="46">
        <v>0.67899</v>
      </c>
      <c r="B54" s="47">
        <f t="shared" si="7"/>
        <v>0</v>
      </c>
      <c r="C54" s="47">
        <f t="shared" si="14"/>
        <v>2.9699999999999998</v>
      </c>
      <c r="D54" s="47">
        <f t="shared" si="8"/>
        <v>6.209999999999999</v>
      </c>
      <c r="E54" s="47">
        <f t="shared" si="9"/>
        <v>3.1049999999999995</v>
      </c>
      <c r="F54" s="47"/>
      <c r="G54" s="47"/>
      <c r="H54" s="47">
        <v>1.1</v>
      </c>
      <c r="I54" s="47"/>
      <c r="J54" s="47">
        <f t="shared" si="13"/>
        <v>0</v>
      </c>
      <c r="K54" s="47"/>
      <c r="L54" s="48"/>
      <c r="M54" s="47">
        <v>3.15</v>
      </c>
      <c r="N54" s="49" t="s">
        <v>1137</v>
      </c>
    </row>
    <row r="55" spans="1:14" ht="15">
      <c r="A55" s="46">
        <v>0.72999</v>
      </c>
      <c r="B55" s="47">
        <f t="shared" si="7"/>
        <v>51.00000000000004</v>
      </c>
      <c r="C55" s="47">
        <f t="shared" si="14"/>
        <v>2.8499999999999996</v>
      </c>
      <c r="D55" s="47">
        <f t="shared" si="8"/>
        <v>5.819999999999999</v>
      </c>
      <c r="E55" s="47">
        <f t="shared" si="9"/>
        <v>2.9099999999999997</v>
      </c>
      <c r="F55" s="47"/>
      <c r="G55" s="47">
        <f t="shared" si="12"/>
        <v>296.8200000000002</v>
      </c>
      <c r="H55" s="47">
        <v>1.1</v>
      </c>
      <c r="I55" s="47"/>
      <c r="J55" s="47">
        <f t="shared" si="13"/>
        <v>163.25100000000015</v>
      </c>
      <c r="K55" s="47"/>
      <c r="L55" s="48"/>
      <c r="M55" s="47">
        <v>3.03</v>
      </c>
      <c r="N55" s="49" t="s">
        <v>1137</v>
      </c>
    </row>
    <row r="56" spans="1:14" ht="15">
      <c r="A56" s="46">
        <v>0.78099</v>
      </c>
      <c r="B56" s="47">
        <f t="shared" si="7"/>
        <v>50.999999999999936</v>
      </c>
      <c r="C56" s="47">
        <f t="shared" si="14"/>
        <v>2.8499999999999996</v>
      </c>
      <c r="D56" s="47">
        <f t="shared" si="8"/>
        <v>5.699999999999999</v>
      </c>
      <c r="E56" s="47">
        <f t="shared" si="9"/>
        <v>2.8499999999999996</v>
      </c>
      <c r="F56" s="47"/>
      <c r="G56" s="47">
        <f t="shared" si="12"/>
        <v>290.6999999999996</v>
      </c>
      <c r="H56" s="47">
        <v>1.1</v>
      </c>
      <c r="I56" s="47"/>
      <c r="J56" s="47">
        <f t="shared" si="13"/>
        <v>159.8849999999998</v>
      </c>
      <c r="K56" s="47"/>
      <c r="L56" s="48"/>
      <c r="M56" s="47">
        <v>3.03</v>
      </c>
      <c r="N56" s="49" t="s">
        <v>1137</v>
      </c>
    </row>
    <row r="57" spans="1:14" ht="15">
      <c r="A57" s="46">
        <v>0.83754</v>
      </c>
      <c r="B57" s="47">
        <f t="shared" si="7"/>
        <v>56.54999999999999</v>
      </c>
      <c r="C57" s="47">
        <f t="shared" si="14"/>
        <v>3.53</v>
      </c>
      <c r="D57" s="47">
        <f t="shared" si="8"/>
        <v>6.379999999999999</v>
      </c>
      <c r="E57" s="47">
        <f t="shared" si="9"/>
        <v>3.1899999999999995</v>
      </c>
      <c r="F57" s="47"/>
      <c r="G57" s="47">
        <f t="shared" si="12"/>
        <v>360.7889999999999</v>
      </c>
      <c r="H57" s="47">
        <v>1.1</v>
      </c>
      <c r="I57" s="47"/>
      <c r="J57" s="47">
        <f t="shared" si="13"/>
        <v>198.43394999999995</v>
      </c>
      <c r="K57" s="47"/>
      <c r="L57" s="48"/>
      <c r="M57" s="47">
        <v>3.71</v>
      </c>
      <c r="N57" s="49" t="s">
        <v>1137</v>
      </c>
    </row>
    <row r="58" spans="1:14" ht="15">
      <c r="A58" s="46">
        <v>0.90973</v>
      </c>
      <c r="B58" s="47">
        <f t="shared" si="7"/>
        <v>72.19000000000008</v>
      </c>
      <c r="C58" s="47">
        <f t="shared" si="14"/>
        <v>2.8299999999999996</v>
      </c>
      <c r="D58" s="47">
        <f t="shared" si="8"/>
        <v>6.359999999999999</v>
      </c>
      <c r="E58" s="47">
        <f t="shared" si="9"/>
        <v>3.1799999999999997</v>
      </c>
      <c r="F58" s="47"/>
      <c r="G58" s="47">
        <f t="shared" si="12"/>
        <v>459.1284000000005</v>
      </c>
      <c r="H58" s="47">
        <v>1.1</v>
      </c>
      <c r="I58" s="47"/>
      <c r="J58" s="47">
        <f t="shared" si="13"/>
        <v>252.5206200000003</v>
      </c>
      <c r="K58" s="47"/>
      <c r="L58" s="48"/>
      <c r="M58" s="47">
        <v>3.01</v>
      </c>
      <c r="N58" s="49" t="s">
        <v>1137</v>
      </c>
    </row>
    <row r="59" spans="1:14" ht="15">
      <c r="A59" s="46">
        <v>0.91331</v>
      </c>
      <c r="B59" s="47">
        <f>+(A59-A58)*1000</f>
        <v>3.5799999999999166</v>
      </c>
      <c r="C59" s="47">
        <f t="shared" si="14"/>
        <v>2.86</v>
      </c>
      <c r="D59" s="47">
        <f>+C58+C59</f>
        <v>5.6899999999999995</v>
      </c>
      <c r="E59" s="47">
        <f>+D59/2</f>
        <v>2.8449999999999998</v>
      </c>
      <c r="F59" s="47"/>
      <c r="G59" s="47">
        <f t="shared" si="12"/>
        <v>20.370199999999524</v>
      </c>
      <c r="H59" s="47">
        <v>1.1</v>
      </c>
      <c r="I59" s="47"/>
      <c r="J59" s="47">
        <f t="shared" si="13"/>
        <v>11.20360999999974</v>
      </c>
      <c r="K59" s="47"/>
      <c r="L59" s="48"/>
      <c r="M59" s="47">
        <v>3.04</v>
      </c>
      <c r="N59" s="49" t="s">
        <v>1137</v>
      </c>
    </row>
    <row r="60" spans="1:14" ht="15">
      <c r="A60" s="46">
        <v>0.91331</v>
      </c>
      <c r="B60" s="47">
        <f>+(A60-A59)*1000</f>
        <v>0</v>
      </c>
      <c r="C60" s="47">
        <f>+M60-0.05</f>
        <v>2.99</v>
      </c>
      <c r="D60" s="47">
        <f>+C59+C60</f>
        <v>5.85</v>
      </c>
      <c r="E60" s="47">
        <f>+D60/2</f>
        <v>2.925</v>
      </c>
      <c r="F60" s="47"/>
      <c r="G60" s="47"/>
      <c r="H60" s="47">
        <v>1.1</v>
      </c>
      <c r="I60" s="47"/>
      <c r="J60" s="47">
        <f t="shared" si="13"/>
        <v>0</v>
      </c>
      <c r="K60" s="47"/>
      <c r="L60" s="48"/>
      <c r="M60" s="47">
        <v>3.04</v>
      </c>
      <c r="N60" s="49" t="s">
        <v>1139</v>
      </c>
    </row>
    <row r="61" spans="1:14" ht="15">
      <c r="A61" s="46">
        <v>0.91531</v>
      </c>
      <c r="B61" s="47">
        <f>+(A61-A60)*1000</f>
        <v>2.0000000000000018</v>
      </c>
      <c r="C61" s="47">
        <f>+M61-0.05</f>
        <v>3.1100000000000003</v>
      </c>
      <c r="D61" s="47">
        <f>+C60+C61</f>
        <v>6.1000000000000005</v>
      </c>
      <c r="E61" s="47">
        <f>+D61/2</f>
        <v>3.0500000000000003</v>
      </c>
      <c r="F61" s="47"/>
      <c r="G61" s="47">
        <f t="shared" si="12"/>
        <v>12.200000000000012</v>
      </c>
      <c r="H61" s="47">
        <v>1.1</v>
      </c>
      <c r="I61" s="47"/>
      <c r="J61" s="47">
        <f t="shared" si="13"/>
        <v>6.710000000000007</v>
      </c>
      <c r="K61" s="47"/>
      <c r="L61" s="48"/>
      <c r="M61" s="47">
        <v>3.16</v>
      </c>
      <c r="N61" s="49" t="s">
        <v>1139</v>
      </c>
    </row>
    <row r="62" spans="1:14" ht="15">
      <c r="A62" s="46">
        <v>0.92428</v>
      </c>
      <c r="B62" s="47">
        <f>+(A62-A61)*1000</f>
        <v>8.970000000000034</v>
      </c>
      <c r="C62" s="47">
        <f>+M62</f>
        <v>3.44</v>
      </c>
      <c r="D62" s="47">
        <f>+C61+C62</f>
        <v>6.550000000000001</v>
      </c>
      <c r="E62" s="47">
        <f t="shared" si="9"/>
        <v>3.2750000000000004</v>
      </c>
      <c r="F62" s="47"/>
      <c r="G62" s="47">
        <f t="shared" si="12"/>
        <v>58.75350000000023</v>
      </c>
      <c r="H62" s="47">
        <v>1.1</v>
      </c>
      <c r="I62" s="47"/>
      <c r="J62" s="47">
        <f t="shared" si="13"/>
        <v>32.31442500000013</v>
      </c>
      <c r="K62" s="47"/>
      <c r="L62" s="48"/>
      <c r="M62" s="47">
        <v>3.44</v>
      </c>
      <c r="N62" s="49"/>
    </row>
    <row r="63" spans="1:14" ht="15">
      <c r="A63" s="46" t="s">
        <v>1142</v>
      </c>
      <c r="B63" s="47">
        <f>SUM(B7:B62)</f>
        <v>645.7800000000001</v>
      </c>
      <c r="C63" s="47"/>
      <c r="D63" s="47"/>
      <c r="E63" s="47"/>
      <c r="F63" s="47">
        <f>SUM(F7:F62)</f>
        <v>390.6418</v>
      </c>
      <c r="G63" s="47">
        <f>SUM(G7:G62)</f>
        <v>2846.4653999999996</v>
      </c>
      <c r="H63" s="47"/>
      <c r="I63" s="47">
        <f>SUM(I7:I62)</f>
        <v>694.3506600000001</v>
      </c>
      <c r="J63" s="47">
        <f>SUM(J7:J62)</f>
        <v>1170.532185</v>
      </c>
      <c r="K63" s="47">
        <f>SUM(K7:K62)</f>
        <v>0</v>
      </c>
      <c r="L63" s="48"/>
      <c r="M63" s="47"/>
      <c r="N63" s="49"/>
    </row>
    <row r="64" spans="1:14" ht="15">
      <c r="A64" s="43" t="s">
        <v>1143</v>
      </c>
      <c r="B64" s="44"/>
      <c r="C64" s="45"/>
      <c r="D64" s="44"/>
      <c r="E64" s="44"/>
      <c r="F64" s="44"/>
      <c r="G64" s="44"/>
      <c r="H64" s="44"/>
      <c r="I64" s="44"/>
      <c r="J64" s="44"/>
      <c r="K64" s="44"/>
      <c r="L64" s="40"/>
      <c r="M64" s="40"/>
      <c r="N64" s="49"/>
    </row>
    <row r="65" spans="1:14" ht="15">
      <c r="A65" s="46">
        <v>0</v>
      </c>
      <c r="B65" s="44"/>
      <c r="C65" s="47">
        <v>0.3</v>
      </c>
      <c r="D65" s="44"/>
      <c r="E65" s="44"/>
      <c r="F65" s="44"/>
      <c r="G65" s="44"/>
      <c r="H65" s="44"/>
      <c r="I65" s="44"/>
      <c r="J65" s="44"/>
      <c r="K65" s="44"/>
      <c r="L65" s="48"/>
      <c r="M65" s="47"/>
      <c r="N65" s="49"/>
    </row>
    <row r="66" spans="1:14" ht="15">
      <c r="A66" s="46">
        <v>0.00345</v>
      </c>
      <c r="B66" s="47">
        <f>+(A66-A65)*1000</f>
        <v>3.4499999999999997</v>
      </c>
      <c r="C66" s="47">
        <v>1.48</v>
      </c>
      <c r="D66" s="47">
        <f>+C65+C66</f>
        <v>1.78</v>
      </c>
      <c r="E66" s="47">
        <f>+D66/2</f>
        <v>0.89</v>
      </c>
      <c r="F66" s="47"/>
      <c r="G66" s="47"/>
      <c r="H66" s="47">
        <v>1.3</v>
      </c>
      <c r="I66" s="47">
        <f>+B66*E66*H66</f>
        <v>3.9916500000000004</v>
      </c>
      <c r="J66" s="47"/>
      <c r="K66" s="47"/>
      <c r="L66" s="48"/>
      <c r="M66" s="47"/>
      <c r="N66" s="49"/>
    </row>
    <row r="67" spans="1:14" ht="15">
      <c r="A67" s="46">
        <v>0.00471</v>
      </c>
      <c r="B67" s="47">
        <f>+(A67-A66)*1000</f>
        <v>1.2599999999999998</v>
      </c>
      <c r="C67" s="47">
        <v>2.84</v>
      </c>
      <c r="D67" s="47">
        <f>+C66+C67</f>
        <v>4.32</v>
      </c>
      <c r="E67" s="47">
        <f>+D67/2</f>
        <v>2.16</v>
      </c>
      <c r="F67" s="47"/>
      <c r="G67" s="47">
        <f>+B67*E67*2</f>
        <v>5.443199999999999</v>
      </c>
      <c r="H67" s="47">
        <v>1.3</v>
      </c>
      <c r="I67" s="47">
        <f>+B67*E67*H67</f>
        <v>3.5380799999999994</v>
      </c>
      <c r="J67" s="47"/>
      <c r="K67" s="47"/>
      <c r="L67" s="48"/>
      <c r="M67" s="47"/>
      <c r="N67" s="49"/>
    </row>
    <row r="68" spans="1:14" ht="15">
      <c r="A68" s="46">
        <v>0.01653</v>
      </c>
      <c r="B68" s="47">
        <f>+(A68-A67)*1000</f>
        <v>11.82</v>
      </c>
      <c r="C68" s="47">
        <v>3.11</v>
      </c>
      <c r="D68" s="47">
        <f>+C67+C68</f>
        <v>5.949999999999999</v>
      </c>
      <c r="E68" s="47">
        <f>+D68/2</f>
        <v>2.9749999999999996</v>
      </c>
      <c r="F68" s="47"/>
      <c r="G68" s="47">
        <f>+B68*E68*2</f>
        <v>70.329</v>
      </c>
      <c r="H68" s="47">
        <v>1.3</v>
      </c>
      <c r="I68" s="47"/>
      <c r="J68" s="47">
        <f>+B68*E68*H68</f>
        <v>45.71385</v>
      </c>
      <c r="K68" s="47"/>
      <c r="L68" s="48"/>
      <c r="M68" s="47"/>
      <c r="N68" s="49"/>
    </row>
    <row r="69" spans="1:14" ht="15">
      <c r="A69" s="46">
        <v>0.01846</v>
      </c>
      <c r="B69" s="47">
        <f>+(A69-A68)*1000</f>
        <v>1.930000000000001</v>
      </c>
      <c r="C69" s="47">
        <v>2.96</v>
      </c>
      <c r="D69" s="47">
        <f>+C68+C69</f>
        <v>6.07</v>
      </c>
      <c r="E69" s="47">
        <f>+D69/2</f>
        <v>3.035</v>
      </c>
      <c r="F69" s="47"/>
      <c r="G69" s="47">
        <f>+B69*E69*2</f>
        <v>11.715100000000007</v>
      </c>
      <c r="H69" s="47">
        <v>1.3</v>
      </c>
      <c r="I69" s="47"/>
      <c r="J69" s="47">
        <f>+B69*E69*H69</f>
        <v>7.6148150000000046</v>
      </c>
      <c r="K69" s="47"/>
      <c r="L69" s="48"/>
      <c r="M69" s="47"/>
      <c r="N69" s="49"/>
    </row>
    <row r="70" spans="1:14" ht="15">
      <c r="A70" s="46">
        <v>0.03896</v>
      </c>
      <c r="B70" s="47">
        <f aca="true" t="shared" si="15" ref="B70:B106">+(A70-A69)*1000</f>
        <v>20.5</v>
      </c>
      <c r="C70" s="47">
        <v>2.9</v>
      </c>
      <c r="D70" s="47">
        <f aca="true" t="shared" si="16" ref="D70:D106">+C69+C70</f>
        <v>5.859999999999999</v>
      </c>
      <c r="E70" s="47">
        <f aca="true" t="shared" si="17" ref="E70:E85">+D70/2</f>
        <v>2.9299999999999997</v>
      </c>
      <c r="F70" s="47"/>
      <c r="G70" s="47">
        <f>+B70*E70*2</f>
        <v>120.13</v>
      </c>
      <c r="H70" s="47">
        <v>1.3</v>
      </c>
      <c r="I70" s="47"/>
      <c r="J70" s="47">
        <f>+B70*E70*H70</f>
        <v>78.0845</v>
      </c>
      <c r="K70" s="47"/>
      <c r="L70" s="48"/>
      <c r="M70" s="47"/>
      <c r="N70" s="49"/>
    </row>
    <row r="71" spans="1:14" ht="15">
      <c r="A71" s="46">
        <v>0.04109</v>
      </c>
      <c r="B71" s="53"/>
      <c r="C71" s="54"/>
      <c r="D71" s="54"/>
      <c r="E71" s="54"/>
      <c r="F71" s="55" t="s">
        <v>1144</v>
      </c>
      <c r="G71" s="54"/>
      <c r="H71" s="54"/>
      <c r="I71" s="54"/>
      <c r="J71" s="54"/>
      <c r="K71" s="56"/>
      <c r="L71" s="48"/>
      <c r="M71" s="47"/>
      <c r="N71" s="49"/>
    </row>
    <row r="72" spans="1:14" ht="15">
      <c r="A72" s="46">
        <v>0.0733</v>
      </c>
      <c r="B72" s="53"/>
      <c r="C72" s="54"/>
      <c r="D72" s="54"/>
      <c r="E72" s="54"/>
      <c r="F72" s="55" t="s">
        <v>1145</v>
      </c>
      <c r="G72" s="54"/>
      <c r="H72" s="54"/>
      <c r="I72" s="54"/>
      <c r="J72" s="54"/>
      <c r="K72" s="56"/>
      <c r="L72" s="48"/>
      <c r="M72" s="47"/>
      <c r="N72" s="49"/>
    </row>
    <row r="73" spans="1:14" ht="15">
      <c r="A73" s="46">
        <v>0.0813</v>
      </c>
      <c r="B73" s="53"/>
      <c r="C73" s="54"/>
      <c r="D73" s="54"/>
      <c r="E73" s="54"/>
      <c r="F73" s="55" t="s">
        <v>1146</v>
      </c>
      <c r="G73" s="54"/>
      <c r="H73" s="54"/>
      <c r="I73" s="54"/>
      <c r="J73" s="54"/>
      <c r="K73" s="56"/>
      <c r="L73" s="48"/>
      <c r="M73" s="47"/>
      <c r="N73" s="49"/>
    </row>
    <row r="74" spans="1:14" ht="15">
      <c r="A74" s="46">
        <v>0.0813</v>
      </c>
      <c r="B74" s="47"/>
      <c r="C74" s="47">
        <f>+M74-0.5</f>
        <v>2.03</v>
      </c>
      <c r="D74" s="47"/>
      <c r="E74" s="47"/>
      <c r="F74" s="47"/>
      <c r="G74" s="47"/>
      <c r="H74" s="47"/>
      <c r="I74" s="47"/>
      <c r="J74" s="47"/>
      <c r="K74" s="47"/>
      <c r="L74" s="48"/>
      <c r="M74" s="47">
        <v>2.53</v>
      </c>
      <c r="N74" s="49" t="s">
        <v>1147</v>
      </c>
    </row>
    <row r="75" spans="1:14" ht="15">
      <c r="A75" s="46">
        <v>0.1</v>
      </c>
      <c r="B75" s="47">
        <f t="shared" si="15"/>
        <v>18.70000000000001</v>
      </c>
      <c r="C75" s="47">
        <f aca="true" t="shared" si="18" ref="C75:C85">+M75-0.5</f>
        <v>2.21</v>
      </c>
      <c r="D75" s="47">
        <f t="shared" si="16"/>
        <v>4.24</v>
      </c>
      <c r="E75" s="47">
        <f t="shared" si="17"/>
        <v>2.12</v>
      </c>
      <c r="F75" s="47"/>
      <c r="G75" s="47">
        <f aca="true" t="shared" si="19" ref="G75:G85">+B75*E75*2</f>
        <v>79.28800000000004</v>
      </c>
      <c r="H75" s="47">
        <v>1.3</v>
      </c>
      <c r="I75" s="47"/>
      <c r="J75" s="47"/>
      <c r="K75" s="47"/>
      <c r="L75" s="48"/>
      <c r="M75" s="47">
        <v>2.71</v>
      </c>
      <c r="N75" s="49" t="s">
        <v>1147</v>
      </c>
    </row>
    <row r="76" spans="1:14" ht="15">
      <c r="A76" s="46">
        <v>0.13015</v>
      </c>
      <c r="B76" s="47">
        <f t="shared" si="15"/>
        <v>30.14999999999998</v>
      </c>
      <c r="C76" s="47">
        <f t="shared" si="18"/>
        <v>2.61</v>
      </c>
      <c r="D76" s="47">
        <f t="shared" si="16"/>
        <v>4.82</v>
      </c>
      <c r="E76" s="47">
        <f t="shared" si="17"/>
        <v>2.41</v>
      </c>
      <c r="F76" s="47"/>
      <c r="G76" s="47">
        <f t="shared" si="19"/>
        <v>145.32299999999992</v>
      </c>
      <c r="H76" s="47">
        <v>1.3</v>
      </c>
      <c r="I76" s="47">
        <f>+B76*E76*H76</f>
        <v>94.45994999999995</v>
      </c>
      <c r="J76" s="47"/>
      <c r="K76" s="47"/>
      <c r="L76" s="48"/>
      <c r="M76" s="47">
        <v>3.11</v>
      </c>
      <c r="N76" s="49" t="s">
        <v>1147</v>
      </c>
    </row>
    <row r="77" spans="1:14" ht="15">
      <c r="A77" s="46">
        <v>0.13989</v>
      </c>
      <c r="B77" s="47">
        <f t="shared" si="15"/>
        <v>9.739999999999998</v>
      </c>
      <c r="C77" s="47">
        <f t="shared" si="18"/>
        <v>2.7</v>
      </c>
      <c r="D77" s="47">
        <f t="shared" si="16"/>
        <v>5.3100000000000005</v>
      </c>
      <c r="E77" s="47">
        <f t="shared" si="17"/>
        <v>2.6550000000000002</v>
      </c>
      <c r="F77" s="47"/>
      <c r="G77" s="47">
        <f t="shared" si="19"/>
        <v>51.71939999999999</v>
      </c>
      <c r="H77" s="47">
        <v>1.3</v>
      </c>
      <c r="I77" s="47"/>
      <c r="J77" s="47">
        <f aca="true" t="shared" si="20" ref="J77:J85">+B77*E77*H77</f>
        <v>33.61761</v>
      </c>
      <c r="K77" s="47"/>
      <c r="L77" s="48"/>
      <c r="M77" s="47">
        <v>3.2</v>
      </c>
      <c r="N77" s="49" t="s">
        <v>1147</v>
      </c>
    </row>
    <row r="78" spans="1:14" ht="15">
      <c r="A78" s="46">
        <v>0.15346</v>
      </c>
      <c r="B78" s="47">
        <f t="shared" si="15"/>
        <v>13.570000000000027</v>
      </c>
      <c r="C78" s="47">
        <f t="shared" si="18"/>
        <v>2.94</v>
      </c>
      <c r="D78" s="47">
        <f t="shared" si="16"/>
        <v>5.640000000000001</v>
      </c>
      <c r="E78" s="47">
        <f t="shared" si="17"/>
        <v>2.8200000000000003</v>
      </c>
      <c r="F78" s="47"/>
      <c r="G78" s="47">
        <f t="shared" si="19"/>
        <v>76.53480000000016</v>
      </c>
      <c r="H78" s="47">
        <v>1.3</v>
      </c>
      <c r="I78" s="47"/>
      <c r="J78" s="47">
        <f t="shared" si="20"/>
        <v>49.747620000000104</v>
      </c>
      <c r="K78" s="47"/>
      <c r="L78" s="48"/>
      <c r="M78" s="47">
        <v>3.44</v>
      </c>
      <c r="N78" s="49" t="s">
        <v>1147</v>
      </c>
    </row>
    <row r="79" spans="1:14" ht="15">
      <c r="A79" s="46">
        <v>0.16314</v>
      </c>
      <c r="B79" s="47">
        <f t="shared" si="15"/>
        <v>9.679999999999994</v>
      </c>
      <c r="C79" s="47">
        <f t="shared" si="18"/>
        <v>3.02</v>
      </c>
      <c r="D79" s="47">
        <f t="shared" si="16"/>
        <v>5.96</v>
      </c>
      <c r="E79" s="47">
        <f t="shared" si="17"/>
        <v>2.98</v>
      </c>
      <c r="F79" s="47"/>
      <c r="G79" s="47">
        <f t="shared" si="19"/>
        <v>57.69279999999996</v>
      </c>
      <c r="H79" s="47">
        <v>1.3</v>
      </c>
      <c r="I79" s="47"/>
      <c r="J79" s="47">
        <f t="shared" si="20"/>
        <v>37.500319999999974</v>
      </c>
      <c r="K79" s="47"/>
      <c r="L79" s="48"/>
      <c r="M79" s="47">
        <v>3.52</v>
      </c>
      <c r="N79" s="49" t="s">
        <v>1147</v>
      </c>
    </row>
    <row r="80" spans="1:14" ht="15">
      <c r="A80" s="46">
        <v>0.18215</v>
      </c>
      <c r="B80" s="47">
        <f t="shared" si="15"/>
        <v>19.009999999999998</v>
      </c>
      <c r="C80" s="47">
        <f t="shared" si="18"/>
        <v>3.22</v>
      </c>
      <c r="D80" s="47">
        <f t="shared" si="16"/>
        <v>6.24</v>
      </c>
      <c r="E80" s="47">
        <f t="shared" si="17"/>
        <v>3.12</v>
      </c>
      <c r="F80" s="47"/>
      <c r="G80" s="47">
        <f t="shared" si="19"/>
        <v>118.62239999999998</v>
      </c>
      <c r="H80" s="47">
        <v>1.3</v>
      </c>
      <c r="I80" s="47"/>
      <c r="J80" s="47">
        <f t="shared" si="20"/>
        <v>77.10455999999999</v>
      </c>
      <c r="K80" s="47"/>
      <c r="L80" s="48"/>
      <c r="M80" s="47">
        <v>3.72</v>
      </c>
      <c r="N80" s="49" t="s">
        <v>1147</v>
      </c>
    </row>
    <row r="81" spans="1:14" ht="15">
      <c r="A81" s="46">
        <v>0.21278</v>
      </c>
      <c r="B81" s="47">
        <f t="shared" si="15"/>
        <v>30.629999999999992</v>
      </c>
      <c r="C81" s="47">
        <f t="shared" si="18"/>
        <v>3.63</v>
      </c>
      <c r="D81" s="47">
        <f t="shared" si="16"/>
        <v>6.85</v>
      </c>
      <c r="E81" s="47">
        <f t="shared" si="17"/>
        <v>3.425</v>
      </c>
      <c r="F81" s="47"/>
      <c r="G81" s="47">
        <f t="shared" si="19"/>
        <v>209.81549999999993</v>
      </c>
      <c r="H81" s="47">
        <v>1.3</v>
      </c>
      <c r="I81" s="47"/>
      <c r="J81" s="47">
        <f t="shared" si="20"/>
        <v>136.38007499999995</v>
      </c>
      <c r="K81" s="47"/>
      <c r="L81" s="48"/>
      <c r="M81" s="47">
        <v>4.13</v>
      </c>
      <c r="N81" s="49" t="s">
        <v>1147</v>
      </c>
    </row>
    <row r="82" spans="1:14" ht="15">
      <c r="A82" s="46">
        <v>0.2343</v>
      </c>
      <c r="B82" s="47">
        <f t="shared" si="15"/>
        <v>21.52000000000001</v>
      </c>
      <c r="C82" s="47">
        <f t="shared" si="18"/>
        <v>3.8200000000000003</v>
      </c>
      <c r="D82" s="47">
        <f t="shared" si="16"/>
        <v>7.45</v>
      </c>
      <c r="E82" s="47">
        <f t="shared" si="17"/>
        <v>3.725</v>
      </c>
      <c r="F82" s="47"/>
      <c r="G82" s="47">
        <f t="shared" si="19"/>
        <v>160.32400000000007</v>
      </c>
      <c r="H82" s="47">
        <v>1.3</v>
      </c>
      <c r="I82" s="47"/>
      <c r="J82" s="47">
        <f t="shared" si="20"/>
        <v>104.21060000000004</v>
      </c>
      <c r="K82" s="47"/>
      <c r="L82" s="48"/>
      <c r="M82" s="47">
        <v>4.32</v>
      </c>
      <c r="N82" s="49" t="s">
        <v>1147</v>
      </c>
    </row>
    <row r="83" spans="1:14" ht="15">
      <c r="A83" s="46">
        <v>0.24715</v>
      </c>
      <c r="B83" s="47">
        <f t="shared" si="15"/>
        <v>12.85</v>
      </c>
      <c r="C83" s="47">
        <f t="shared" si="18"/>
        <v>4.06</v>
      </c>
      <c r="D83" s="47">
        <f t="shared" si="16"/>
        <v>7.88</v>
      </c>
      <c r="E83" s="47">
        <f t="shared" si="17"/>
        <v>3.94</v>
      </c>
      <c r="F83" s="47"/>
      <c r="G83" s="47">
        <f t="shared" si="19"/>
        <v>101.258</v>
      </c>
      <c r="H83" s="47">
        <v>1.3</v>
      </c>
      <c r="I83" s="47"/>
      <c r="J83" s="47">
        <f t="shared" si="20"/>
        <v>65.8177</v>
      </c>
      <c r="K83" s="47">
        <f>+B83*E83*H83</f>
        <v>65.8177</v>
      </c>
      <c r="L83" s="48"/>
      <c r="M83" s="47">
        <v>4.56</v>
      </c>
      <c r="N83" s="49" t="s">
        <v>1147</v>
      </c>
    </row>
    <row r="84" spans="1:14" ht="15">
      <c r="A84" s="46">
        <v>0.24715</v>
      </c>
      <c r="B84" s="47">
        <f t="shared" si="15"/>
        <v>0</v>
      </c>
      <c r="C84" s="47">
        <f t="shared" si="18"/>
        <v>3.66</v>
      </c>
      <c r="D84" s="47">
        <f t="shared" si="16"/>
        <v>7.72</v>
      </c>
      <c r="E84" s="47">
        <f t="shared" si="17"/>
        <v>3.86</v>
      </c>
      <c r="F84" s="47"/>
      <c r="G84" s="47">
        <f t="shared" si="19"/>
        <v>0</v>
      </c>
      <c r="H84" s="47">
        <v>1.3</v>
      </c>
      <c r="I84" s="47"/>
      <c r="J84" s="47">
        <f t="shared" si="20"/>
        <v>0</v>
      </c>
      <c r="K84" s="47">
        <f>+B84*E84*H84</f>
        <v>0</v>
      </c>
      <c r="L84" s="48"/>
      <c r="M84" s="47">
        <v>4.16</v>
      </c>
      <c r="N84" s="49" t="s">
        <v>1147</v>
      </c>
    </row>
    <row r="85" spans="1:14" ht="15">
      <c r="A85" s="46">
        <v>0.265</v>
      </c>
      <c r="B85" s="47">
        <f t="shared" si="15"/>
        <v>17.850000000000005</v>
      </c>
      <c r="C85" s="47">
        <f t="shared" si="18"/>
        <v>3.46</v>
      </c>
      <c r="D85" s="47">
        <f t="shared" si="16"/>
        <v>7.12</v>
      </c>
      <c r="E85" s="47">
        <f t="shared" si="17"/>
        <v>3.56</v>
      </c>
      <c r="F85" s="47"/>
      <c r="G85" s="47">
        <f t="shared" si="19"/>
        <v>127.09200000000004</v>
      </c>
      <c r="H85" s="47">
        <v>1.3</v>
      </c>
      <c r="I85" s="47"/>
      <c r="J85" s="47">
        <f t="shared" si="20"/>
        <v>82.60980000000004</v>
      </c>
      <c r="K85" s="47"/>
      <c r="L85" s="48"/>
      <c r="M85" s="47">
        <v>3.96</v>
      </c>
      <c r="N85" s="49" t="s">
        <v>1147</v>
      </c>
    </row>
    <row r="86" spans="1:14" ht="15">
      <c r="A86" s="46" t="s">
        <v>1142</v>
      </c>
      <c r="B86" s="47">
        <f>SUM(B65:B85)</f>
        <v>222.66</v>
      </c>
      <c r="C86" s="47"/>
      <c r="D86" s="47"/>
      <c r="E86" s="47"/>
      <c r="F86" s="47">
        <f>SUM(F65:F85)</f>
        <v>0</v>
      </c>
      <c r="G86" s="47">
        <f>SUM(G65:G85)</f>
        <v>1335.2872</v>
      </c>
      <c r="H86" s="47"/>
      <c r="I86" s="47">
        <f>SUM(I65:I85)</f>
        <v>101.98967999999995</v>
      </c>
      <c r="J86" s="47">
        <f>SUM(J65:J85)</f>
        <v>718.4014500000002</v>
      </c>
      <c r="K86" s="47">
        <f>SUM(K65:K85)</f>
        <v>65.8177</v>
      </c>
      <c r="L86" s="48"/>
      <c r="M86" s="57"/>
      <c r="N86" s="49"/>
    </row>
    <row r="87" spans="1:14" ht="15">
      <c r="A87" s="43" t="s">
        <v>1148</v>
      </c>
      <c r="B87" s="44"/>
      <c r="C87" s="45"/>
      <c r="D87" s="44"/>
      <c r="E87" s="44"/>
      <c r="F87" s="44"/>
      <c r="G87" s="44"/>
      <c r="H87" s="44"/>
      <c r="I87" s="44"/>
      <c r="J87" s="44"/>
      <c r="K87" s="44"/>
      <c r="L87" s="40"/>
      <c r="M87" s="40"/>
      <c r="N87" s="49"/>
    </row>
    <row r="88" spans="1:14" ht="15">
      <c r="A88" s="46">
        <v>0</v>
      </c>
      <c r="B88" s="44"/>
      <c r="C88" s="47">
        <f>+M88-0.18</f>
        <v>2.04</v>
      </c>
      <c r="D88" s="44"/>
      <c r="E88" s="44"/>
      <c r="F88" s="44"/>
      <c r="G88" s="44"/>
      <c r="H88" s="44"/>
      <c r="I88" s="44"/>
      <c r="J88" s="44"/>
      <c r="K88" s="44"/>
      <c r="L88" s="48"/>
      <c r="M88" s="47">
        <v>2.22</v>
      </c>
      <c r="N88" s="49" t="s">
        <v>1137</v>
      </c>
    </row>
    <row r="89" spans="1:16" ht="15">
      <c r="A89" s="46">
        <v>0.01139</v>
      </c>
      <c r="B89" s="47">
        <f>+(A89-A88)*1000</f>
        <v>11.39</v>
      </c>
      <c r="C89" s="47">
        <f>+M89-0.18</f>
        <v>2.3299999999999996</v>
      </c>
      <c r="D89" s="47">
        <f>+C88+C89</f>
        <v>4.369999999999999</v>
      </c>
      <c r="E89" s="47">
        <f>+D89/2</f>
        <v>2.1849999999999996</v>
      </c>
      <c r="F89" s="47"/>
      <c r="G89" s="47">
        <f>+B89*E89*2</f>
        <v>49.7743</v>
      </c>
      <c r="H89" s="47">
        <v>1</v>
      </c>
      <c r="I89" s="47">
        <f>+B89*E89*H89</f>
        <v>24.88715</v>
      </c>
      <c r="J89" s="47"/>
      <c r="K89" s="47"/>
      <c r="L89" s="48"/>
      <c r="M89" s="47">
        <v>2.51</v>
      </c>
      <c r="N89" s="49" t="s">
        <v>1137</v>
      </c>
      <c r="P89" s="50"/>
    </row>
    <row r="90" spans="1:14" ht="15">
      <c r="A90" s="46">
        <v>0.01139</v>
      </c>
      <c r="B90" s="47">
        <f>+(A90-A89)*1000</f>
        <v>0</v>
      </c>
      <c r="C90" s="47">
        <v>2.51</v>
      </c>
      <c r="D90" s="47">
        <f>+C89+C90</f>
        <v>4.84</v>
      </c>
      <c r="E90" s="47">
        <f>+D90/2</f>
        <v>2.42</v>
      </c>
      <c r="F90" s="47"/>
      <c r="G90" s="47">
        <f>+B90*E90*2</f>
        <v>0</v>
      </c>
      <c r="H90" s="47">
        <v>1</v>
      </c>
      <c r="I90" s="47">
        <f>+B90*E90*H90</f>
        <v>0</v>
      </c>
      <c r="J90" s="47"/>
      <c r="K90" s="47"/>
      <c r="L90" s="48"/>
      <c r="M90" s="47"/>
      <c r="N90" s="49"/>
    </row>
    <row r="91" spans="1:14" ht="15">
      <c r="A91" s="46">
        <v>0.02262</v>
      </c>
      <c r="B91" s="47">
        <f>+(A91-A90)*1000</f>
        <v>11.23</v>
      </c>
      <c r="C91" s="47">
        <v>2.68</v>
      </c>
      <c r="D91" s="47">
        <f>+C90+C91</f>
        <v>5.1899999999999995</v>
      </c>
      <c r="E91" s="47">
        <f>+D91/2</f>
        <v>2.5949999999999998</v>
      </c>
      <c r="F91" s="47"/>
      <c r="G91" s="47">
        <f>+B91*E91*2</f>
        <v>58.283699999999996</v>
      </c>
      <c r="H91" s="47">
        <v>1</v>
      </c>
      <c r="I91" s="47"/>
      <c r="J91" s="47">
        <f>+B91*E91*H91</f>
        <v>29.141849999999998</v>
      </c>
      <c r="K91" s="47"/>
      <c r="L91" s="48"/>
      <c r="M91" s="47"/>
      <c r="N91" s="49"/>
    </row>
    <row r="92" spans="1:14" ht="15">
      <c r="A92" s="46">
        <v>0.02717</v>
      </c>
      <c r="B92" s="47">
        <f>+(A92-A91)*1000</f>
        <v>4.549999999999999</v>
      </c>
      <c r="C92" s="47">
        <v>2.43</v>
      </c>
      <c r="D92" s="47">
        <f>+C91+C92</f>
        <v>5.11</v>
      </c>
      <c r="E92" s="47">
        <f>+D92/2</f>
        <v>2.555</v>
      </c>
      <c r="F92" s="47"/>
      <c r="G92" s="47">
        <f>+B92*E92*2</f>
        <v>23.250499999999995</v>
      </c>
      <c r="H92" s="47">
        <v>1</v>
      </c>
      <c r="I92" s="47"/>
      <c r="J92" s="47">
        <f>+B92*E92*H92</f>
        <v>11.625249999999998</v>
      </c>
      <c r="K92" s="47"/>
      <c r="L92" s="48"/>
      <c r="M92" s="47"/>
      <c r="N92" s="49"/>
    </row>
    <row r="93" spans="1:14" ht="15">
      <c r="A93" s="46">
        <v>0.02717</v>
      </c>
      <c r="B93" s="47">
        <f t="shared" si="15"/>
        <v>0</v>
      </c>
      <c r="C93" s="47">
        <f aca="true" t="shared" si="21" ref="C93:C106">+M93-0.5</f>
        <v>1.9300000000000002</v>
      </c>
      <c r="D93" s="47">
        <f t="shared" si="16"/>
        <v>4.36</v>
      </c>
      <c r="E93" s="47">
        <f>+D93/2</f>
        <v>2.18</v>
      </c>
      <c r="F93" s="47"/>
      <c r="G93" s="47"/>
      <c r="H93" s="47">
        <v>1</v>
      </c>
      <c r="I93" s="47">
        <f>+B93*E93*H93</f>
        <v>0</v>
      </c>
      <c r="J93" s="47"/>
      <c r="K93" s="47"/>
      <c r="L93" s="48"/>
      <c r="M93" s="47">
        <v>2.43</v>
      </c>
      <c r="N93" s="49" t="s">
        <v>1147</v>
      </c>
    </row>
    <row r="94" spans="1:16" ht="15">
      <c r="A94" s="46">
        <v>0.03291</v>
      </c>
      <c r="B94" s="47">
        <f>+(A94-A93)*1000</f>
        <v>5.740000000000002</v>
      </c>
      <c r="C94" s="47">
        <f t="shared" si="21"/>
        <v>1.79</v>
      </c>
      <c r="D94" s="47">
        <f>+C93+C94</f>
        <v>3.72</v>
      </c>
      <c r="E94" s="47">
        <f aca="true" t="shared" si="22" ref="E94:E106">+D94/2</f>
        <v>1.86</v>
      </c>
      <c r="F94" s="47"/>
      <c r="G94" s="47"/>
      <c r="H94" s="47">
        <v>1</v>
      </c>
      <c r="I94" s="47">
        <f>+B94*E94*H94</f>
        <v>10.676400000000005</v>
      </c>
      <c r="J94" s="47"/>
      <c r="K94" s="47"/>
      <c r="L94" s="48"/>
      <c r="M94" s="47">
        <v>2.29</v>
      </c>
      <c r="N94" s="49" t="s">
        <v>1147</v>
      </c>
      <c r="P94" t="s">
        <v>1149</v>
      </c>
    </row>
    <row r="95" spans="1:16" ht="15">
      <c r="A95" s="46">
        <v>0.05551</v>
      </c>
      <c r="B95" s="47">
        <f t="shared" si="15"/>
        <v>22.599999999999994</v>
      </c>
      <c r="C95" s="47">
        <f t="shared" si="21"/>
        <v>1.9700000000000002</v>
      </c>
      <c r="D95" s="47">
        <f t="shared" si="16"/>
        <v>3.7600000000000002</v>
      </c>
      <c r="E95" s="47">
        <f t="shared" si="22"/>
        <v>1.8800000000000001</v>
      </c>
      <c r="F95" s="47"/>
      <c r="G95" s="47"/>
      <c r="H95" s="47">
        <v>1</v>
      </c>
      <c r="I95" s="47">
        <f>+B95*E95*H95</f>
        <v>42.48799999999999</v>
      </c>
      <c r="J95" s="47"/>
      <c r="K95" s="47"/>
      <c r="L95" s="48"/>
      <c r="M95" s="47">
        <v>2.47</v>
      </c>
      <c r="N95" s="49" t="s">
        <v>1147</v>
      </c>
      <c r="P95" t="s">
        <v>1149</v>
      </c>
    </row>
    <row r="96" spans="1:16" ht="15">
      <c r="A96" s="46">
        <v>0.08056</v>
      </c>
      <c r="B96" s="47">
        <f t="shared" si="15"/>
        <v>25.05000000000001</v>
      </c>
      <c r="C96" s="47">
        <f t="shared" si="21"/>
        <v>2.32</v>
      </c>
      <c r="D96" s="47">
        <f t="shared" si="16"/>
        <v>4.29</v>
      </c>
      <c r="E96" s="47">
        <f t="shared" si="22"/>
        <v>2.145</v>
      </c>
      <c r="F96" s="47"/>
      <c r="G96" s="47"/>
      <c r="H96" s="47">
        <v>1</v>
      </c>
      <c r="I96" s="47">
        <f>+B96*E96*H96</f>
        <v>53.73225000000002</v>
      </c>
      <c r="J96" s="47"/>
      <c r="K96" s="47"/>
      <c r="L96" s="48"/>
      <c r="M96" s="47">
        <v>2.82</v>
      </c>
      <c r="N96" s="49" t="s">
        <v>1147</v>
      </c>
      <c r="P96" t="s">
        <v>1149</v>
      </c>
    </row>
    <row r="97" spans="1:16" ht="15">
      <c r="A97" s="46">
        <v>0.0957</v>
      </c>
      <c r="B97" s="47">
        <f t="shared" si="15"/>
        <v>15.139999999999986</v>
      </c>
      <c r="C97" s="47">
        <f t="shared" si="21"/>
        <v>2.47</v>
      </c>
      <c r="D97" s="47">
        <f t="shared" si="16"/>
        <v>4.79</v>
      </c>
      <c r="E97" s="47">
        <f t="shared" si="22"/>
        <v>2.395</v>
      </c>
      <c r="F97" s="47"/>
      <c r="G97" s="47"/>
      <c r="H97" s="47">
        <v>1</v>
      </c>
      <c r="I97" s="47"/>
      <c r="J97" s="47">
        <f aca="true" t="shared" si="23" ref="J97:J106">+B97*E97*H97</f>
        <v>36.260299999999965</v>
      </c>
      <c r="K97" s="47"/>
      <c r="L97" s="48"/>
      <c r="M97" s="47">
        <v>2.97</v>
      </c>
      <c r="N97" s="49" t="s">
        <v>1147</v>
      </c>
      <c r="P97" t="s">
        <v>1149</v>
      </c>
    </row>
    <row r="98" spans="1:16" ht="15">
      <c r="A98" s="46">
        <v>0.10375</v>
      </c>
      <c r="B98" s="47">
        <f t="shared" si="15"/>
        <v>8.05</v>
      </c>
      <c r="C98" s="47">
        <f t="shared" si="21"/>
        <v>2.57</v>
      </c>
      <c r="D98" s="47">
        <f t="shared" si="16"/>
        <v>5.04</v>
      </c>
      <c r="E98" s="47">
        <f t="shared" si="22"/>
        <v>2.52</v>
      </c>
      <c r="F98" s="47"/>
      <c r="G98" s="47"/>
      <c r="H98" s="47">
        <v>1</v>
      </c>
      <c r="I98" s="47"/>
      <c r="J98" s="47">
        <f t="shared" si="23"/>
        <v>20.286</v>
      </c>
      <c r="K98" s="47"/>
      <c r="L98" s="48"/>
      <c r="M98" s="47">
        <v>3.07</v>
      </c>
      <c r="N98" s="49" t="s">
        <v>1147</v>
      </c>
      <c r="P98" t="s">
        <v>1149</v>
      </c>
    </row>
    <row r="99" spans="1:16" ht="15">
      <c r="A99" s="46">
        <v>0.10836</v>
      </c>
      <c r="B99" s="47">
        <f t="shared" si="15"/>
        <v>4.610000000000003</v>
      </c>
      <c r="C99" s="47">
        <f t="shared" si="21"/>
        <v>2.67</v>
      </c>
      <c r="D99" s="47">
        <f t="shared" si="16"/>
        <v>5.24</v>
      </c>
      <c r="E99" s="47">
        <f t="shared" si="22"/>
        <v>2.62</v>
      </c>
      <c r="F99" s="47"/>
      <c r="G99" s="47"/>
      <c r="H99" s="47">
        <v>1</v>
      </c>
      <c r="I99" s="47"/>
      <c r="J99" s="47">
        <f t="shared" si="23"/>
        <v>12.078200000000008</v>
      </c>
      <c r="K99" s="47"/>
      <c r="L99" s="48"/>
      <c r="M99" s="47">
        <v>3.17</v>
      </c>
      <c r="N99" s="49" t="s">
        <v>1147</v>
      </c>
      <c r="P99" t="s">
        <v>1149</v>
      </c>
    </row>
    <row r="100" spans="1:16" ht="15">
      <c r="A100" s="46">
        <v>0.1318</v>
      </c>
      <c r="B100" s="47">
        <f t="shared" si="15"/>
        <v>23.44</v>
      </c>
      <c r="C100" s="47">
        <f t="shared" si="21"/>
        <v>2.92</v>
      </c>
      <c r="D100" s="47">
        <f t="shared" si="16"/>
        <v>5.59</v>
      </c>
      <c r="E100" s="47">
        <f t="shared" si="22"/>
        <v>2.795</v>
      </c>
      <c r="F100" s="47"/>
      <c r="G100" s="47"/>
      <c r="H100" s="47">
        <v>1</v>
      </c>
      <c r="I100" s="47"/>
      <c r="J100" s="47">
        <f t="shared" si="23"/>
        <v>65.51480000000001</v>
      </c>
      <c r="K100" s="47"/>
      <c r="L100" s="48"/>
      <c r="M100" s="47">
        <v>3.42</v>
      </c>
      <c r="N100" s="49" t="s">
        <v>1147</v>
      </c>
      <c r="P100" t="s">
        <v>1149</v>
      </c>
    </row>
    <row r="101" spans="1:16" ht="15">
      <c r="A101" s="46">
        <v>0.13937</v>
      </c>
      <c r="B101" s="47">
        <f t="shared" si="15"/>
        <v>7.569999999999993</v>
      </c>
      <c r="C101" s="47">
        <f t="shared" si="21"/>
        <v>3.03</v>
      </c>
      <c r="D101" s="47">
        <f t="shared" si="16"/>
        <v>5.949999999999999</v>
      </c>
      <c r="E101" s="47">
        <f t="shared" si="22"/>
        <v>2.9749999999999996</v>
      </c>
      <c r="F101" s="47"/>
      <c r="G101" s="47"/>
      <c r="H101" s="47">
        <v>1</v>
      </c>
      <c r="I101" s="47"/>
      <c r="J101" s="47">
        <f t="shared" si="23"/>
        <v>22.52074999999998</v>
      </c>
      <c r="K101" s="47"/>
      <c r="L101" s="48"/>
      <c r="M101" s="47">
        <v>3.53</v>
      </c>
      <c r="N101" s="49" t="s">
        <v>1147</v>
      </c>
      <c r="P101" t="s">
        <v>1149</v>
      </c>
    </row>
    <row r="102" spans="1:16" ht="15">
      <c r="A102" s="46">
        <v>0.15715</v>
      </c>
      <c r="B102" s="47">
        <f t="shared" si="15"/>
        <v>17.78000000000002</v>
      </c>
      <c r="C102" s="47">
        <f t="shared" si="21"/>
        <v>3.28</v>
      </c>
      <c r="D102" s="47">
        <f t="shared" si="16"/>
        <v>6.31</v>
      </c>
      <c r="E102" s="47">
        <f t="shared" si="22"/>
        <v>3.155</v>
      </c>
      <c r="F102" s="47"/>
      <c r="G102" s="47"/>
      <c r="H102" s="47">
        <v>1</v>
      </c>
      <c r="I102" s="47"/>
      <c r="J102" s="47">
        <f t="shared" si="23"/>
        <v>56.09590000000006</v>
      </c>
      <c r="K102" s="47"/>
      <c r="L102" s="48"/>
      <c r="M102" s="47">
        <v>3.78</v>
      </c>
      <c r="N102" s="49" t="s">
        <v>1147</v>
      </c>
      <c r="P102" t="s">
        <v>1149</v>
      </c>
    </row>
    <row r="103" spans="1:16" ht="15">
      <c r="A103" s="46">
        <v>0.17767</v>
      </c>
      <c r="B103" s="47">
        <f t="shared" si="15"/>
        <v>20.519999999999982</v>
      </c>
      <c r="C103" s="47">
        <f t="shared" si="21"/>
        <v>3.54</v>
      </c>
      <c r="D103" s="47">
        <f t="shared" si="16"/>
        <v>6.82</v>
      </c>
      <c r="E103" s="47">
        <f t="shared" si="22"/>
        <v>3.41</v>
      </c>
      <c r="F103" s="47"/>
      <c r="G103" s="47"/>
      <c r="H103" s="47">
        <v>1</v>
      </c>
      <c r="I103" s="47"/>
      <c r="J103" s="47">
        <f t="shared" si="23"/>
        <v>69.97319999999993</v>
      </c>
      <c r="K103" s="47"/>
      <c r="L103" s="48"/>
      <c r="M103" s="47">
        <v>4.04</v>
      </c>
      <c r="N103" s="49" t="s">
        <v>1147</v>
      </c>
      <c r="P103" t="s">
        <v>1149</v>
      </c>
    </row>
    <row r="104" spans="1:16" ht="15">
      <c r="A104" s="46">
        <v>0.202</v>
      </c>
      <c r="B104" s="47">
        <f t="shared" si="15"/>
        <v>24.33000000000002</v>
      </c>
      <c r="C104" s="47">
        <f t="shared" si="21"/>
        <v>3.92</v>
      </c>
      <c r="D104" s="47">
        <f t="shared" si="16"/>
        <v>7.46</v>
      </c>
      <c r="E104" s="47">
        <f t="shared" si="22"/>
        <v>3.73</v>
      </c>
      <c r="F104" s="47"/>
      <c r="G104" s="47"/>
      <c r="H104" s="47">
        <v>1</v>
      </c>
      <c r="I104" s="47"/>
      <c r="J104" s="47">
        <f t="shared" si="23"/>
        <v>90.75090000000007</v>
      </c>
      <c r="K104" s="47"/>
      <c r="L104" s="48"/>
      <c r="M104" s="47">
        <v>4.42</v>
      </c>
      <c r="N104" s="49" t="s">
        <v>1147</v>
      </c>
      <c r="P104" t="s">
        <v>1149</v>
      </c>
    </row>
    <row r="105" spans="1:16" ht="15">
      <c r="A105" s="46">
        <v>0.202</v>
      </c>
      <c r="B105" s="47">
        <f t="shared" si="15"/>
        <v>0</v>
      </c>
      <c r="C105" s="47">
        <f t="shared" si="21"/>
        <v>3.03</v>
      </c>
      <c r="D105" s="47">
        <f t="shared" si="16"/>
        <v>6.949999999999999</v>
      </c>
      <c r="E105" s="47">
        <f t="shared" si="22"/>
        <v>3.4749999999999996</v>
      </c>
      <c r="F105" s="47"/>
      <c r="G105" s="47"/>
      <c r="H105" s="47">
        <v>1</v>
      </c>
      <c r="I105" s="47"/>
      <c r="J105" s="47">
        <f t="shared" si="23"/>
        <v>0</v>
      </c>
      <c r="K105" s="47"/>
      <c r="L105" s="48"/>
      <c r="M105" s="47">
        <v>3.53</v>
      </c>
      <c r="N105" s="49" t="s">
        <v>1147</v>
      </c>
      <c r="P105" t="s">
        <v>1149</v>
      </c>
    </row>
    <row r="106" spans="1:16" ht="15">
      <c r="A106" s="46">
        <v>0.2203</v>
      </c>
      <c r="B106" s="47">
        <f t="shared" si="15"/>
        <v>18.299999999999983</v>
      </c>
      <c r="C106" s="47">
        <f t="shared" si="21"/>
        <v>3.08</v>
      </c>
      <c r="D106" s="47">
        <f t="shared" si="16"/>
        <v>6.109999999999999</v>
      </c>
      <c r="E106" s="47">
        <f t="shared" si="22"/>
        <v>3.0549999999999997</v>
      </c>
      <c r="F106" s="47"/>
      <c r="G106" s="47"/>
      <c r="H106" s="47">
        <v>1</v>
      </c>
      <c r="I106" s="47"/>
      <c r="J106" s="47">
        <f t="shared" si="23"/>
        <v>55.906499999999944</v>
      </c>
      <c r="K106" s="47"/>
      <c r="L106" s="48"/>
      <c r="M106" s="47">
        <v>3.58</v>
      </c>
      <c r="N106" s="49" t="s">
        <v>1147</v>
      </c>
      <c r="P106" t="s">
        <v>1149</v>
      </c>
    </row>
    <row r="107" spans="1:14" ht="15">
      <c r="A107" s="46" t="s">
        <v>1142</v>
      </c>
      <c r="B107" s="47">
        <f>SUM(B88:B106)</f>
        <v>220.29999999999998</v>
      </c>
      <c r="C107" s="47"/>
      <c r="D107" s="47"/>
      <c r="E107" s="47"/>
      <c r="F107" s="47">
        <f>SUM(F88:F106)</f>
        <v>0</v>
      </c>
      <c r="G107" s="47">
        <f>SUM(G88:G106)</f>
        <v>131.30849999999998</v>
      </c>
      <c r="H107" s="47"/>
      <c r="I107" s="47">
        <f>SUM(I88:I106)</f>
        <v>131.7838</v>
      </c>
      <c r="J107" s="47">
        <f>SUM(J88:J106)</f>
        <v>470.15364999999997</v>
      </c>
      <c r="K107" s="47">
        <f>SUM(K88:K106)</f>
        <v>0</v>
      </c>
      <c r="L107" s="48"/>
      <c r="M107" s="47"/>
      <c r="N107" s="49"/>
    </row>
    <row r="108" spans="1:14" ht="15">
      <c r="A108" s="58" t="s">
        <v>1034</v>
      </c>
      <c r="B108" s="59">
        <f>+B63+B86+B107</f>
        <v>1088.74</v>
      </c>
      <c r="C108" s="59"/>
      <c r="D108" s="59"/>
      <c r="E108" s="59"/>
      <c r="F108" s="59">
        <f>+F63+F86+F107</f>
        <v>390.6418</v>
      </c>
      <c r="G108" s="59">
        <f>+G63+G86+G107</f>
        <v>4313.0611</v>
      </c>
      <c r="H108" s="59"/>
      <c r="I108" s="59">
        <f>+I63+I86+I107</f>
        <v>928.12414</v>
      </c>
      <c r="J108" s="59">
        <f>+J63+J86+J107</f>
        <v>2359.0872850000005</v>
      </c>
      <c r="K108" s="59">
        <f>+K63+K86+K107</f>
        <v>65.8177</v>
      </c>
      <c r="L108" s="48"/>
      <c r="M108" s="47"/>
      <c r="N108" s="49"/>
    </row>
    <row r="109" spans="1:14" ht="15">
      <c r="A109" s="46"/>
      <c r="B109" s="47"/>
      <c r="C109" s="47"/>
      <c r="D109" s="47"/>
      <c r="E109" s="47"/>
      <c r="F109" s="47"/>
      <c r="G109" s="47"/>
      <c r="H109" s="47"/>
      <c r="I109" s="47"/>
      <c r="J109" s="59"/>
      <c r="K109" s="59">
        <f>+I108+J108+K108</f>
        <v>3353.0291250000005</v>
      </c>
      <c r="L109" s="48"/>
      <c r="M109" s="57"/>
      <c r="N109" s="49"/>
    </row>
    <row r="110" spans="1:14" ht="15">
      <c r="A110" s="58" t="s">
        <v>1150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8"/>
      <c r="M110" s="57"/>
      <c r="N110" s="49"/>
    </row>
    <row r="111" spans="1:14" ht="15">
      <c r="A111" s="60" t="s">
        <v>1136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8"/>
      <c r="M111" s="57"/>
      <c r="N111" s="49"/>
    </row>
    <row r="112" spans="1:14" ht="15">
      <c r="A112" s="46">
        <v>0.00164</v>
      </c>
      <c r="B112" s="44"/>
      <c r="C112" s="47">
        <f>+M112-0.1</f>
        <v>0</v>
      </c>
      <c r="D112" s="44"/>
      <c r="E112" s="44"/>
      <c r="F112" s="44"/>
      <c r="G112" s="44"/>
      <c r="H112" s="44"/>
      <c r="I112" s="44"/>
      <c r="J112" s="44"/>
      <c r="K112" s="44"/>
      <c r="L112" s="48"/>
      <c r="M112" s="47">
        <v>0.1</v>
      </c>
      <c r="N112" s="61" t="s">
        <v>1151</v>
      </c>
    </row>
    <row r="113" spans="1:14" ht="15">
      <c r="A113" s="46">
        <v>0.00624</v>
      </c>
      <c r="B113" s="47">
        <f>+(A113-A112)*1000</f>
        <v>4.6</v>
      </c>
      <c r="C113" s="47">
        <f>+M113-1</f>
        <v>0.3400000000000001</v>
      </c>
      <c r="D113" s="47">
        <f>+C112+C113</f>
        <v>0.3400000000000001</v>
      </c>
      <c r="E113" s="47">
        <f>+D113/2</f>
        <v>0.17000000000000004</v>
      </c>
      <c r="F113" s="47"/>
      <c r="G113" s="47"/>
      <c r="H113" s="47">
        <v>1.2</v>
      </c>
      <c r="I113" s="47">
        <f aca="true" t="shared" si="24" ref="I113:I131">+B113*E113*H113</f>
        <v>0.9384000000000001</v>
      </c>
      <c r="J113" s="47"/>
      <c r="K113" s="47"/>
      <c r="L113" s="48"/>
      <c r="M113" s="47">
        <v>1.34</v>
      </c>
      <c r="N113" s="61" t="s">
        <v>1152</v>
      </c>
    </row>
    <row r="114" spans="1:14" ht="15">
      <c r="A114" s="46">
        <v>0.01713</v>
      </c>
      <c r="B114" s="47">
        <f>+(A114-A113)*1000</f>
        <v>10.89</v>
      </c>
      <c r="C114" s="47">
        <f>+M114-1</f>
        <v>0.3999999999999999</v>
      </c>
      <c r="D114" s="47">
        <f>+C113+C114</f>
        <v>0.74</v>
      </c>
      <c r="E114" s="47">
        <f aca="true" t="shared" si="25" ref="E114:E124">+D114/2</f>
        <v>0.37</v>
      </c>
      <c r="F114" s="47"/>
      <c r="G114" s="47"/>
      <c r="H114" s="47">
        <v>1.2</v>
      </c>
      <c r="I114" s="47">
        <f t="shared" si="24"/>
        <v>4.83516</v>
      </c>
      <c r="J114" s="47"/>
      <c r="K114" s="47"/>
      <c r="L114" s="48"/>
      <c r="M114" s="47">
        <v>1.4</v>
      </c>
      <c r="N114" s="61" t="s">
        <v>1152</v>
      </c>
    </row>
    <row r="115" spans="1:14" ht="15">
      <c r="A115" s="46">
        <v>0.02661</v>
      </c>
      <c r="B115" s="47">
        <f>+(A115-A114)*1000</f>
        <v>9.480000000000002</v>
      </c>
      <c r="C115" s="47"/>
      <c r="D115" s="47"/>
      <c r="E115" s="47">
        <v>1.5</v>
      </c>
      <c r="F115" s="47"/>
      <c r="G115" s="47"/>
      <c r="H115" s="47">
        <v>1.2</v>
      </c>
      <c r="I115" s="47">
        <f t="shared" si="24"/>
        <v>17.064000000000004</v>
      </c>
      <c r="J115" s="47"/>
      <c r="K115" s="47"/>
      <c r="L115" s="48"/>
      <c r="M115" s="47">
        <v>2.96</v>
      </c>
      <c r="N115" s="61"/>
    </row>
    <row r="116" spans="1:14" ht="15">
      <c r="A116" s="46">
        <v>0.02755</v>
      </c>
      <c r="B116" s="47">
        <f>+(A116-A115)*1000</f>
        <v>0.9399999999999998</v>
      </c>
      <c r="C116" s="47"/>
      <c r="D116" s="47"/>
      <c r="E116" s="47">
        <v>1.5</v>
      </c>
      <c r="F116" s="47"/>
      <c r="G116" s="47"/>
      <c r="H116" s="47">
        <v>1.2</v>
      </c>
      <c r="I116" s="47">
        <f t="shared" si="24"/>
        <v>1.6919999999999995</v>
      </c>
      <c r="J116" s="47"/>
      <c r="K116" s="47"/>
      <c r="L116" s="48"/>
      <c r="M116" s="47">
        <v>2.97</v>
      </c>
      <c r="N116" s="61"/>
    </row>
    <row r="117" spans="1:14" ht="15">
      <c r="A117" s="46">
        <v>0.06305</v>
      </c>
      <c r="B117" s="47"/>
      <c r="C117" s="47"/>
      <c r="D117" s="47"/>
      <c r="E117" s="47">
        <v>1.5</v>
      </c>
      <c r="F117" s="47"/>
      <c r="G117" s="47"/>
      <c r="H117" s="47"/>
      <c r="I117" s="47"/>
      <c r="J117" s="47"/>
      <c r="K117" s="47"/>
      <c r="L117" s="48"/>
      <c r="M117" s="47">
        <v>2.73</v>
      </c>
      <c r="N117" s="49"/>
    </row>
    <row r="118" spans="1:14" ht="15">
      <c r="A118" s="46">
        <v>0.08667</v>
      </c>
      <c r="B118" s="47">
        <f aca="true" t="shared" si="26" ref="B118:B124">+(A118-A117)*1000</f>
        <v>23.62</v>
      </c>
      <c r="C118" s="47"/>
      <c r="D118" s="47"/>
      <c r="E118" s="47">
        <v>1.5</v>
      </c>
      <c r="F118" s="47"/>
      <c r="G118" s="47"/>
      <c r="H118" s="47">
        <v>1.2</v>
      </c>
      <c r="I118" s="47">
        <f t="shared" si="24"/>
        <v>42.516</v>
      </c>
      <c r="J118" s="47"/>
      <c r="K118" s="47"/>
      <c r="L118" s="48"/>
      <c r="M118" s="47">
        <v>2.56</v>
      </c>
      <c r="N118" s="49"/>
    </row>
    <row r="119" spans="1:14" ht="15">
      <c r="A119" s="46">
        <v>0.12109</v>
      </c>
      <c r="B119" s="47">
        <f t="shared" si="26"/>
        <v>34.42000000000001</v>
      </c>
      <c r="C119" s="47">
        <f aca="true" t="shared" si="27" ref="C119:C129">+M119-1</f>
        <v>1.5</v>
      </c>
      <c r="D119" s="47">
        <f aca="true" t="shared" si="28" ref="D119:D124">+C118+C119</f>
        <v>1.5</v>
      </c>
      <c r="E119" s="47">
        <f t="shared" si="25"/>
        <v>0.75</v>
      </c>
      <c r="F119" s="47"/>
      <c r="G119" s="47"/>
      <c r="H119" s="47">
        <v>1.2</v>
      </c>
      <c r="I119" s="47">
        <f t="shared" si="24"/>
        <v>30.978000000000005</v>
      </c>
      <c r="J119" s="47"/>
      <c r="K119" s="47"/>
      <c r="L119" s="48"/>
      <c r="M119" s="47">
        <v>2.5</v>
      </c>
      <c r="N119" s="61" t="s">
        <v>1152</v>
      </c>
    </row>
    <row r="120" spans="1:14" ht="15">
      <c r="A120" s="46">
        <v>0.13224</v>
      </c>
      <c r="B120" s="47">
        <f t="shared" si="26"/>
        <v>11.149999999999993</v>
      </c>
      <c r="C120" s="47">
        <f t="shared" si="27"/>
        <v>1.3199999999999998</v>
      </c>
      <c r="D120" s="47">
        <f t="shared" si="28"/>
        <v>2.82</v>
      </c>
      <c r="E120" s="47">
        <f t="shared" si="25"/>
        <v>1.41</v>
      </c>
      <c r="F120" s="47"/>
      <c r="G120" s="47"/>
      <c r="H120" s="47">
        <v>1.2</v>
      </c>
      <c r="I120" s="47">
        <f t="shared" si="24"/>
        <v>18.865799999999986</v>
      </c>
      <c r="J120" s="47"/>
      <c r="K120" s="47"/>
      <c r="L120" s="48"/>
      <c r="M120" s="47">
        <v>2.32</v>
      </c>
      <c r="N120" s="61" t="s">
        <v>1152</v>
      </c>
    </row>
    <row r="121" spans="1:14" ht="15">
      <c r="A121" s="46">
        <v>0.13965</v>
      </c>
      <c r="B121" s="47">
        <f t="shared" si="26"/>
        <v>7.41</v>
      </c>
      <c r="C121" s="47">
        <f t="shared" si="27"/>
        <v>1.2200000000000002</v>
      </c>
      <c r="D121" s="47">
        <f t="shared" si="28"/>
        <v>2.54</v>
      </c>
      <c r="E121" s="47">
        <f t="shared" si="25"/>
        <v>1.27</v>
      </c>
      <c r="F121" s="47"/>
      <c r="G121" s="47"/>
      <c r="H121" s="47">
        <v>1.2</v>
      </c>
      <c r="I121" s="47">
        <f t="shared" si="24"/>
        <v>11.29284</v>
      </c>
      <c r="J121" s="47"/>
      <c r="K121" s="47"/>
      <c r="L121" s="48"/>
      <c r="M121" s="47">
        <v>2.22</v>
      </c>
      <c r="N121" s="61" t="s">
        <v>1152</v>
      </c>
    </row>
    <row r="122" spans="1:14" ht="15">
      <c r="A122" s="46">
        <v>0.15329</v>
      </c>
      <c r="B122" s="47">
        <f t="shared" si="26"/>
        <v>13.640000000000013</v>
      </c>
      <c r="C122" s="47">
        <f t="shared" si="27"/>
        <v>1.13</v>
      </c>
      <c r="D122" s="47">
        <f t="shared" si="28"/>
        <v>2.35</v>
      </c>
      <c r="E122" s="47">
        <f t="shared" si="25"/>
        <v>1.175</v>
      </c>
      <c r="F122" s="47"/>
      <c r="G122" s="47"/>
      <c r="H122" s="47">
        <v>1.2</v>
      </c>
      <c r="I122" s="47">
        <f t="shared" si="24"/>
        <v>19.232400000000016</v>
      </c>
      <c r="J122" s="47"/>
      <c r="K122" s="47"/>
      <c r="L122" s="48"/>
      <c r="M122" s="47">
        <v>2.13</v>
      </c>
      <c r="N122" s="61" t="s">
        <v>1152</v>
      </c>
    </row>
    <row r="123" spans="1:14" ht="15">
      <c r="A123" s="46">
        <v>0.16533</v>
      </c>
      <c r="B123" s="47">
        <f t="shared" si="26"/>
        <v>12.039999999999996</v>
      </c>
      <c r="C123" s="47">
        <f t="shared" si="27"/>
        <v>1.0699999999999998</v>
      </c>
      <c r="D123" s="47">
        <f t="shared" si="28"/>
        <v>2.1999999999999997</v>
      </c>
      <c r="E123" s="47">
        <f t="shared" si="25"/>
        <v>1.0999999999999999</v>
      </c>
      <c r="F123" s="47"/>
      <c r="G123" s="47"/>
      <c r="H123" s="47">
        <v>1.2</v>
      </c>
      <c r="I123" s="47">
        <f t="shared" si="24"/>
        <v>15.89279999999999</v>
      </c>
      <c r="J123" s="47"/>
      <c r="K123" s="47"/>
      <c r="L123" s="48"/>
      <c r="M123" s="47">
        <v>2.07</v>
      </c>
      <c r="N123" s="61" t="s">
        <v>1152</v>
      </c>
    </row>
    <row r="124" spans="1:14" ht="15">
      <c r="A124" s="46">
        <v>0.17393</v>
      </c>
      <c r="B124" s="47">
        <f t="shared" si="26"/>
        <v>8.599999999999996</v>
      </c>
      <c r="C124" s="47">
        <f t="shared" si="27"/>
        <v>0.98</v>
      </c>
      <c r="D124" s="47">
        <f t="shared" si="28"/>
        <v>2.05</v>
      </c>
      <c r="E124" s="47">
        <f t="shared" si="25"/>
        <v>1.025</v>
      </c>
      <c r="F124" s="47"/>
      <c r="G124" s="47"/>
      <c r="H124" s="47">
        <v>1.2</v>
      </c>
      <c r="I124" s="47">
        <f t="shared" si="24"/>
        <v>10.577999999999994</v>
      </c>
      <c r="J124" s="47"/>
      <c r="K124" s="47"/>
      <c r="L124" s="48"/>
      <c r="M124" s="47">
        <v>1.98</v>
      </c>
      <c r="N124" s="61" t="s">
        <v>1152</v>
      </c>
    </row>
    <row r="125" spans="1:14" ht="15">
      <c r="A125" s="46">
        <v>0.1956</v>
      </c>
      <c r="B125" s="47"/>
      <c r="C125" s="47">
        <f t="shared" si="27"/>
        <v>0.76</v>
      </c>
      <c r="D125" s="47"/>
      <c r="E125" s="47"/>
      <c r="F125" s="47"/>
      <c r="G125" s="47"/>
      <c r="H125" s="47"/>
      <c r="I125" s="47"/>
      <c r="J125" s="47"/>
      <c r="K125" s="47"/>
      <c r="L125" s="48"/>
      <c r="M125" s="47">
        <v>1.76</v>
      </c>
      <c r="N125" s="61" t="s">
        <v>1152</v>
      </c>
    </row>
    <row r="126" spans="1:14" ht="15">
      <c r="A126" s="46">
        <v>0.20434</v>
      </c>
      <c r="B126" s="47">
        <f>+(A126-A125)*1000</f>
        <v>8.739999999999998</v>
      </c>
      <c r="C126" s="47">
        <f t="shared" si="27"/>
        <v>0.52</v>
      </c>
      <c r="D126" s="47">
        <f>+C125+C126</f>
        <v>1.28</v>
      </c>
      <c r="E126" s="47">
        <f>+D126/2</f>
        <v>0.64</v>
      </c>
      <c r="F126" s="47"/>
      <c r="G126" s="47"/>
      <c r="H126" s="47">
        <v>1.2</v>
      </c>
      <c r="I126" s="47">
        <f t="shared" si="24"/>
        <v>6.712319999999999</v>
      </c>
      <c r="J126" s="47"/>
      <c r="K126" s="47"/>
      <c r="L126" s="48"/>
      <c r="M126" s="47">
        <v>1.52</v>
      </c>
      <c r="N126" s="61" t="s">
        <v>1152</v>
      </c>
    </row>
    <row r="127" spans="1:14" ht="15">
      <c r="A127" s="46">
        <v>0.28742</v>
      </c>
      <c r="B127" s="47"/>
      <c r="C127" s="47">
        <f t="shared" si="27"/>
        <v>0.95</v>
      </c>
      <c r="D127" s="47"/>
      <c r="E127" s="47"/>
      <c r="F127" s="47"/>
      <c r="G127" s="47"/>
      <c r="H127" s="47"/>
      <c r="I127" s="47"/>
      <c r="J127" s="47"/>
      <c r="K127" s="47"/>
      <c r="L127" s="48"/>
      <c r="M127" s="47">
        <v>1.95</v>
      </c>
      <c r="N127" s="61" t="s">
        <v>1152</v>
      </c>
    </row>
    <row r="128" spans="1:14" ht="15">
      <c r="A128" s="46">
        <v>0.32751</v>
      </c>
      <c r="B128" s="47">
        <f>+(A128-A127)*1000</f>
        <v>40.09000000000002</v>
      </c>
      <c r="C128" s="47">
        <f t="shared" si="27"/>
        <v>1.2599999999999998</v>
      </c>
      <c r="D128" s="47">
        <f>+C127+C128</f>
        <v>2.21</v>
      </c>
      <c r="E128" s="47">
        <f>+D128/2</f>
        <v>1.105</v>
      </c>
      <c r="F128" s="47"/>
      <c r="G128" s="47"/>
      <c r="H128" s="47">
        <v>1.2</v>
      </c>
      <c r="I128" s="47">
        <f t="shared" si="24"/>
        <v>53.15934000000002</v>
      </c>
      <c r="J128" s="47"/>
      <c r="K128" s="47"/>
      <c r="L128" s="48"/>
      <c r="M128" s="47">
        <v>2.26</v>
      </c>
      <c r="N128" s="61" t="s">
        <v>1152</v>
      </c>
    </row>
    <row r="129" spans="1:14" ht="15">
      <c r="A129" s="46">
        <v>0.33638</v>
      </c>
      <c r="B129" s="47">
        <f>+(A129-A128)*1000</f>
        <v>8.869999999999989</v>
      </c>
      <c r="C129" s="47">
        <f t="shared" si="27"/>
        <v>1.42</v>
      </c>
      <c r="D129" s="47">
        <f>+C128+C129</f>
        <v>2.6799999999999997</v>
      </c>
      <c r="E129" s="47">
        <f>+D129/2</f>
        <v>1.3399999999999999</v>
      </c>
      <c r="F129" s="47"/>
      <c r="G129" s="47"/>
      <c r="H129" s="47">
        <v>1.2</v>
      </c>
      <c r="I129" s="47">
        <f t="shared" si="24"/>
        <v>14.26295999999998</v>
      </c>
      <c r="J129" s="47"/>
      <c r="K129" s="47"/>
      <c r="L129" s="48"/>
      <c r="M129" s="47">
        <v>2.42</v>
      </c>
      <c r="N129" s="61" t="s">
        <v>1152</v>
      </c>
    </row>
    <row r="130" spans="1:14" ht="15">
      <c r="A130" s="46">
        <v>0.35725</v>
      </c>
      <c r="B130" s="47">
        <f>+(A130-A129)*1000</f>
        <v>20.87</v>
      </c>
      <c r="C130" s="47"/>
      <c r="D130" s="47"/>
      <c r="E130" s="47">
        <v>1.5</v>
      </c>
      <c r="F130" s="47"/>
      <c r="G130" s="47"/>
      <c r="H130" s="47">
        <v>1.2</v>
      </c>
      <c r="I130" s="47">
        <f t="shared" si="24"/>
        <v>37.565999999999995</v>
      </c>
      <c r="J130" s="47"/>
      <c r="K130" s="47"/>
      <c r="L130" s="48"/>
      <c r="M130" s="47">
        <v>2.97</v>
      </c>
      <c r="N130" s="49"/>
    </row>
    <row r="131" spans="1:14" ht="15">
      <c r="A131" s="46">
        <v>0.36725</v>
      </c>
      <c r="B131" s="47">
        <f>+(A131-A130)*1000</f>
        <v>10.000000000000009</v>
      </c>
      <c r="C131" s="47"/>
      <c r="D131" s="47"/>
      <c r="E131" s="47">
        <v>1.5</v>
      </c>
      <c r="F131" s="47"/>
      <c r="G131" s="47"/>
      <c r="H131" s="47">
        <v>1.2</v>
      </c>
      <c r="I131" s="47">
        <f t="shared" si="24"/>
        <v>18.000000000000018</v>
      </c>
      <c r="J131" s="47"/>
      <c r="K131" s="47"/>
      <c r="L131" s="48"/>
      <c r="M131" s="47">
        <v>3.36</v>
      </c>
      <c r="N131" s="49"/>
    </row>
    <row r="132" spans="1:14" ht="15">
      <c r="A132" s="58"/>
      <c r="B132" s="47"/>
      <c r="C132" s="47"/>
      <c r="D132" s="47"/>
      <c r="E132" s="47"/>
      <c r="F132" s="47"/>
      <c r="G132" s="47"/>
      <c r="H132" s="47"/>
      <c r="I132" s="47">
        <f>SUM(I113:I131)</f>
        <v>303.58602</v>
      </c>
      <c r="J132" s="47"/>
      <c r="K132" s="47"/>
      <c r="L132" s="48"/>
      <c r="M132" s="57"/>
      <c r="N132" s="49"/>
    </row>
    <row r="133" spans="1:14" ht="15">
      <c r="A133" s="43" t="s">
        <v>1143</v>
      </c>
      <c r="B133" s="44"/>
      <c r="C133" s="62"/>
      <c r="D133" s="44"/>
      <c r="E133" s="44"/>
      <c r="F133" s="44"/>
      <c r="G133" s="44"/>
      <c r="H133" s="44"/>
      <c r="I133" s="44"/>
      <c r="J133" s="44"/>
      <c r="K133" s="44"/>
      <c r="L133" s="40"/>
      <c r="M133" s="40"/>
      <c r="N133" s="49"/>
    </row>
    <row r="134" spans="1:14" ht="15">
      <c r="A134" s="46">
        <v>0.07814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8"/>
      <c r="M134" s="47"/>
      <c r="N134" s="49"/>
    </row>
    <row r="135" spans="1:14" ht="15">
      <c r="A135" s="46">
        <v>0.07814</v>
      </c>
      <c r="B135" s="47">
        <f aca="true" t="shared" si="29" ref="B135:B145">+(A135-A134)*1000</f>
        <v>0</v>
      </c>
      <c r="C135" s="47"/>
      <c r="D135" s="47"/>
      <c r="E135" s="47">
        <v>1.5</v>
      </c>
      <c r="F135" s="47"/>
      <c r="G135" s="47"/>
      <c r="H135" s="47">
        <v>1.3</v>
      </c>
      <c r="I135" s="47"/>
      <c r="J135" s="47"/>
      <c r="K135" s="47"/>
      <c r="L135" s="48"/>
      <c r="M135" s="47"/>
      <c r="N135" s="49"/>
    </row>
    <row r="136" spans="1:14" ht="15">
      <c r="A136" s="46">
        <v>0.13014</v>
      </c>
      <c r="B136" s="47">
        <f t="shared" si="29"/>
        <v>52.00000000000001</v>
      </c>
      <c r="C136" s="47"/>
      <c r="D136" s="47"/>
      <c r="E136" s="47">
        <v>1.5</v>
      </c>
      <c r="F136" s="47"/>
      <c r="G136" s="47"/>
      <c r="H136" s="47">
        <v>1.3</v>
      </c>
      <c r="I136" s="47">
        <f>+B136*E136*H136</f>
        <v>101.40000000000002</v>
      </c>
      <c r="J136" s="47"/>
      <c r="K136" s="47"/>
      <c r="L136" s="48"/>
      <c r="M136" s="47"/>
      <c r="N136" s="49"/>
    </row>
    <row r="137" spans="1:14" ht="15">
      <c r="A137" s="46">
        <v>0.13989</v>
      </c>
      <c r="B137" s="47">
        <f t="shared" si="29"/>
        <v>9.74999999999998</v>
      </c>
      <c r="C137" s="47"/>
      <c r="D137" s="47"/>
      <c r="E137" s="47">
        <v>1.5</v>
      </c>
      <c r="F137" s="47"/>
      <c r="G137" s="47"/>
      <c r="H137" s="47">
        <v>1.3</v>
      </c>
      <c r="I137" s="47">
        <f aca="true" t="shared" si="30" ref="I137:I145">+B137*E137*H137</f>
        <v>19.012499999999964</v>
      </c>
      <c r="J137" s="47"/>
      <c r="K137" s="47"/>
      <c r="L137" s="48"/>
      <c r="M137" s="47"/>
      <c r="N137" s="49"/>
    </row>
    <row r="138" spans="1:14" ht="15">
      <c r="A138" s="46">
        <v>0.15346</v>
      </c>
      <c r="B138" s="47">
        <f t="shared" si="29"/>
        <v>13.570000000000027</v>
      </c>
      <c r="C138" s="47"/>
      <c r="D138" s="47"/>
      <c r="E138" s="47">
        <v>1.5</v>
      </c>
      <c r="F138" s="47"/>
      <c r="G138" s="47"/>
      <c r="H138" s="47">
        <v>1.3</v>
      </c>
      <c r="I138" s="47">
        <f t="shared" si="30"/>
        <v>26.46150000000005</v>
      </c>
      <c r="J138" s="47"/>
      <c r="K138" s="47"/>
      <c r="L138" s="48"/>
      <c r="M138" s="47"/>
      <c r="N138" s="49"/>
    </row>
    <row r="139" spans="1:14" ht="15">
      <c r="A139" s="46">
        <v>0.16314</v>
      </c>
      <c r="B139" s="47">
        <f t="shared" si="29"/>
        <v>9.679999999999994</v>
      </c>
      <c r="C139" s="47"/>
      <c r="D139" s="47"/>
      <c r="E139" s="47">
        <v>1.5</v>
      </c>
      <c r="F139" s="47"/>
      <c r="G139" s="47"/>
      <c r="H139" s="47">
        <v>1.3</v>
      </c>
      <c r="I139" s="47">
        <f t="shared" si="30"/>
        <v>18.87599999999999</v>
      </c>
      <c r="J139" s="47"/>
      <c r="K139" s="47"/>
      <c r="L139" s="48"/>
      <c r="M139" s="47"/>
      <c r="N139" s="49"/>
    </row>
    <row r="140" spans="1:14" ht="15">
      <c r="A140" s="46">
        <v>0.18214</v>
      </c>
      <c r="B140" s="47">
        <f t="shared" si="29"/>
        <v>18.99999999999999</v>
      </c>
      <c r="C140" s="47"/>
      <c r="D140" s="47"/>
      <c r="E140" s="47">
        <v>1.5</v>
      </c>
      <c r="F140" s="47"/>
      <c r="G140" s="47"/>
      <c r="H140" s="47">
        <v>1.3</v>
      </c>
      <c r="I140" s="47">
        <f t="shared" si="30"/>
        <v>37.04999999999998</v>
      </c>
      <c r="J140" s="47"/>
      <c r="K140" s="47"/>
      <c r="L140" s="48"/>
      <c r="M140" s="47"/>
      <c r="N140" s="49"/>
    </row>
    <row r="141" spans="1:14" ht="15">
      <c r="A141" s="46">
        <v>0.21278</v>
      </c>
      <c r="B141" s="47">
        <f t="shared" si="29"/>
        <v>30.64</v>
      </c>
      <c r="C141" s="47"/>
      <c r="D141" s="47"/>
      <c r="E141" s="47">
        <v>1.5</v>
      </c>
      <c r="F141" s="47"/>
      <c r="G141" s="47"/>
      <c r="H141" s="47">
        <v>1.3</v>
      </c>
      <c r="I141" s="47">
        <f t="shared" si="30"/>
        <v>59.748000000000005</v>
      </c>
      <c r="J141" s="47"/>
      <c r="K141" s="47"/>
      <c r="L141" s="48"/>
      <c r="M141" s="47"/>
      <c r="N141" s="49"/>
    </row>
    <row r="142" spans="1:14" ht="15">
      <c r="A142" s="46">
        <v>0.2343</v>
      </c>
      <c r="B142" s="47">
        <f t="shared" si="29"/>
        <v>21.52000000000001</v>
      </c>
      <c r="C142" s="47"/>
      <c r="D142" s="47"/>
      <c r="E142" s="47">
        <v>1.5</v>
      </c>
      <c r="F142" s="47"/>
      <c r="G142" s="47"/>
      <c r="H142" s="47">
        <v>1.3</v>
      </c>
      <c r="I142" s="47">
        <f t="shared" si="30"/>
        <v>41.96400000000002</v>
      </c>
      <c r="J142" s="47"/>
      <c r="K142" s="47"/>
      <c r="L142" s="48"/>
      <c r="M142" s="47"/>
      <c r="N142" s="49"/>
    </row>
    <row r="143" spans="1:14" ht="15">
      <c r="A143" s="46">
        <v>0.24714</v>
      </c>
      <c r="B143" s="47">
        <f t="shared" si="29"/>
        <v>12.839999999999991</v>
      </c>
      <c r="C143" s="47"/>
      <c r="D143" s="47"/>
      <c r="E143" s="47">
        <v>1.5</v>
      </c>
      <c r="F143" s="47"/>
      <c r="G143" s="47"/>
      <c r="H143" s="47">
        <v>1.3</v>
      </c>
      <c r="I143" s="47">
        <f t="shared" si="30"/>
        <v>25.037999999999986</v>
      </c>
      <c r="J143" s="47"/>
      <c r="K143" s="47"/>
      <c r="L143" s="48"/>
      <c r="M143" s="47"/>
      <c r="N143" s="49"/>
    </row>
    <row r="144" spans="1:14" ht="15">
      <c r="A144" s="46">
        <v>0.24714</v>
      </c>
      <c r="B144" s="47">
        <f t="shared" si="29"/>
        <v>0</v>
      </c>
      <c r="C144" s="47"/>
      <c r="D144" s="47"/>
      <c r="E144" s="47">
        <v>1.5</v>
      </c>
      <c r="F144" s="47"/>
      <c r="G144" s="47"/>
      <c r="H144" s="47">
        <v>1.3</v>
      </c>
      <c r="I144" s="47">
        <f t="shared" si="30"/>
        <v>0</v>
      </c>
      <c r="J144" s="47"/>
      <c r="K144" s="47"/>
      <c r="L144" s="48"/>
      <c r="M144" s="47"/>
      <c r="N144" s="49"/>
    </row>
    <row r="145" spans="1:14" ht="15">
      <c r="A145" s="46">
        <v>0.26499</v>
      </c>
      <c r="B145" s="47">
        <f t="shared" si="29"/>
        <v>17.850000000000005</v>
      </c>
      <c r="C145" s="47"/>
      <c r="D145" s="47"/>
      <c r="E145" s="47">
        <v>1.5</v>
      </c>
      <c r="F145" s="47"/>
      <c r="G145" s="47"/>
      <c r="H145" s="47">
        <v>1.3</v>
      </c>
      <c r="I145" s="47">
        <f t="shared" si="30"/>
        <v>34.80750000000001</v>
      </c>
      <c r="J145" s="47"/>
      <c r="K145" s="47"/>
      <c r="L145" s="48"/>
      <c r="M145" s="47"/>
      <c r="N145" s="49"/>
    </row>
    <row r="146" spans="1:14" ht="15">
      <c r="A146" s="46" t="s">
        <v>1142</v>
      </c>
      <c r="B146" s="47">
        <f>SUM(B134:B145)</f>
        <v>186.85</v>
      </c>
      <c r="C146" s="47"/>
      <c r="D146" s="47"/>
      <c r="E146" s="47"/>
      <c r="F146" s="47"/>
      <c r="G146" s="47"/>
      <c r="H146" s="47"/>
      <c r="I146" s="47">
        <f>SUM(I134:I145)</f>
        <v>364.3575</v>
      </c>
      <c r="J146" s="47"/>
      <c r="K146" s="47"/>
      <c r="L146" s="48"/>
      <c r="M146" s="57"/>
      <c r="N146" s="49"/>
    </row>
    <row r="147" spans="1:14" ht="15">
      <c r="A147" s="43" t="s">
        <v>1148</v>
      </c>
      <c r="B147" s="44"/>
      <c r="C147" s="45"/>
      <c r="D147" s="44"/>
      <c r="E147" s="47"/>
      <c r="F147" s="44"/>
      <c r="G147" s="44"/>
      <c r="H147" s="44"/>
      <c r="I147" s="44"/>
      <c r="J147" s="44"/>
      <c r="K147" s="44"/>
      <c r="L147" s="40"/>
      <c r="M147" s="40"/>
      <c r="N147" s="49"/>
    </row>
    <row r="148" spans="1:14" ht="15">
      <c r="A148" s="46">
        <v>0.03291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8"/>
      <c r="M148" s="47"/>
      <c r="N148" s="49"/>
    </row>
    <row r="149" spans="1:14" ht="15">
      <c r="A149" s="46">
        <v>0.05551</v>
      </c>
      <c r="B149" s="47">
        <f aca="true" t="shared" si="31" ref="B149:B160">+(A149-A148)*1000</f>
        <v>22.599999999999994</v>
      </c>
      <c r="C149" s="47"/>
      <c r="D149" s="47"/>
      <c r="E149" s="47">
        <v>1.5</v>
      </c>
      <c r="F149" s="47"/>
      <c r="G149" s="47"/>
      <c r="H149" s="47">
        <v>1</v>
      </c>
      <c r="I149" s="47">
        <f>+B149*E149*H149</f>
        <v>33.89999999999999</v>
      </c>
      <c r="J149" s="47"/>
      <c r="K149" s="47"/>
      <c r="L149" s="48"/>
      <c r="M149" s="47"/>
      <c r="N149" s="49"/>
    </row>
    <row r="150" spans="1:14" ht="15">
      <c r="A150" s="46">
        <v>0.08056</v>
      </c>
      <c r="B150" s="47">
        <f t="shared" si="31"/>
        <v>25.05000000000001</v>
      </c>
      <c r="C150" s="47"/>
      <c r="D150" s="47"/>
      <c r="E150" s="47">
        <v>1.5</v>
      </c>
      <c r="F150" s="47"/>
      <c r="G150" s="47"/>
      <c r="H150" s="47">
        <v>1</v>
      </c>
      <c r="I150" s="47">
        <f>+B150*E150*H150</f>
        <v>37.57500000000002</v>
      </c>
      <c r="J150" s="47"/>
      <c r="K150" s="47"/>
      <c r="L150" s="48"/>
      <c r="M150" s="47"/>
      <c r="N150" s="49"/>
    </row>
    <row r="151" spans="1:14" ht="15">
      <c r="A151" s="46">
        <v>0.0957</v>
      </c>
      <c r="B151" s="47">
        <f t="shared" si="31"/>
        <v>15.139999999999986</v>
      </c>
      <c r="C151" s="47"/>
      <c r="D151" s="47"/>
      <c r="E151" s="47">
        <v>1.5</v>
      </c>
      <c r="F151" s="47"/>
      <c r="G151" s="47"/>
      <c r="H151" s="47">
        <v>1</v>
      </c>
      <c r="I151" s="47">
        <f aca="true" t="shared" si="32" ref="I151:I160">+B151*E151*H151</f>
        <v>22.70999999999998</v>
      </c>
      <c r="J151" s="47"/>
      <c r="K151" s="47"/>
      <c r="L151" s="48"/>
      <c r="M151" s="47"/>
      <c r="N151" s="49"/>
    </row>
    <row r="152" spans="1:14" ht="15">
      <c r="A152" s="46">
        <v>0.10375</v>
      </c>
      <c r="B152" s="47">
        <f t="shared" si="31"/>
        <v>8.05</v>
      </c>
      <c r="C152" s="47"/>
      <c r="D152" s="47"/>
      <c r="E152" s="47">
        <v>1.5</v>
      </c>
      <c r="F152" s="47"/>
      <c r="G152" s="47"/>
      <c r="H152" s="47">
        <v>1</v>
      </c>
      <c r="I152" s="47">
        <f t="shared" si="32"/>
        <v>12.075000000000001</v>
      </c>
      <c r="J152" s="47"/>
      <c r="K152" s="47"/>
      <c r="L152" s="48"/>
      <c r="M152" s="47"/>
      <c r="N152" s="49"/>
    </row>
    <row r="153" spans="1:14" ht="15">
      <c r="A153" s="46">
        <v>0.10836</v>
      </c>
      <c r="B153" s="47">
        <f t="shared" si="31"/>
        <v>4.610000000000003</v>
      </c>
      <c r="C153" s="47"/>
      <c r="D153" s="47"/>
      <c r="E153" s="47">
        <v>1.5</v>
      </c>
      <c r="F153" s="47"/>
      <c r="G153" s="47"/>
      <c r="H153" s="47">
        <v>1</v>
      </c>
      <c r="I153" s="47">
        <f t="shared" si="32"/>
        <v>6.9150000000000045</v>
      </c>
      <c r="J153" s="47"/>
      <c r="K153" s="47"/>
      <c r="L153" s="48"/>
      <c r="M153" s="47"/>
      <c r="N153" s="49"/>
    </row>
    <row r="154" spans="1:14" ht="15">
      <c r="A154" s="46">
        <v>0.1318</v>
      </c>
      <c r="B154" s="47">
        <f t="shared" si="31"/>
        <v>23.44</v>
      </c>
      <c r="C154" s="47"/>
      <c r="D154" s="47"/>
      <c r="E154" s="47">
        <v>1.5</v>
      </c>
      <c r="F154" s="47"/>
      <c r="G154" s="47"/>
      <c r="H154" s="47">
        <v>1</v>
      </c>
      <c r="I154" s="47">
        <f t="shared" si="32"/>
        <v>35.160000000000004</v>
      </c>
      <c r="J154" s="47"/>
      <c r="K154" s="47"/>
      <c r="L154" s="48"/>
      <c r="M154" s="47"/>
      <c r="N154" s="49"/>
    </row>
    <row r="155" spans="1:14" ht="15">
      <c r="A155" s="46">
        <v>0.13937</v>
      </c>
      <c r="B155" s="47">
        <f t="shared" si="31"/>
        <v>7.569999999999993</v>
      </c>
      <c r="C155" s="47"/>
      <c r="D155" s="47"/>
      <c r="E155" s="47">
        <v>1.5</v>
      </c>
      <c r="F155" s="47"/>
      <c r="G155" s="47"/>
      <c r="H155" s="47">
        <v>1</v>
      </c>
      <c r="I155" s="47">
        <f t="shared" si="32"/>
        <v>11.35499999999999</v>
      </c>
      <c r="J155" s="47"/>
      <c r="K155" s="47"/>
      <c r="L155" s="48"/>
      <c r="M155" s="47"/>
      <c r="N155" s="49"/>
    </row>
    <row r="156" spans="1:14" ht="15">
      <c r="A156" s="46">
        <v>0.15715</v>
      </c>
      <c r="B156" s="47">
        <f t="shared" si="31"/>
        <v>17.78000000000002</v>
      </c>
      <c r="C156" s="47"/>
      <c r="D156" s="47"/>
      <c r="E156" s="47">
        <v>1.5</v>
      </c>
      <c r="F156" s="47"/>
      <c r="G156" s="47"/>
      <c r="H156" s="47">
        <v>1</v>
      </c>
      <c r="I156" s="47">
        <f t="shared" si="32"/>
        <v>26.67000000000003</v>
      </c>
      <c r="J156" s="47"/>
      <c r="K156" s="47"/>
      <c r="L156" s="48"/>
      <c r="M156" s="47"/>
      <c r="N156" s="49"/>
    </row>
    <row r="157" spans="1:14" ht="15">
      <c r="A157" s="46">
        <v>0.17767</v>
      </c>
      <c r="B157" s="47">
        <f t="shared" si="31"/>
        <v>20.519999999999982</v>
      </c>
      <c r="C157" s="47"/>
      <c r="D157" s="47"/>
      <c r="E157" s="47">
        <v>1.5</v>
      </c>
      <c r="F157" s="47"/>
      <c r="G157" s="47"/>
      <c r="H157" s="47">
        <v>1</v>
      </c>
      <c r="I157" s="47">
        <f t="shared" si="32"/>
        <v>30.779999999999973</v>
      </c>
      <c r="J157" s="47"/>
      <c r="K157" s="47"/>
      <c r="L157" s="48"/>
      <c r="M157" s="47"/>
      <c r="N157" s="49"/>
    </row>
    <row r="158" spans="1:14" ht="15">
      <c r="A158" s="46">
        <v>0.202</v>
      </c>
      <c r="B158" s="47">
        <f t="shared" si="31"/>
        <v>24.33000000000002</v>
      </c>
      <c r="C158" s="47"/>
      <c r="D158" s="47"/>
      <c r="E158" s="47">
        <v>1.5</v>
      </c>
      <c r="F158" s="47"/>
      <c r="G158" s="47"/>
      <c r="H158" s="47">
        <v>1</v>
      </c>
      <c r="I158" s="47">
        <f t="shared" si="32"/>
        <v>36.49500000000003</v>
      </c>
      <c r="J158" s="47"/>
      <c r="K158" s="47"/>
      <c r="L158" s="48"/>
      <c r="M158" s="47"/>
      <c r="N158" s="49"/>
    </row>
    <row r="159" spans="1:14" ht="15">
      <c r="A159" s="46">
        <v>0.202</v>
      </c>
      <c r="B159" s="47">
        <f t="shared" si="31"/>
        <v>0</v>
      </c>
      <c r="C159" s="47"/>
      <c r="D159" s="47"/>
      <c r="E159" s="47">
        <v>1.5</v>
      </c>
      <c r="F159" s="47"/>
      <c r="G159" s="47"/>
      <c r="H159" s="47">
        <v>1</v>
      </c>
      <c r="I159" s="47">
        <f t="shared" si="32"/>
        <v>0</v>
      </c>
      <c r="J159" s="47"/>
      <c r="K159" s="47"/>
      <c r="L159" s="48"/>
      <c r="M159" s="47"/>
      <c r="N159" s="49"/>
    </row>
    <row r="160" spans="1:14" ht="15">
      <c r="A160" s="46">
        <v>0.2203</v>
      </c>
      <c r="B160" s="47">
        <f t="shared" si="31"/>
        <v>18.299999999999983</v>
      </c>
      <c r="C160" s="47"/>
      <c r="D160" s="47"/>
      <c r="E160" s="47">
        <v>1.5</v>
      </c>
      <c r="F160" s="47"/>
      <c r="G160" s="47"/>
      <c r="H160" s="47">
        <v>1</v>
      </c>
      <c r="I160" s="47">
        <f t="shared" si="32"/>
        <v>27.449999999999974</v>
      </c>
      <c r="J160" s="47"/>
      <c r="K160" s="47"/>
      <c r="L160" s="48"/>
      <c r="M160" s="47"/>
      <c r="N160" s="49"/>
    </row>
    <row r="161" spans="1:14" ht="15">
      <c r="A161" s="46" t="s">
        <v>1142</v>
      </c>
      <c r="B161" s="47">
        <f>SUM(B148:B160)</f>
        <v>187.39</v>
      </c>
      <c r="C161" s="47"/>
      <c r="D161" s="47"/>
      <c r="E161" s="47"/>
      <c r="F161" s="47"/>
      <c r="G161" s="47"/>
      <c r="H161" s="47"/>
      <c r="I161" s="47">
        <f>SUM(I148:I160)</f>
        <v>281.085</v>
      </c>
      <c r="J161" s="47"/>
      <c r="K161" s="47"/>
      <c r="L161" s="48"/>
      <c r="M161" s="47"/>
      <c r="N161" s="49"/>
    </row>
    <row r="162" spans="1:14" ht="15">
      <c r="A162" s="58" t="s">
        <v>1034</v>
      </c>
      <c r="B162" s="59">
        <f>+B110+B146+B161</f>
        <v>374.24</v>
      </c>
      <c r="C162" s="59"/>
      <c r="D162" s="59"/>
      <c r="E162" s="59"/>
      <c r="F162" s="59"/>
      <c r="G162" s="59"/>
      <c r="H162" s="59"/>
      <c r="I162" s="59">
        <f>+I132+I146+I161</f>
        <v>949.0285200000001</v>
      </c>
      <c r="J162" s="59">
        <f>+J110+J146+J161</f>
        <v>0</v>
      </c>
      <c r="K162" s="59">
        <f>+K110+K146+K161</f>
        <v>0</v>
      </c>
      <c r="L162" s="48"/>
      <c r="M162" s="47"/>
      <c r="N162" s="49"/>
    </row>
    <row r="163" spans="1:14" ht="15">
      <c r="A163" s="46"/>
      <c r="B163" s="47"/>
      <c r="C163" s="47"/>
      <c r="D163" s="47"/>
      <c r="E163" s="47"/>
      <c r="F163" s="47"/>
      <c r="G163" s="47"/>
      <c r="H163" s="47"/>
      <c r="I163" s="47"/>
      <c r="J163" s="59"/>
      <c r="K163" s="59">
        <f>+I162+J162+K162</f>
        <v>949.0285200000001</v>
      </c>
      <c r="L163" s="48"/>
      <c r="M163" s="57"/>
      <c r="N163" s="49"/>
    </row>
    <row r="164" spans="1:14" ht="15">
      <c r="A164" s="46"/>
      <c r="B164" s="47"/>
      <c r="C164" s="47"/>
      <c r="D164" s="47"/>
      <c r="E164" s="47"/>
      <c r="F164" s="47"/>
      <c r="G164" s="47"/>
      <c r="H164" s="47"/>
      <c r="I164" s="47"/>
      <c r="J164" s="59"/>
      <c r="K164" s="59"/>
      <c r="L164" s="48"/>
      <c r="M164" s="57"/>
      <c r="N164" s="49"/>
    </row>
    <row r="165" spans="1:14" ht="15">
      <c r="A165" s="58" t="s">
        <v>1153</v>
      </c>
      <c r="B165" s="47"/>
      <c r="C165" s="47"/>
      <c r="D165" s="47"/>
      <c r="E165" s="47"/>
      <c r="F165" s="47"/>
      <c r="G165" s="47"/>
      <c r="H165" s="47"/>
      <c r="I165" s="47"/>
      <c r="J165" s="59"/>
      <c r="K165" s="59"/>
      <c r="L165" s="48"/>
      <c r="M165" s="57"/>
      <c r="N165" s="49"/>
    </row>
    <row r="166" spans="1:14" ht="15">
      <c r="A166" s="60" t="s">
        <v>1136</v>
      </c>
      <c r="B166" s="47"/>
      <c r="C166" s="47"/>
      <c r="D166" s="47"/>
      <c r="E166" s="47"/>
      <c r="F166" s="47"/>
      <c r="G166" s="47"/>
      <c r="H166" s="47"/>
      <c r="I166" s="47"/>
      <c r="J166" s="59"/>
      <c r="K166" s="59"/>
      <c r="L166" s="48"/>
      <c r="M166" s="57"/>
      <c r="N166" s="49"/>
    </row>
    <row r="167" spans="1:15" ht="15">
      <c r="A167" s="46">
        <v>0.44545</v>
      </c>
      <c r="B167" s="47"/>
      <c r="C167" s="47">
        <f>+M167-0.2</f>
        <v>2.82</v>
      </c>
      <c r="D167" s="47"/>
      <c r="E167" s="47"/>
      <c r="F167" s="47"/>
      <c r="G167" s="47"/>
      <c r="H167" s="47">
        <v>1.1</v>
      </c>
      <c r="I167" s="47"/>
      <c r="J167" s="47"/>
      <c r="K167" s="47"/>
      <c r="L167" s="48"/>
      <c r="M167" s="47">
        <v>3.02</v>
      </c>
      <c r="N167" s="49"/>
      <c r="O167" t="s">
        <v>1154</v>
      </c>
    </row>
    <row r="168" spans="1:15" ht="15">
      <c r="A168" s="46">
        <v>0.45015</v>
      </c>
      <c r="B168" s="47">
        <f>+(A168-A167)*1000</f>
        <v>4.6999999999999815</v>
      </c>
      <c r="C168" s="47">
        <f>+M168-0.2</f>
        <v>2.88</v>
      </c>
      <c r="D168" s="47">
        <f>+C167+C168</f>
        <v>5.699999999999999</v>
      </c>
      <c r="E168" s="47">
        <f>+D168/2</f>
        <v>2.8499999999999996</v>
      </c>
      <c r="F168" s="47"/>
      <c r="G168" s="47">
        <f>+B168*E168*2</f>
        <v>26.789999999999893</v>
      </c>
      <c r="H168" s="47">
        <v>1.1</v>
      </c>
      <c r="I168" s="47"/>
      <c r="J168" s="47">
        <f>+B168*E168*H168</f>
        <v>14.734499999999942</v>
      </c>
      <c r="K168" s="47"/>
      <c r="L168" s="48"/>
      <c r="M168" s="47">
        <v>3.08</v>
      </c>
      <c r="N168" s="49"/>
      <c r="O168" t="s">
        <v>1154</v>
      </c>
    </row>
    <row r="169" spans="1:14" ht="15">
      <c r="A169" s="46" t="s">
        <v>1142</v>
      </c>
      <c r="B169" s="47"/>
      <c r="C169" s="47"/>
      <c r="D169" s="47"/>
      <c r="E169" s="47"/>
      <c r="F169" s="47"/>
      <c r="G169" s="47"/>
      <c r="H169" s="47"/>
      <c r="I169" s="47"/>
      <c r="J169" s="47">
        <f>SUM(J128:J168)</f>
        <v>14.734499999999942</v>
      </c>
      <c r="K169" s="47"/>
      <c r="L169" s="48"/>
      <c r="M169" s="47"/>
      <c r="N169" s="49"/>
    </row>
    <row r="170" spans="1:14" ht="15">
      <c r="A170" s="46"/>
      <c r="B170" s="47"/>
      <c r="C170" s="47"/>
      <c r="D170" s="47"/>
      <c r="E170" s="47"/>
      <c r="F170" s="47"/>
      <c r="G170" s="47"/>
      <c r="H170" s="47"/>
      <c r="I170" s="47"/>
      <c r="J170" s="59"/>
      <c r="K170" s="59"/>
      <c r="L170" s="48"/>
      <c r="M170" s="57"/>
      <c r="N170" s="49"/>
    </row>
    <row r="171" spans="1:14" ht="15">
      <c r="A171" s="46"/>
      <c r="B171" s="47"/>
      <c r="C171" s="47"/>
      <c r="D171" s="47"/>
      <c r="E171" s="47"/>
      <c r="F171" s="47"/>
      <c r="G171" s="47"/>
      <c r="H171" s="47"/>
      <c r="I171" s="47"/>
      <c r="J171" s="59"/>
      <c r="K171" s="59"/>
      <c r="L171" s="48"/>
      <c r="M171" s="57"/>
      <c r="N171" s="49"/>
    </row>
    <row r="172" spans="1:14" ht="15">
      <c r="A172" s="46"/>
      <c r="B172" s="47"/>
      <c r="C172" s="47"/>
      <c r="D172" s="47"/>
      <c r="E172" s="47"/>
      <c r="F172" s="47"/>
      <c r="G172" s="47"/>
      <c r="H172" s="47"/>
      <c r="I172" s="47"/>
      <c r="J172" s="59"/>
      <c r="K172" s="59"/>
      <c r="L172" s="48"/>
      <c r="M172" s="57"/>
      <c r="N172" s="49"/>
    </row>
  </sheetData>
  <sheetProtection/>
  <mergeCells count="2">
    <mergeCell ref="B43:K44"/>
    <mergeCell ref="B49:K5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G12" sqref="G12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261" t="s">
        <v>1110</v>
      </c>
      <c r="B1" s="262"/>
      <c r="C1" s="262"/>
      <c r="D1" s="262"/>
      <c r="E1" s="262"/>
      <c r="F1" s="262"/>
      <c r="G1" s="262"/>
    </row>
    <row r="2" spans="1:8" ht="12.75">
      <c r="A2" s="263" t="s">
        <v>1</v>
      </c>
      <c r="B2" s="264" t="str">
        <f>'Stavební rozpočet'!C2</f>
        <v>Hodonín, Dešťová kanalizace z lokality Výhon do Očovského Járku</v>
      </c>
      <c r="C2" s="227"/>
      <c r="D2" s="266" t="s">
        <v>1025</v>
      </c>
      <c r="E2" s="266" t="str">
        <f>'Stavební rozpočet'!H2</f>
        <v>Město Hodonín, Masarykovo nám. 53/1, 695 01 Hodonín</v>
      </c>
      <c r="F2" s="267"/>
      <c r="G2" s="268"/>
      <c r="H2" s="25"/>
    </row>
    <row r="3" spans="1:8" ht="12.75">
      <c r="A3" s="255"/>
      <c r="B3" s="265"/>
      <c r="C3" s="265"/>
      <c r="D3" s="229"/>
      <c r="E3" s="229"/>
      <c r="F3" s="229"/>
      <c r="G3" s="256"/>
      <c r="H3" s="25"/>
    </row>
    <row r="4" spans="1:8" ht="12.75">
      <c r="A4" s="254" t="s">
        <v>2</v>
      </c>
      <c r="B4" s="228" t="str">
        <f>'Stavební rozpočet'!C4</f>
        <v> </v>
      </c>
      <c r="C4" s="229"/>
      <c r="D4" s="228" t="s">
        <v>1026</v>
      </c>
      <c r="E4" s="228" t="str">
        <f>'Stavební rozpočet'!H4</f>
        <v>Ing. Petr Nykodým, Zikova 2103/2, 628 00 Brno, +420 605 918 344</v>
      </c>
      <c r="F4" s="229"/>
      <c r="G4" s="256"/>
      <c r="H4" s="25"/>
    </row>
    <row r="5" spans="1:8" ht="12.75">
      <c r="A5" s="255"/>
      <c r="B5" s="229"/>
      <c r="C5" s="229"/>
      <c r="D5" s="229"/>
      <c r="E5" s="229"/>
      <c r="F5" s="229"/>
      <c r="G5" s="256"/>
      <c r="H5" s="25"/>
    </row>
    <row r="6" spans="1:8" ht="12.75">
      <c r="A6" s="254" t="s">
        <v>3</v>
      </c>
      <c r="B6" s="228" t="str">
        <f>'Stavební rozpočet'!C6</f>
        <v>Hodonín</v>
      </c>
      <c r="C6" s="229"/>
      <c r="D6" s="228" t="s">
        <v>1027</v>
      </c>
      <c r="E6" s="228" t="str">
        <f>'Stavební rozpočet'!H6</f>
        <v> </v>
      </c>
      <c r="F6" s="229"/>
      <c r="G6" s="256"/>
      <c r="H6" s="25"/>
    </row>
    <row r="7" spans="1:8" ht="12.75">
      <c r="A7" s="255"/>
      <c r="B7" s="229"/>
      <c r="C7" s="229"/>
      <c r="D7" s="229"/>
      <c r="E7" s="229"/>
      <c r="F7" s="229"/>
      <c r="G7" s="256"/>
      <c r="H7" s="25"/>
    </row>
    <row r="8" spans="1:8" ht="12.75">
      <c r="A8" s="254" t="s">
        <v>1028</v>
      </c>
      <c r="B8" s="228" t="str">
        <f>'Stavební rozpočet'!H8</f>
        <v>Ing. Petr Nykodým, Zikova 2103/2, 628 00 Brno, +420 605 918 344</v>
      </c>
      <c r="C8" s="229"/>
      <c r="D8" s="259" t="s">
        <v>1002</v>
      </c>
      <c r="E8" s="228" t="str">
        <f>'Stavební rozpočet'!F8</f>
        <v>26.07.2020</v>
      </c>
      <c r="F8" s="229"/>
      <c r="G8" s="256"/>
      <c r="H8" s="25"/>
    </row>
    <row r="9" spans="1:8" ht="12.75">
      <c r="A9" s="257"/>
      <c r="B9" s="258"/>
      <c r="C9" s="258"/>
      <c r="D9" s="258"/>
      <c r="E9" s="258"/>
      <c r="F9" s="258"/>
      <c r="G9" s="260"/>
      <c r="H9" s="25"/>
    </row>
    <row r="10" spans="1:8" ht="12.75">
      <c r="A10" s="31" t="s">
        <v>1111</v>
      </c>
      <c r="B10" s="33" t="s">
        <v>320</v>
      </c>
      <c r="C10" s="34" t="s">
        <v>645</v>
      </c>
      <c r="D10" s="35" t="s">
        <v>1112</v>
      </c>
      <c r="E10" s="35" t="s">
        <v>1113</v>
      </c>
      <c r="F10" s="35" t="s">
        <v>1114</v>
      </c>
      <c r="G10" s="37" t="s">
        <v>1115</v>
      </c>
      <c r="H10" s="26"/>
    </row>
    <row r="11" spans="1:9" ht="12.75">
      <c r="A11" s="32"/>
      <c r="B11" s="32" t="s">
        <v>17</v>
      </c>
      <c r="C11" s="32" t="s">
        <v>647</v>
      </c>
      <c r="D11" s="38">
        <f>'Stavební rozpočet'!G12</f>
        <v>0</v>
      </c>
      <c r="E11" s="38">
        <f>'Stavební rozpočet'!H12</f>
        <v>0</v>
      </c>
      <c r="F11" s="38">
        <f>'Stavební rozpočet'!I12</f>
        <v>0</v>
      </c>
      <c r="G11" s="38">
        <f>'Stavební rozpočet'!K12</f>
        <v>220.11883200000003</v>
      </c>
      <c r="H11" s="27" t="s">
        <v>1116</v>
      </c>
      <c r="I11" s="27">
        <f aca="true" t="shared" si="0" ref="I11:I52">IF(H11="F",0,F11)</f>
        <v>0</v>
      </c>
    </row>
    <row r="12" spans="1:9" ht="12.75">
      <c r="A12" s="11"/>
      <c r="B12" s="11" t="s">
        <v>18</v>
      </c>
      <c r="C12" s="11" t="s">
        <v>672</v>
      </c>
      <c r="D12" s="27">
        <f>'Stavební rozpočet'!G64</f>
        <v>0</v>
      </c>
      <c r="E12" s="27">
        <f>'Stavební rozpočet'!H64</f>
        <v>0</v>
      </c>
      <c r="F12" s="27">
        <f>'Stavební rozpočet'!I64</f>
        <v>0</v>
      </c>
      <c r="G12" s="27">
        <f>'Stavební rozpočet'!K64</f>
        <v>0</v>
      </c>
      <c r="H12" s="27" t="s">
        <v>1116</v>
      </c>
      <c r="I12" s="27">
        <f t="shared" si="0"/>
        <v>0</v>
      </c>
    </row>
    <row r="13" spans="1:9" ht="12.75">
      <c r="A13" s="11"/>
      <c r="B13" s="11" t="s">
        <v>19</v>
      </c>
      <c r="C13" s="11" t="s">
        <v>678</v>
      </c>
      <c r="D13" s="27">
        <f>'Stavební rozpočet'!G78</f>
        <v>0</v>
      </c>
      <c r="E13" s="27">
        <f>'Stavební rozpočet'!H78</f>
        <v>0</v>
      </c>
      <c r="F13" s="27">
        <f>'Stavební rozpočet'!I78</f>
        <v>0</v>
      </c>
      <c r="G13" s="27">
        <f>'Stavební rozpočet'!K78</f>
        <v>0</v>
      </c>
      <c r="H13" s="27" t="s">
        <v>1116</v>
      </c>
      <c r="I13" s="27">
        <f t="shared" si="0"/>
        <v>0</v>
      </c>
    </row>
    <row r="14" spans="1:9" ht="12.75">
      <c r="A14" s="11"/>
      <c r="B14" s="11" t="s">
        <v>20</v>
      </c>
      <c r="C14" s="11" t="s">
        <v>688</v>
      </c>
      <c r="D14" s="27">
        <f>'Stavební rozpočet'!G93</f>
        <v>0</v>
      </c>
      <c r="E14" s="27">
        <f>'Stavební rozpočet'!H93</f>
        <v>0</v>
      </c>
      <c r="F14" s="27">
        <f>'Stavební rozpočet'!I93</f>
        <v>0</v>
      </c>
      <c r="G14" s="27">
        <f>'Stavební rozpočet'!K93</f>
        <v>0</v>
      </c>
      <c r="H14" s="27" t="s">
        <v>1116</v>
      </c>
      <c r="I14" s="27">
        <f t="shared" si="0"/>
        <v>0</v>
      </c>
    </row>
    <row r="15" spans="1:9" ht="12.75">
      <c r="A15" s="11"/>
      <c r="B15" s="11" t="s">
        <v>21</v>
      </c>
      <c r="C15" s="11" t="s">
        <v>692</v>
      </c>
      <c r="D15" s="27">
        <f>'Stavební rozpočet'!G100</f>
        <v>0</v>
      </c>
      <c r="E15" s="27">
        <f>'Stavební rozpočet'!H100</f>
        <v>0</v>
      </c>
      <c r="F15" s="27">
        <f>'Stavební rozpočet'!I100</f>
        <v>0</v>
      </c>
      <c r="G15" s="27">
        <f>'Stavební rozpočet'!K100</f>
        <v>10.650623304000002</v>
      </c>
      <c r="H15" s="27" t="s">
        <v>1116</v>
      </c>
      <c r="I15" s="27">
        <f t="shared" si="0"/>
        <v>0</v>
      </c>
    </row>
    <row r="16" spans="1:9" ht="12.75">
      <c r="A16" s="11"/>
      <c r="B16" s="11" t="s">
        <v>22</v>
      </c>
      <c r="C16" s="11" t="s">
        <v>705</v>
      </c>
      <c r="D16" s="27">
        <f>'Stavební rozpočet'!G119</f>
        <v>0</v>
      </c>
      <c r="E16" s="27">
        <f>'Stavební rozpočet'!H119</f>
        <v>0</v>
      </c>
      <c r="F16" s="27">
        <f>'Stavební rozpočet'!I119</f>
        <v>0</v>
      </c>
      <c r="G16" s="27">
        <f>'Stavební rozpočet'!K119</f>
        <v>0</v>
      </c>
      <c r="H16" s="27" t="s">
        <v>1116</v>
      </c>
      <c r="I16" s="27">
        <f t="shared" si="0"/>
        <v>0</v>
      </c>
    </row>
    <row r="17" spans="1:9" ht="12.75">
      <c r="A17" s="11"/>
      <c r="B17" s="11" t="s">
        <v>23</v>
      </c>
      <c r="C17" s="11" t="s">
        <v>728</v>
      </c>
      <c r="D17" s="27">
        <f>'Stavební rozpočet'!G160</f>
        <v>0</v>
      </c>
      <c r="E17" s="27">
        <f>'Stavební rozpočet'!H160</f>
        <v>0</v>
      </c>
      <c r="F17" s="27">
        <f>'Stavební rozpočet'!I160</f>
        <v>0</v>
      </c>
      <c r="G17" s="27">
        <f>'Stavební rozpočet'!K160</f>
        <v>0</v>
      </c>
      <c r="H17" s="27" t="s">
        <v>1116</v>
      </c>
      <c r="I17" s="27">
        <f t="shared" si="0"/>
        <v>0</v>
      </c>
    </row>
    <row r="18" spans="1:9" ht="12.75">
      <c r="A18" s="11"/>
      <c r="B18" s="11" t="s">
        <v>24</v>
      </c>
      <c r="C18" s="11" t="s">
        <v>733</v>
      </c>
      <c r="D18" s="27">
        <f>'Stavební rozpočet'!G169</f>
        <v>0</v>
      </c>
      <c r="E18" s="27">
        <f>'Stavební rozpočet'!H169</f>
        <v>0</v>
      </c>
      <c r="F18" s="27">
        <f>'Stavební rozpočet'!I169</f>
        <v>0</v>
      </c>
      <c r="G18" s="27">
        <f>'Stavební rozpočet'!K169</f>
        <v>0.56296</v>
      </c>
      <c r="H18" s="27" t="s">
        <v>1116</v>
      </c>
      <c r="I18" s="27">
        <f t="shared" si="0"/>
        <v>0</v>
      </c>
    </row>
    <row r="19" spans="1:9" ht="12.75">
      <c r="A19" s="11"/>
      <c r="B19" s="11" t="s">
        <v>25</v>
      </c>
      <c r="C19" s="11" t="s">
        <v>742</v>
      </c>
      <c r="D19" s="27">
        <f>'Stavební rozpočet'!G185</f>
        <v>0</v>
      </c>
      <c r="E19" s="27">
        <f>'Stavební rozpočet'!H185</f>
        <v>0</v>
      </c>
      <c r="F19" s="27">
        <f>'Stavební rozpočet'!I185</f>
        <v>0</v>
      </c>
      <c r="G19" s="27">
        <f>'Stavební rozpočet'!K185</f>
        <v>0</v>
      </c>
      <c r="H19" s="27" t="s">
        <v>1116</v>
      </c>
      <c r="I19" s="27">
        <f t="shared" si="0"/>
        <v>0</v>
      </c>
    </row>
    <row r="20" spans="1:9" ht="12.75">
      <c r="A20" s="11"/>
      <c r="B20" s="11" t="s">
        <v>27</v>
      </c>
      <c r="C20" s="11" t="s">
        <v>746</v>
      </c>
      <c r="D20" s="27">
        <f>'Stavební rozpočet'!G192</f>
        <v>0</v>
      </c>
      <c r="E20" s="27">
        <f>'Stavební rozpočet'!H192</f>
        <v>0</v>
      </c>
      <c r="F20" s="27">
        <f>'Stavební rozpočet'!I192</f>
        <v>0</v>
      </c>
      <c r="G20" s="27">
        <f>'Stavební rozpočet'!K192</f>
        <v>17.4604</v>
      </c>
      <c r="H20" s="27" t="s">
        <v>1116</v>
      </c>
      <c r="I20" s="27">
        <f t="shared" si="0"/>
        <v>0</v>
      </c>
    </row>
    <row r="21" spans="1:9" ht="12.75">
      <c r="A21" s="11"/>
      <c r="B21" s="11" t="s">
        <v>29</v>
      </c>
      <c r="C21" s="11" t="s">
        <v>748</v>
      </c>
      <c r="D21" s="27">
        <f>'Stavební rozpočet'!G195</f>
        <v>0</v>
      </c>
      <c r="E21" s="27">
        <f>'Stavební rozpočet'!H195</f>
        <v>0</v>
      </c>
      <c r="F21" s="27">
        <f>'Stavební rozpočet'!I195</f>
        <v>0</v>
      </c>
      <c r="G21" s="27">
        <f>'Stavební rozpočet'!K195</f>
        <v>0.02</v>
      </c>
      <c r="H21" s="27" t="s">
        <v>1116</v>
      </c>
      <c r="I21" s="27">
        <f t="shared" si="0"/>
        <v>0</v>
      </c>
    </row>
    <row r="22" spans="1:9" ht="12.75">
      <c r="A22" s="11"/>
      <c r="B22" s="11" t="s">
        <v>33</v>
      </c>
      <c r="C22" s="11" t="s">
        <v>750</v>
      </c>
      <c r="D22" s="27">
        <f>'Stavební rozpočet'!G198</f>
        <v>0</v>
      </c>
      <c r="E22" s="27">
        <f>'Stavební rozpočet'!H198</f>
        <v>0</v>
      </c>
      <c r="F22" s="27">
        <f>'Stavební rozpočet'!I198</f>
        <v>0</v>
      </c>
      <c r="G22" s="27">
        <f>'Stavební rozpočet'!K198</f>
        <v>0.2424</v>
      </c>
      <c r="H22" s="27" t="s">
        <v>1116</v>
      </c>
      <c r="I22" s="27">
        <f t="shared" si="0"/>
        <v>0</v>
      </c>
    </row>
    <row r="23" spans="1:9" ht="12.75">
      <c r="A23" s="11"/>
      <c r="B23" s="11" t="s">
        <v>39</v>
      </c>
      <c r="C23" s="11" t="s">
        <v>752</v>
      </c>
      <c r="D23" s="27">
        <f>'Stavební rozpočet'!G201</f>
        <v>0</v>
      </c>
      <c r="E23" s="27">
        <f>'Stavební rozpočet'!H201</f>
        <v>0</v>
      </c>
      <c r="F23" s="27">
        <f>'Stavební rozpočet'!I201</f>
        <v>0</v>
      </c>
      <c r="G23" s="27">
        <f>'Stavební rozpočet'!K201</f>
        <v>24.616153088000008</v>
      </c>
      <c r="H23" s="27" t="s">
        <v>1116</v>
      </c>
      <c r="I23" s="27">
        <f t="shared" si="0"/>
        <v>0</v>
      </c>
    </row>
    <row r="24" spans="1:9" ht="12.75">
      <c r="A24" s="11"/>
      <c r="B24" s="11" t="s">
        <v>44</v>
      </c>
      <c r="C24" s="11" t="s">
        <v>754</v>
      </c>
      <c r="D24" s="27">
        <f>'Stavební rozpočet'!G204</f>
        <v>0</v>
      </c>
      <c r="E24" s="27">
        <f>'Stavební rozpočet'!H204</f>
        <v>0</v>
      </c>
      <c r="F24" s="27">
        <f>'Stavební rozpočet'!I204</f>
        <v>0</v>
      </c>
      <c r="G24" s="27">
        <f>'Stavební rozpočet'!K204</f>
        <v>0.12468</v>
      </c>
      <c r="H24" s="27" t="s">
        <v>1116</v>
      </c>
      <c r="I24" s="27">
        <f t="shared" si="0"/>
        <v>0</v>
      </c>
    </row>
    <row r="25" spans="1:9" ht="12.75">
      <c r="A25" s="11"/>
      <c r="B25" s="11" t="s">
        <v>49</v>
      </c>
      <c r="C25" s="11" t="s">
        <v>759</v>
      </c>
      <c r="D25" s="27">
        <f>'Stavební rozpočet'!G212</f>
        <v>0</v>
      </c>
      <c r="E25" s="27">
        <f>'Stavební rozpočet'!H212</f>
        <v>0</v>
      </c>
      <c r="F25" s="27">
        <f>'Stavební rozpočet'!I212</f>
        <v>0</v>
      </c>
      <c r="G25" s="27">
        <f>'Stavební rozpočet'!K212</f>
        <v>0.9149788</v>
      </c>
      <c r="H25" s="27" t="s">
        <v>1116</v>
      </c>
      <c r="I25" s="27">
        <f t="shared" si="0"/>
        <v>0</v>
      </c>
    </row>
    <row r="26" spans="1:9" ht="12.75">
      <c r="A26" s="11"/>
      <c r="B26" s="11" t="s">
        <v>51</v>
      </c>
      <c r="C26" s="11" t="s">
        <v>761</v>
      </c>
      <c r="D26" s="27">
        <f>'Stavební rozpočet'!G215</f>
        <v>0</v>
      </c>
      <c r="E26" s="27">
        <f>'Stavební rozpočet'!H215</f>
        <v>0</v>
      </c>
      <c r="F26" s="27">
        <f>'Stavební rozpočet'!I215</f>
        <v>0</v>
      </c>
      <c r="G26" s="27">
        <f>'Stavební rozpočet'!K215</f>
        <v>329.681814214625</v>
      </c>
      <c r="H26" s="27" t="s">
        <v>1116</v>
      </c>
      <c r="I26" s="27">
        <f t="shared" si="0"/>
        <v>0</v>
      </c>
    </row>
    <row r="27" spans="1:9" ht="12.75">
      <c r="A27" s="11"/>
      <c r="B27" s="11" t="s">
        <v>52</v>
      </c>
      <c r="C27" s="11" t="s">
        <v>775</v>
      </c>
      <c r="D27" s="27">
        <f>'Stavební rozpočet'!G243</f>
        <v>0</v>
      </c>
      <c r="E27" s="27">
        <f>'Stavební rozpočet'!H243</f>
        <v>0</v>
      </c>
      <c r="F27" s="27">
        <f>'Stavební rozpočet'!I243</f>
        <v>0</v>
      </c>
      <c r="G27" s="27">
        <f>'Stavební rozpočet'!K243</f>
        <v>14.684446818000001</v>
      </c>
      <c r="H27" s="27" t="s">
        <v>1116</v>
      </c>
      <c r="I27" s="27">
        <f t="shared" si="0"/>
        <v>0</v>
      </c>
    </row>
    <row r="28" spans="1:9" ht="12.75">
      <c r="A28" s="11"/>
      <c r="B28" s="11" t="s">
        <v>62</v>
      </c>
      <c r="C28" s="11" t="s">
        <v>777</v>
      </c>
      <c r="D28" s="27">
        <f>'Stavební rozpočet'!G246</f>
        <v>0</v>
      </c>
      <c r="E28" s="27">
        <f>'Stavební rozpočet'!H246</f>
        <v>0</v>
      </c>
      <c r="F28" s="27">
        <f>'Stavební rozpočet'!I246</f>
        <v>0</v>
      </c>
      <c r="G28" s="27">
        <f>'Stavební rozpočet'!K246</f>
        <v>331.05941400000006</v>
      </c>
      <c r="H28" s="27" t="s">
        <v>1116</v>
      </c>
      <c r="I28" s="27">
        <f t="shared" si="0"/>
        <v>0</v>
      </c>
    </row>
    <row r="29" spans="1:9" ht="12.75">
      <c r="A29" s="11"/>
      <c r="B29" s="11" t="s">
        <v>63</v>
      </c>
      <c r="C29" s="11" t="s">
        <v>780</v>
      </c>
      <c r="D29" s="27">
        <f>'Stavební rozpočet'!G251</f>
        <v>0</v>
      </c>
      <c r="E29" s="27">
        <f>'Stavební rozpočet'!H251</f>
        <v>0</v>
      </c>
      <c r="F29" s="27">
        <f>'Stavební rozpočet'!I251</f>
        <v>0</v>
      </c>
      <c r="G29" s="27">
        <f>'Stavební rozpočet'!K251</f>
        <v>80.92902</v>
      </c>
      <c r="H29" s="27" t="s">
        <v>1116</v>
      </c>
      <c r="I29" s="27">
        <f t="shared" si="0"/>
        <v>0</v>
      </c>
    </row>
    <row r="30" spans="1:9" ht="12.75">
      <c r="A30" s="11"/>
      <c r="B30" s="11" t="s">
        <v>64</v>
      </c>
      <c r="C30" s="11" t="s">
        <v>783</v>
      </c>
      <c r="D30" s="27">
        <f>'Stavební rozpočet'!G256</f>
        <v>0</v>
      </c>
      <c r="E30" s="27">
        <f>'Stavební rozpočet'!H256</f>
        <v>0</v>
      </c>
      <c r="F30" s="27">
        <f>'Stavební rozpočet'!I256</f>
        <v>0</v>
      </c>
      <c r="G30" s="27">
        <f>'Stavební rozpočet'!K256</f>
        <v>145.791</v>
      </c>
      <c r="H30" s="27" t="s">
        <v>1116</v>
      </c>
      <c r="I30" s="27">
        <f t="shared" si="0"/>
        <v>0</v>
      </c>
    </row>
    <row r="31" spans="1:9" ht="12.75">
      <c r="A31" s="11"/>
      <c r="B31" s="11" t="s">
        <v>65</v>
      </c>
      <c r="C31" s="11" t="s">
        <v>785</v>
      </c>
      <c r="D31" s="27">
        <f>'Stavební rozpočet'!G259</f>
        <v>0</v>
      </c>
      <c r="E31" s="27">
        <f>'Stavební rozpočet'!H259</f>
        <v>0</v>
      </c>
      <c r="F31" s="27">
        <f>'Stavební rozpočet'!I259</f>
        <v>0</v>
      </c>
      <c r="G31" s="27">
        <f>'Stavební rozpočet'!K259</f>
        <v>50.3567961345</v>
      </c>
      <c r="H31" s="27" t="s">
        <v>1116</v>
      </c>
      <c r="I31" s="27">
        <f t="shared" si="0"/>
        <v>0</v>
      </c>
    </row>
    <row r="32" spans="1:9" ht="12.75">
      <c r="A32" s="11"/>
      <c r="B32" s="11" t="s">
        <v>69</v>
      </c>
      <c r="C32" s="11" t="s">
        <v>790</v>
      </c>
      <c r="D32" s="27">
        <f>'Stavební rozpočet'!G268</f>
        <v>0</v>
      </c>
      <c r="E32" s="27">
        <f>'Stavební rozpočet'!H268</f>
        <v>0</v>
      </c>
      <c r="F32" s="27">
        <f>'Stavební rozpočet'!I268</f>
        <v>0</v>
      </c>
      <c r="G32" s="27">
        <f>'Stavební rozpočet'!K268</f>
        <v>11.45082</v>
      </c>
      <c r="H32" s="27" t="s">
        <v>1116</v>
      </c>
      <c r="I32" s="27">
        <f t="shared" si="0"/>
        <v>0</v>
      </c>
    </row>
    <row r="33" spans="1:9" ht="12.75">
      <c r="A33" s="11"/>
      <c r="B33" s="11" t="s">
        <v>70</v>
      </c>
      <c r="C33" s="11" t="s">
        <v>792</v>
      </c>
      <c r="D33" s="27">
        <f>'Stavební rozpočet'!G271</f>
        <v>0</v>
      </c>
      <c r="E33" s="27">
        <f>'Stavební rozpočet'!H271</f>
        <v>0</v>
      </c>
      <c r="F33" s="27">
        <f>'Stavební rozpočet'!I271</f>
        <v>0</v>
      </c>
      <c r="G33" s="27">
        <f>'Stavební rozpočet'!K271</f>
        <v>0</v>
      </c>
      <c r="H33" s="27" t="s">
        <v>1116</v>
      </c>
      <c r="I33" s="27">
        <f t="shared" si="0"/>
        <v>0</v>
      </c>
    </row>
    <row r="34" spans="1:9" ht="12.75">
      <c r="A34" s="11"/>
      <c r="B34" s="11" t="s">
        <v>445</v>
      </c>
      <c r="C34" s="11" t="s">
        <v>794</v>
      </c>
      <c r="D34" s="27">
        <f>'Stavební rozpočet'!G274</f>
        <v>0</v>
      </c>
      <c r="E34" s="27">
        <f>'Stavební rozpočet'!H274</f>
        <v>0</v>
      </c>
      <c r="F34" s="27">
        <f>'Stavební rozpočet'!I274</f>
        <v>0</v>
      </c>
      <c r="G34" s="27">
        <f>'Stavební rozpočet'!K274</f>
        <v>0.277662955</v>
      </c>
      <c r="H34" s="27" t="s">
        <v>1116</v>
      </c>
      <c r="I34" s="27">
        <f t="shared" si="0"/>
        <v>0</v>
      </c>
    </row>
    <row r="35" spans="1:9" ht="12.75">
      <c r="A35" s="11"/>
      <c r="B35" s="11" t="s">
        <v>450</v>
      </c>
      <c r="C35" s="11" t="s">
        <v>799</v>
      </c>
      <c r="D35" s="27">
        <f>'Stavební rozpočet'!G284</f>
        <v>0</v>
      </c>
      <c r="E35" s="27">
        <f>'Stavební rozpočet'!H284</f>
        <v>0</v>
      </c>
      <c r="F35" s="27">
        <f>'Stavební rozpočet'!I284</f>
        <v>0</v>
      </c>
      <c r="G35" s="27">
        <f>'Stavební rozpočet'!K284</f>
        <v>0</v>
      </c>
      <c r="H35" s="27" t="s">
        <v>1116</v>
      </c>
      <c r="I35" s="27">
        <f t="shared" si="0"/>
        <v>0</v>
      </c>
    </row>
    <row r="36" spans="1:9" ht="12.75">
      <c r="A36" s="11"/>
      <c r="B36" s="11" t="s">
        <v>452</v>
      </c>
      <c r="C36" s="11" t="s">
        <v>801</v>
      </c>
      <c r="D36" s="27">
        <f>'Stavební rozpočet'!G287</f>
        <v>0</v>
      </c>
      <c r="E36" s="27">
        <f>'Stavební rozpočet'!H287</f>
        <v>0</v>
      </c>
      <c r="F36" s="27">
        <f>'Stavební rozpočet'!I287</f>
        <v>0</v>
      </c>
      <c r="G36" s="27">
        <f>'Stavební rozpočet'!K287</f>
        <v>0.02706</v>
      </c>
      <c r="H36" s="27" t="s">
        <v>1116</v>
      </c>
      <c r="I36" s="27">
        <f t="shared" si="0"/>
        <v>0</v>
      </c>
    </row>
    <row r="37" spans="1:9" ht="12.75">
      <c r="A37" s="11"/>
      <c r="B37" s="11" t="s">
        <v>454</v>
      </c>
      <c r="C37" s="11" t="s">
        <v>803</v>
      </c>
      <c r="D37" s="27">
        <f>'Stavební rozpočet'!G290</f>
        <v>0</v>
      </c>
      <c r="E37" s="27">
        <f>'Stavební rozpočet'!H290</f>
        <v>0</v>
      </c>
      <c r="F37" s="27">
        <f>'Stavební rozpočet'!I290</f>
        <v>0</v>
      </c>
      <c r="G37" s="27">
        <f>'Stavební rozpočet'!K290</f>
        <v>0.665274</v>
      </c>
      <c r="H37" s="27" t="s">
        <v>1116</v>
      </c>
      <c r="I37" s="27">
        <f t="shared" si="0"/>
        <v>0</v>
      </c>
    </row>
    <row r="38" spans="1:9" ht="12.75">
      <c r="A38" s="11"/>
      <c r="B38" s="11" t="s">
        <v>457</v>
      </c>
      <c r="C38" s="11" t="s">
        <v>806</v>
      </c>
      <c r="D38" s="27">
        <f>'Stavební rozpočet'!G295</f>
        <v>0</v>
      </c>
      <c r="E38" s="27">
        <f>'Stavební rozpočet'!H295</f>
        <v>0</v>
      </c>
      <c r="F38" s="27">
        <f>'Stavební rozpočet'!I295</f>
        <v>0</v>
      </c>
      <c r="G38" s="27">
        <f>'Stavební rozpočet'!K295</f>
        <v>0.23202</v>
      </c>
      <c r="H38" s="27" t="s">
        <v>1116</v>
      </c>
      <c r="I38" s="27">
        <f t="shared" si="0"/>
        <v>0</v>
      </c>
    </row>
    <row r="39" spans="1:9" ht="12.75">
      <c r="A39" s="11"/>
      <c r="B39" s="11" t="s">
        <v>459</v>
      </c>
      <c r="C39" s="11" t="s">
        <v>808</v>
      </c>
      <c r="D39" s="27">
        <f>'Stavební rozpočet'!G298</f>
        <v>0</v>
      </c>
      <c r="E39" s="27">
        <f>'Stavební rozpočet'!H298</f>
        <v>0</v>
      </c>
      <c r="F39" s="27">
        <f>'Stavební rozpočet'!I298</f>
        <v>0</v>
      </c>
      <c r="G39" s="27">
        <f>'Stavební rozpočet'!K298</f>
        <v>0.8529</v>
      </c>
      <c r="H39" s="27" t="s">
        <v>1116</v>
      </c>
      <c r="I39" s="27">
        <f t="shared" si="0"/>
        <v>0</v>
      </c>
    </row>
    <row r="40" spans="1:9" ht="12.75">
      <c r="A40" s="11"/>
      <c r="B40" s="11" t="s">
        <v>93</v>
      </c>
      <c r="C40" s="11" t="s">
        <v>812</v>
      </c>
      <c r="D40" s="27">
        <f>'Stavební rozpočet'!G305</f>
        <v>0</v>
      </c>
      <c r="E40" s="27">
        <f>'Stavební rozpočet'!H305</f>
        <v>0</v>
      </c>
      <c r="F40" s="27">
        <f>'Stavební rozpočet'!I305</f>
        <v>0</v>
      </c>
      <c r="G40" s="27">
        <f>'Stavební rozpočet'!K305</f>
        <v>0.0190458</v>
      </c>
      <c r="H40" s="27" t="s">
        <v>1116</v>
      </c>
      <c r="I40" s="27">
        <f t="shared" si="0"/>
        <v>0</v>
      </c>
    </row>
    <row r="41" spans="1:9" ht="12.75">
      <c r="A41" s="11"/>
      <c r="B41" s="11" t="s">
        <v>95</v>
      </c>
      <c r="C41" s="11" t="s">
        <v>830</v>
      </c>
      <c r="D41" s="27">
        <f>'Stavební rozpočet'!G341</f>
        <v>0</v>
      </c>
      <c r="E41" s="27">
        <f>'Stavební rozpočet'!H341</f>
        <v>0</v>
      </c>
      <c r="F41" s="27">
        <f>'Stavební rozpočet'!I341</f>
        <v>0</v>
      </c>
      <c r="G41" s="27">
        <f>'Stavební rozpočet'!K341</f>
        <v>32.57201145379999</v>
      </c>
      <c r="H41" s="27" t="s">
        <v>1116</v>
      </c>
      <c r="I41" s="27">
        <f t="shared" si="0"/>
        <v>0</v>
      </c>
    </row>
    <row r="42" spans="1:9" ht="12.75">
      <c r="A42" s="11"/>
      <c r="B42" s="11" t="s">
        <v>498</v>
      </c>
      <c r="C42" s="11" t="s">
        <v>830</v>
      </c>
      <c r="D42" s="27">
        <f>'Stavební rozpočet'!G377</f>
        <v>0</v>
      </c>
      <c r="E42" s="27">
        <f>'Stavební rozpočet'!H377</f>
        <v>0</v>
      </c>
      <c r="F42" s="27">
        <f>'Stavební rozpočet'!I377</f>
        <v>0</v>
      </c>
      <c r="G42" s="27">
        <f>'Stavební rozpočet'!K377</f>
        <v>446.7938210999999</v>
      </c>
      <c r="H42" s="27" t="s">
        <v>1116</v>
      </c>
      <c r="I42" s="27">
        <f t="shared" si="0"/>
        <v>0</v>
      </c>
    </row>
    <row r="43" spans="1:9" ht="12.75">
      <c r="A43" s="11"/>
      <c r="B43" s="11" t="s">
        <v>97</v>
      </c>
      <c r="C43" s="11" t="s">
        <v>859</v>
      </c>
      <c r="D43" s="27">
        <f>'Stavební rozpočet'!G397</f>
        <v>0</v>
      </c>
      <c r="E43" s="27">
        <f>'Stavební rozpočet'!H397</f>
        <v>0</v>
      </c>
      <c r="F43" s="27">
        <f>'Stavební rozpočet'!I397</f>
        <v>0</v>
      </c>
      <c r="G43" s="27">
        <f>'Stavební rozpočet'!K397</f>
        <v>25.6469838</v>
      </c>
      <c r="H43" s="27" t="s">
        <v>1116</v>
      </c>
      <c r="I43" s="27">
        <f t="shared" si="0"/>
        <v>0</v>
      </c>
    </row>
    <row r="44" spans="1:9" ht="12.75">
      <c r="A44" s="11"/>
      <c r="B44" s="11" t="s">
        <v>99</v>
      </c>
      <c r="C44" s="11" t="s">
        <v>865</v>
      </c>
      <c r="D44" s="27">
        <f>'Stavební rozpočet'!G410</f>
        <v>0</v>
      </c>
      <c r="E44" s="27">
        <f>'Stavební rozpočet'!H410</f>
        <v>0</v>
      </c>
      <c r="F44" s="27">
        <f>'Stavební rozpočet'!I410</f>
        <v>0</v>
      </c>
      <c r="G44" s="27">
        <f>'Stavební rozpočet'!K410</f>
        <v>0</v>
      </c>
      <c r="H44" s="27" t="s">
        <v>1116</v>
      </c>
      <c r="I44" s="27">
        <f t="shared" si="0"/>
        <v>0</v>
      </c>
    </row>
    <row r="45" spans="1:9" ht="12.75">
      <c r="A45" s="11"/>
      <c r="B45" s="11" t="s">
        <v>514</v>
      </c>
      <c r="C45" s="11" t="s">
        <v>867</v>
      </c>
      <c r="D45" s="27">
        <f>'Stavební rozpočet'!G413</f>
        <v>0</v>
      </c>
      <c r="E45" s="27">
        <f>'Stavební rozpočet'!H413</f>
        <v>0</v>
      </c>
      <c r="F45" s="27">
        <f>'Stavební rozpočet'!I413</f>
        <v>0</v>
      </c>
      <c r="G45" s="27">
        <f>'Stavební rozpočet'!K413</f>
        <v>0</v>
      </c>
      <c r="H45" s="27" t="s">
        <v>1116</v>
      </c>
      <c r="I45" s="27">
        <f t="shared" si="0"/>
        <v>0</v>
      </c>
    </row>
    <row r="46" spans="1:9" ht="12.75">
      <c r="A46" s="11"/>
      <c r="B46" s="11" t="s">
        <v>101</v>
      </c>
      <c r="C46" s="11" t="s">
        <v>869</v>
      </c>
      <c r="D46" s="27">
        <f>'Stavební rozpočet'!G416</f>
        <v>0</v>
      </c>
      <c r="E46" s="27">
        <f>'Stavební rozpočet'!H416</f>
        <v>0</v>
      </c>
      <c r="F46" s="27">
        <f>'Stavební rozpočet'!I416</f>
        <v>0</v>
      </c>
      <c r="G46" s="27">
        <f>'Stavební rozpočet'!K416</f>
        <v>0.00954</v>
      </c>
      <c r="H46" s="27" t="s">
        <v>1116</v>
      </c>
      <c r="I46" s="27">
        <f t="shared" si="0"/>
        <v>0</v>
      </c>
    </row>
    <row r="47" spans="1:9" ht="12.75">
      <c r="A47" s="11"/>
      <c r="B47" s="11" t="s">
        <v>102</v>
      </c>
      <c r="C47" s="11" t="s">
        <v>873</v>
      </c>
      <c r="D47" s="27">
        <f>'Stavební rozpočet'!G423</f>
        <v>0</v>
      </c>
      <c r="E47" s="27">
        <f>'Stavební rozpočet'!H423</f>
        <v>0</v>
      </c>
      <c r="F47" s="27">
        <f>'Stavební rozpočet'!I423</f>
        <v>0</v>
      </c>
      <c r="G47" s="27">
        <f>'Stavební rozpočet'!K423</f>
        <v>39.946851679999995</v>
      </c>
      <c r="H47" s="27" t="s">
        <v>1116</v>
      </c>
      <c r="I47" s="27">
        <f t="shared" si="0"/>
        <v>0</v>
      </c>
    </row>
    <row r="48" spans="1:9" ht="12.75">
      <c r="A48" s="11"/>
      <c r="B48" s="11" t="s">
        <v>103</v>
      </c>
      <c r="C48" s="11" t="s">
        <v>882</v>
      </c>
      <c r="D48" s="27">
        <f>'Stavební rozpočet'!G440</f>
        <v>0</v>
      </c>
      <c r="E48" s="27">
        <f>'Stavební rozpočet'!H440</f>
        <v>0</v>
      </c>
      <c r="F48" s="27">
        <f>'Stavební rozpočet'!I440</f>
        <v>0</v>
      </c>
      <c r="G48" s="27">
        <f>'Stavební rozpočet'!K440</f>
        <v>0.3335956</v>
      </c>
      <c r="H48" s="27" t="s">
        <v>1116</v>
      </c>
      <c r="I48" s="27">
        <f t="shared" si="0"/>
        <v>0</v>
      </c>
    </row>
    <row r="49" spans="1:9" ht="12.75">
      <c r="A49" s="11"/>
      <c r="B49" s="11" t="s">
        <v>533</v>
      </c>
      <c r="C49" s="11" t="s">
        <v>889</v>
      </c>
      <c r="D49" s="27">
        <f>'Stavební rozpočet'!G453</f>
        <v>0</v>
      </c>
      <c r="E49" s="27">
        <f>'Stavební rozpočet'!H453</f>
        <v>0</v>
      </c>
      <c r="F49" s="27">
        <f>'Stavební rozpočet'!I453</f>
        <v>0</v>
      </c>
      <c r="G49" s="27">
        <f>'Stavební rozpočet'!K453</f>
        <v>0</v>
      </c>
      <c r="H49" s="27" t="s">
        <v>1116</v>
      </c>
      <c r="I49" s="27">
        <f t="shared" si="0"/>
        <v>0</v>
      </c>
    </row>
    <row r="50" spans="1:9" ht="12.75">
      <c r="A50" s="11"/>
      <c r="B50" s="11" t="s">
        <v>536</v>
      </c>
      <c r="C50" s="11" t="s">
        <v>892</v>
      </c>
      <c r="D50" s="27">
        <f>'Stavební rozpočet'!G458</f>
        <v>0</v>
      </c>
      <c r="E50" s="27">
        <f>'Stavební rozpočet'!H458</f>
        <v>0</v>
      </c>
      <c r="F50" s="27">
        <f>'Stavební rozpočet'!I458</f>
        <v>0</v>
      </c>
      <c r="G50" s="27">
        <f>'Stavební rozpočet'!K458</f>
        <v>1.23456</v>
      </c>
      <c r="H50" s="27" t="s">
        <v>1116</v>
      </c>
      <c r="I50" s="27">
        <f t="shared" si="0"/>
        <v>0</v>
      </c>
    </row>
    <row r="51" spans="1:9" ht="12.75">
      <c r="A51" s="11"/>
      <c r="B51" s="11" t="s">
        <v>542</v>
      </c>
      <c r="C51" s="11" t="s">
        <v>898</v>
      </c>
      <c r="D51" s="27">
        <f>'Stavební rozpočet'!G466</f>
        <v>0</v>
      </c>
      <c r="E51" s="27">
        <f>'Stavební rozpočet'!H466</f>
        <v>0</v>
      </c>
      <c r="F51" s="27">
        <f>'Stavební rozpočet'!I466</f>
        <v>0</v>
      </c>
      <c r="G51" s="27">
        <f>'Stavební rozpočet'!K466</f>
        <v>0</v>
      </c>
      <c r="H51" s="27" t="s">
        <v>1116</v>
      </c>
      <c r="I51" s="27">
        <f t="shared" si="0"/>
        <v>0</v>
      </c>
    </row>
    <row r="52" spans="1:9" ht="12.75">
      <c r="A52" s="11"/>
      <c r="B52" s="11"/>
      <c r="C52" s="11" t="s">
        <v>909</v>
      </c>
      <c r="D52" s="27">
        <f>'Stavební rozpočet'!G488</f>
        <v>0</v>
      </c>
      <c r="E52" s="27">
        <f>'Stavební rozpočet'!H488</f>
        <v>0</v>
      </c>
      <c r="F52" s="27">
        <f>'Stavební rozpočet'!I488</f>
        <v>0</v>
      </c>
      <c r="G52" s="27">
        <f>'Stavební rozpočet'!K488</f>
        <v>7154.3072107596</v>
      </c>
      <c r="H52" s="27" t="s">
        <v>1116</v>
      </c>
      <c r="I52" s="27">
        <f t="shared" si="0"/>
        <v>0</v>
      </c>
    </row>
    <row r="54" spans="5:6" ht="12.75">
      <c r="E54" s="36" t="s">
        <v>1031</v>
      </c>
      <c r="F54" s="39">
        <f>SUM(I11:I52)</f>
        <v>0</v>
      </c>
    </row>
  </sheetData>
  <sheetProtection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14" sqref="I14"/>
    </sheetView>
  </sheetViews>
  <sheetFormatPr defaultColWidth="9.140625" defaultRowHeight="12.75"/>
  <cols>
    <col min="2" max="2" width="12.8515625" style="0" customWidth="1"/>
    <col min="3" max="3" width="22.8515625" style="0" customWidth="1"/>
    <col min="5" max="5" width="14.00390625" style="0" customWidth="1"/>
    <col min="6" max="6" width="22.8515625" style="0" customWidth="1"/>
    <col min="8" max="8" width="12.8515625" style="0" customWidth="1"/>
    <col min="9" max="9" width="22.8515625" style="0" customWidth="1"/>
  </cols>
  <sheetData>
    <row r="1" spans="1:10" ht="72.75" customHeight="1">
      <c r="A1" s="288"/>
      <c r="B1" s="274"/>
      <c r="C1" s="315" t="s">
        <v>1851</v>
      </c>
      <c r="D1" s="316"/>
      <c r="E1" s="316"/>
      <c r="F1" s="316"/>
      <c r="G1" s="316"/>
      <c r="H1" s="316"/>
      <c r="I1" s="316"/>
      <c r="J1" s="270"/>
    </row>
    <row r="2" spans="1:10" ht="12.75">
      <c r="A2" s="317" t="s">
        <v>1</v>
      </c>
      <c r="B2" s="318"/>
      <c r="C2" s="319" t="s">
        <v>643</v>
      </c>
      <c r="D2" s="320"/>
      <c r="E2" s="322" t="s">
        <v>1025</v>
      </c>
      <c r="F2" s="322" t="s">
        <v>1032</v>
      </c>
      <c r="G2" s="318"/>
      <c r="H2" s="322" t="s">
        <v>1852</v>
      </c>
      <c r="I2" s="323"/>
      <c r="J2" s="272"/>
    </row>
    <row r="3" spans="1:10" ht="12.75">
      <c r="A3" s="312"/>
      <c r="B3" s="305"/>
      <c r="C3" s="321"/>
      <c r="D3" s="321"/>
      <c r="E3" s="305"/>
      <c r="F3" s="305"/>
      <c r="G3" s="305"/>
      <c r="H3" s="305"/>
      <c r="I3" s="314"/>
      <c r="J3" s="272"/>
    </row>
    <row r="4" spans="1:10" ht="12.75">
      <c r="A4" s="304" t="s">
        <v>2</v>
      </c>
      <c r="B4" s="305"/>
      <c r="C4" s="308" t="s">
        <v>6</v>
      </c>
      <c r="D4" s="305"/>
      <c r="E4" s="308" t="s">
        <v>1026</v>
      </c>
      <c r="F4" s="228" t="s">
        <v>1923</v>
      </c>
      <c r="G4" s="305"/>
      <c r="H4" s="308" t="s">
        <v>1852</v>
      </c>
      <c r="I4" s="359" t="s">
        <v>1924</v>
      </c>
      <c r="J4" s="272"/>
    </row>
    <row r="5" spans="1:10" ht="12.75">
      <c r="A5" s="312"/>
      <c r="B5" s="305"/>
      <c r="C5" s="305"/>
      <c r="D5" s="305"/>
      <c r="E5" s="305"/>
      <c r="F5" s="305"/>
      <c r="G5" s="305"/>
      <c r="H5" s="305"/>
      <c r="I5" s="310"/>
      <c r="J5" s="272"/>
    </row>
    <row r="6" spans="1:10" ht="12.75">
      <c r="A6" s="304" t="s">
        <v>3</v>
      </c>
      <c r="B6" s="305"/>
      <c r="C6" s="308" t="s">
        <v>644</v>
      </c>
      <c r="D6" s="305"/>
      <c r="E6" s="308" t="s">
        <v>1027</v>
      </c>
      <c r="F6" s="308" t="s">
        <v>1032</v>
      </c>
      <c r="G6" s="305"/>
      <c r="H6" s="308" t="s">
        <v>1852</v>
      </c>
      <c r="I6" s="313"/>
      <c r="J6" s="272"/>
    </row>
    <row r="7" spans="1:10" ht="12.75">
      <c r="A7" s="312"/>
      <c r="B7" s="305"/>
      <c r="C7" s="305"/>
      <c r="D7" s="305"/>
      <c r="E7" s="305"/>
      <c r="F7" s="305"/>
      <c r="G7" s="305"/>
      <c r="H7" s="305"/>
      <c r="I7" s="314"/>
      <c r="J7" s="272"/>
    </row>
    <row r="8" spans="1:10" ht="12.75">
      <c r="A8" s="304" t="s">
        <v>1000</v>
      </c>
      <c r="B8" s="305"/>
      <c r="C8" s="308" t="s">
        <v>1021</v>
      </c>
      <c r="D8" s="305"/>
      <c r="E8" s="308" t="s">
        <v>1001</v>
      </c>
      <c r="F8" s="308" t="s">
        <v>1022</v>
      </c>
      <c r="G8" s="305"/>
      <c r="H8" s="309" t="s">
        <v>1853</v>
      </c>
      <c r="I8" s="313" t="s">
        <v>1847</v>
      </c>
      <c r="J8" s="272"/>
    </row>
    <row r="9" spans="1:10" ht="12.75">
      <c r="A9" s="312"/>
      <c r="B9" s="305"/>
      <c r="C9" s="305"/>
      <c r="D9" s="305"/>
      <c r="E9" s="305"/>
      <c r="F9" s="305"/>
      <c r="G9" s="305"/>
      <c r="H9" s="305"/>
      <c r="I9" s="314"/>
      <c r="J9" s="272"/>
    </row>
    <row r="10" spans="1:10" ht="12.75">
      <c r="A10" s="304" t="s">
        <v>4</v>
      </c>
      <c r="B10" s="305"/>
      <c r="C10" s="308">
        <v>827221</v>
      </c>
      <c r="D10" s="305"/>
      <c r="E10" s="308" t="s">
        <v>1028</v>
      </c>
      <c r="F10" s="228" t="s">
        <v>1923</v>
      </c>
      <c r="G10" s="305"/>
      <c r="H10" s="309" t="s">
        <v>1854</v>
      </c>
      <c r="I10" s="360">
        <v>44039</v>
      </c>
      <c r="J10" s="272"/>
    </row>
    <row r="11" spans="1:10" ht="12.75">
      <c r="A11" s="306"/>
      <c r="B11" s="307"/>
      <c r="C11" s="307"/>
      <c r="D11" s="307"/>
      <c r="E11" s="307"/>
      <c r="F11" s="305"/>
      <c r="G11" s="305"/>
      <c r="H11" s="307"/>
      <c r="I11" s="311"/>
      <c r="J11" s="272"/>
    </row>
    <row r="12" spans="1:10" ht="23.25">
      <c r="A12" s="300" t="s">
        <v>1855</v>
      </c>
      <c r="B12" s="301"/>
      <c r="C12" s="301"/>
      <c r="D12" s="301"/>
      <c r="E12" s="301"/>
      <c r="F12" s="301"/>
      <c r="G12" s="301"/>
      <c r="H12" s="301"/>
      <c r="I12" s="301"/>
      <c r="J12" s="270"/>
    </row>
    <row r="13" spans="1:10" ht="26.25">
      <c r="A13" s="275" t="s">
        <v>1856</v>
      </c>
      <c r="B13" s="302" t="s">
        <v>1857</v>
      </c>
      <c r="C13" s="303"/>
      <c r="D13" s="275" t="s">
        <v>1858</v>
      </c>
      <c r="E13" s="302" t="s">
        <v>1859</v>
      </c>
      <c r="F13" s="303"/>
      <c r="G13" s="275" t="s">
        <v>1860</v>
      </c>
      <c r="H13" s="302" t="s">
        <v>1861</v>
      </c>
      <c r="I13" s="303"/>
      <c r="J13" s="272"/>
    </row>
    <row r="14" spans="1:10" ht="15.75">
      <c r="A14" s="276" t="s">
        <v>1862</v>
      </c>
      <c r="B14" s="279" t="s">
        <v>1863</v>
      </c>
      <c r="C14" s="282">
        <f>SUM('Stavební rozpočet'!AB12:AB366)</f>
        <v>0</v>
      </c>
      <c r="D14" s="298" t="s">
        <v>1864</v>
      </c>
      <c r="E14" s="299"/>
      <c r="F14" s="282">
        <v>0</v>
      </c>
      <c r="G14" s="298" t="s">
        <v>1865</v>
      </c>
      <c r="H14" s="299"/>
      <c r="I14" s="282">
        <f>+VORN!D35</f>
        <v>0</v>
      </c>
      <c r="J14" s="272"/>
    </row>
    <row r="15" spans="1:10" ht="15.75">
      <c r="A15" s="277"/>
      <c r="B15" s="279" t="s">
        <v>1033</v>
      </c>
      <c r="C15" s="282">
        <f>SUM('Stavební rozpočet'!AC12:AC366)</f>
        <v>0</v>
      </c>
      <c r="D15" s="298" t="s">
        <v>1866</v>
      </c>
      <c r="E15" s="299"/>
      <c r="F15" s="282">
        <v>0</v>
      </c>
      <c r="G15" s="298" t="s">
        <v>1867</v>
      </c>
      <c r="H15" s="299"/>
      <c r="I15" s="282">
        <v>0</v>
      </c>
      <c r="J15" s="272"/>
    </row>
    <row r="16" spans="1:10" ht="15.75">
      <c r="A16" s="276" t="s">
        <v>1868</v>
      </c>
      <c r="B16" s="279" t="s">
        <v>1863</v>
      </c>
      <c r="C16" s="282">
        <f>SUM('Stavební rozpočet'!AD12:AD366)</f>
        <v>0</v>
      </c>
      <c r="D16" s="298" t="s">
        <v>1869</v>
      </c>
      <c r="E16" s="299"/>
      <c r="F16" s="282">
        <v>0</v>
      </c>
      <c r="G16" s="298" t="s">
        <v>1870</v>
      </c>
      <c r="H16" s="299"/>
      <c r="I16" s="282">
        <v>0</v>
      </c>
      <c r="J16" s="272"/>
    </row>
    <row r="17" spans="1:10" ht="15.75">
      <c r="A17" s="277"/>
      <c r="B17" s="279" t="s">
        <v>1033</v>
      </c>
      <c r="C17" s="282">
        <f>SUM('Stavební rozpočet'!AE12:AE366)</f>
        <v>0</v>
      </c>
      <c r="D17" s="298"/>
      <c r="E17" s="299"/>
      <c r="F17" s="283"/>
      <c r="G17" s="298" t="s">
        <v>1871</v>
      </c>
      <c r="H17" s="299"/>
      <c r="I17" s="282">
        <v>0</v>
      </c>
      <c r="J17" s="272"/>
    </row>
    <row r="18" spans="1:10" ht="15.75">
      <c r="A18" s="276" t="s">
        <v>1872</v>
      </c>
      <c r="B18" s="279" t="s">
        <v>1863</v>
      </c>
      <c r="C18" s="282">
        <f>SUM('Stavební rozpočet'!AF12:AF366)</f>
        <v>0</v>
      </c>
      <c r="D18" s="298"/>
      <c r="E18" s="299"/>
      <c r="F18" s="283"/>
      <c r="G18" s="298" t="s">
        <v>1873</v>
      </c>
      <c r="H18" s="299"/>
      <c r="I18" s="282">
        <v>0</v>
      </c>
      <c r="J18" s="272"/>
    </row>
    <row r="19" spans="1:10" ht="15.75">
      <c r="A19" s="277"/>
      <c r="B19" s="279" t="s">
        <v>1033</v>
      </c>
      <c r="C19" s="282">
        <f>SUM('Stavební rozpočet'!AG12:AG366)</f>
        <v>0</v>
      </c>
      <c r="D19" s="298"/>
      <c r="E19" s="299"/>
      <c r="F19" s="283"/>
      <c r="G19" s="298" t="s">
        <v>1874</v>
      </c>
      <c r="H19" s="299"/>
      <c r="I19" s="282">
        <v>0</v>
      </c>
      <c r="J19" s="272"/>
    </row>
    <row r="20" spans="1:10" ht="15.75">
      <c r="A20" s="296" t="s">
        <v>909</v>
      </c>
      <c r="B20" s="297"/>
      <c r="C20" s="282">
        <f>SUM('Stavební rozpočet'!AH12:AH366)</f>
        <v>0</v>
      </c>
      <c r="D20" s="298"/>
      <c r="E20" s="299"/>
      <c r="F20" s="283"/>
      <c r="G20" s="298"/>
      <c r="H20" s="299"/>
      <c r="I20" s="283"/>
      <c r="J20" s="272"/>
    </row>
    <row r="21" spans="1:10" ht="15.75">
      <c r="A21" s="296" t="s">
        <v>1875</v>
      </c>
      <c r="B21" s="297"/>
      <c r="C21" s="282">
        <f>SUM('Stavební rozpočet'!Z12:Z366)</f>
        <v>0</v>
      </c>
      <c r="D21" s="298"/>
      <c r="E21" s="299"/>
      <c r="F21" s="283"/>
      <c r="G21" s="298"/>
      <c r="H21" s="299"/>
      <c r="I21" s="283"/>
      <c r="J21" s="272"/>
    </row>
    <row r="22" spans="1:10" ht="15.75">
      <c r="A22" s="296" t="s">
        <v>1876</v>
      </c>
      <c r="B22" s="297"/>
      <c r="C22" s="282">
        <f>SUM(C14:C21)</f>
        <v>0</v>
      </c>
      <c r="D22" s="296" t="s">
        <v>1877</v>
      </c>
      <c r="E22" s="297"/>
      <c r="F22" s="282">
        <v>0</v>
      </c>
      <c r="G22" s="296" t="s">
        <v>1878</v>
      </c>
      <c r="H22" s="297"/>
      <c r="I22" s="282">
        <f>SUM(I14:I21)</f>
        <v>0</v>
      </c>
      <c r="J22" s="272"/>
    </row>
    <row r="23" spans="1:10" ht="16.5" thickBot="1">
      <c r="A23" s="271"/>
      <c r="B23" s="271"/>
      <c r="C23" s="280"/>
      <c r="D23" s="296" t="s">
        <v>1879</v>
      </c>
      <c r="E23" s="297"/>
      <c r="F23" s="284">
        <v>0</v>
      </c>
      <c r="G23" s="296" t="s">
        <v>1880</v>
      </c>
      <c r="H23" s="297"/>
      <c r="I23" s="282">
        <v>0</v>
      </c>
      <c r="J23" s="272"/>
    </row>
    <row r="24" spans="1:10" ht="15.75">
      <c r="A24" s="270"/>
      <c r="B24" s="270"/>
      <c r="C24" s="270"/>
      <c r="D24" s="271"/>
      <c r="E24" s="271"/>
      <c r="F24" s="285"/>
      <c r="G24" s="296" t="s">
        <v>1881</v>
      </c>
      <c r="H24" s="297"/>
      <c r="I24" s="282">
        <v>0</v>
      </c>
      <c r="J24" s="272"/>
    </row>
    <row r="25" spans="1:10" ht="15.75">
      <c r="A25" s="270"/>
      <c r="B25" s="270"/>
      <c r="C25" s="270"/>
      <c r="D25" s="270"/>
      <c r="E25" s="270"/>
      <c r="F25" s="286"/>
      <c r="G25" s="296" t="s">
        <v>1882</v>
      </c>
      <c r="H25" s="297"/>
      <c r="I25" s="282">
        <v>0</v>
      </c>
      <c r="J25" s="272"/>
    </row>
    <row r="26" spans="1:10" ht="12.75">
      <c r="A26" s="274"/>
      <c r="B26" s="274"/>
      <c r="C26" s="274"/>
      <c r="D26" s="270"/>
      <c r="E26" s="270"/>
      <c r="F26" s="270"/>
      <c r="G26" s="271"/>
      <c r="H26" s="271"/>
      <c r="I26" s="271"/>
      <c r="J26" s="270"/>
    </row>
    <row r="27" spans="1:10" ht="15.75">
      <c r="A27" s="291" t="s">
        <v>1883</v>
      </c>
      <c r="B27" s="292"/>
      <c r="C27" s="287">
        <f>SUM('Stavební rozpočet'!AJ12:AJ366)</f>
        <v>0</v>
      </c>
      <c r="D27" s="281"/>
      <c r="E27" s="274"/>
      <c r="F27" s="274"/>
      <c r="G27" s="274"/>
      <c r="H27" s="274"/>
      <c r="I27" s="274"/>
      <c r="J27" s="270"/>
    </row>
    <row r="28" spans="1:10" ht="15.75">
      <c r="A28" s="291" t="s">
        <v>1884</v>
      </c>
      <c r="B28" s="292"/>
      <c r="C28" s="287">
        <v>0</v>
      </c>
      <c r="D28" s="291" t="s">
        <v>1885</v>
      </c>
      <c r="E28" s="292"/>
      <c r="F28" s="287">
        <v>0</v>
      </c>
      <c r="G28" s="291" t="s">
        <v>1886</v>
      </c>
      <c r="H28" s="292"/>
      <c r="I28" s="287">
        <f>SUM(C27:C29)</f>
        <v>0</v>
      </c>
      <c r="J28" s="272"/>
    </row>
    <row r="29" spans="1:10" ht="15.75">
      <c r="A29" s="291" t="s">
        <v>1887</v>
      </c>
      <c r="B29" s="292"/>
      <c r="C29" s="287">
        <f>SUM('Stavební rozpočet'!AL12:AL366)+(F22+I22+F23+I23+I24+I25)</f>
        <v>0</v>
      </c>
      <c r="D29" s="291" t="s">
        <v>1888</v>
      </c>
      <c r="E29" s="292"/>
      <c r="F29" s="287">
        <f>ROUND(C29*(21/100),2)</f>
        <v>0</v>
      </c>
      <c r="G29" s="291" t="s">
        <v>1889</v>
      </c>
      <c r="H29" s="292"/>
      <c r="I29" s="287">
        <f>SUM(F28:F29)+I28</f>
        <v>0</v>
      </c>
      <c r="J29" s="272"/>
    </row>
    <row r="30" spans="1:10" ht="13.5" thickBot="1">
      <c r="A30" s="278"/>
      <c r="B30" s="278"/>
      <c r="C30" s="278"/>
      <c r="D30" s="278"/>
      <c r="E30" s="278"/>
      <c r="F30" s="278"/>
      <c r="G30" s="278"/>
      <c r="H30" s="278"/>
      <c r="I30" s="278"/>
      <c r="J30" s="270"/>
    </row>
    <row r="31" spans="1:10" ht="15">
      <c r="A31" s="293" t="s">
        <v>1890</v>
      </c>
      <c r="B31" s="294"/>
      <c r="C31" s="295"/>
      <c r="D31" s="293" t="s">
        <v>1891</v>
      </c>
      <c r="E31" s="294"/>
      <c r="F31" s="295"/>
      <c r="G31" s="293" t="s">
        <v>1892</v>
      </c>
      <c r="H31" s="294"/>
      <c r="I31" s="295"/>
      <c r="J31" s="273"/>
    </row>
    <row r="32" spans="1:10" ht="15">
      <c r="A32" s="3"/>
      <c r="B32" s="2"/>
      <c r="C32" s="1"/>
      <c r="D32" s="3"/>
      <c r="E32" s="2"/>
      <c r="F32" s="1"/>
      <c r="G32" s="3"/>
      <c r="H32" s="2"/>
      <c r="I32" s="1"/>
      <c r="J32" s="273"/>
    </row>
    <row r="33" spans="1:10" ht="15">
      <c r="A33" s="3"/>
      <c r="B33" s="2"/>
      <c r="C33" s="1"/>
      <c r="D33" s="3"/>
      <c r="E33" s="2"/>
      <c r="F33" s="1"/>
      <c r="G33" s="3"/>
      <c r="H33" s="2"/>
      <c r="I33" s="1"/>
      <c r="J33" s="273"/>
    </row>
    <row r="34" spans="1:10" ht="15">
      <c r="A34" s="3"/>
      <c r="B34" s="2"/>
      <c r="C34" s="1"/>
      <c r="D34" s="3"/>
      <c r="E34" s="2"/>
      <c r="F34" s="1"/>
      <c r="G34" s="3"/>
      <c r="H34" s="2"/>
      <c r="I34" s="1"/>
      <c r="J34" s="273"/>
    </row>
    <row r="35" spans="1:10" ht="15.75" thickBot="1">
      <c r="A35" s="269" t="s">
        <v>1893</v>
      </c>
      <c r="B35" s="289"/>
      <c r="C35" s="290"/>
      <c r="D35" s="269" t="s">
        <v>1893</v>
      </c>
      <c r="E35" s="289"/>
      <c r="F35" s="290"/>
      <c r="G35" s="269" t="s">
        <v>1893</v>
      </c>
      <c r="H35" s="289"/>
      <c r="I35" s="290"/>
      <c r="J35" s="273"/>
    </row>
  </sheetData>
  <sheetProtection/>
  <mergeCells count="82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2">
      <selection activeCell="J25" sqref="J24:J25"/>
    </sheetView>
  </sheetViews>
  <sheetFormatPr defaultColWidth="9.140625" defaultRowHeight="12.75"/>
  <cols>
    <col min="2" max="2" width="14.28125" style="0" customWidth="1"/>
    <col min="3" max="3" width="50.7109375" style="0" customWidth="1"/>
    <col min="4" max="4" width="23.140625" style="0" customWidth="1"/>
  </cols>
  <sheetData>
    <row r="1" spans="1:5" ht="17.25">
      <c r="A1" s="347" t="s">
        <v>1894</v>
      </c>
      <c r="B1" s="347"/>
      <c r="C1" s="347"/>
      <c r="D1" s="347"/>
      <c r="E1" s="347"/>
    </row>
    <row r="2" spans="1:5" ht="12.75">
      <c r="A2" s="326"/>
      <c r="B2" s="325"/>
      <c r="C2" s="326"/>
      <c r="D2" s="327"/>
      <c r="E2" s="326"/>
    </row>
    <row r="3" spans="1:5" ht="12.75">
      <c r="A3" s="326"/>
      <c r="B3" s="328" t="s">
        <v>1895</v>
      </c>
      <c r="C3" s="352" t="s">
        <v>1896</v>
      </c>
      <c r="D3" s="352"/>
      <c r="E3" s="326"/>
    </row>
    <row r="4" spans="1:5" ht="12.75">
      <c r="A4" s="326"/>
      <c r="B4" s="329" t="s">
        <v>1897</v>
      </c>
      <c r="C4" s="342"/>
      <c r="D4" s="341"/>
      <c r="E4" s="326"/>
    </row>
    <row r="5" spans="1:5" ht="12.75">
      <c r="A5" s="326"/>
      <c r="B5" s="328" t="s">
        <v>1898</v>
      </c>
      <c r="C5" s="337" t="s">
        <v>1899</v>
      </c>
      <c r="D5" s="327"/>
      <c r="E5" s="326"/>
    </row>
    <row r="6" spans="1:5" ht="12.75">
      <c r="A6" s="326"/>
      <c r="B6" s="328" t="s">
        <v>1900</v>
      </c>
      <c r="C6" s="337" t="s">
        <v>1901</v>
      </c>
      <c r="D6" s="327"/>
      <c r="E6" s="326"/>
    </row>
    <row r="7" spans="1:5" ht="12.75">
      <c r="A7" s="326"/>
      <c r="B7" s="328" t="s">
        <v>1854</v>
      </c>
      <c r="C7" s="336" t="s">
        <v>1902</v>
      </c>
      <c r="D7" s="327"/>
      <c r="E7" s="326"/>
    </row>
    <row r="8" spans="1:5" ht="12.75">
      <c r="A8" s="326"/>
      <c r="B8" s="325"/>
      <c r="C8" s="326"/>
      <c r="D8" s="327"/>
      <c r="E8" s="326"/>
    </row>
    <row r="9" spans="1:5" ht="12.75">
      <c r="A9" s="326"/>
      <c r="B9" s="324" t="s">
        <v>1903</v>
      </c>
      <c r="C9" s="324"/>
      <c r="D9" s="324"/>
      <c r="E9" s="326"/>
    </row>
    <row r="10" spans="1:5" ht="12.75">
      <c r="A10" s="326"/>
      <c r="B10" s="324"/>
      <c r="C10" s="324"/>
      <c r="D10" s="324"/>
      <c r="E10" s="326"/>
    </row>
    <row r="11" spans="1:5" ht="12.75">
      <c r="A11" s="326"/>
      <c r="B11" s="324"/>
      <c r="C11" s="324"/>
      <c r="D11" s="324"/>
      <c r="E11" s="326"/>
    </row>
    <row r="12" spans="1:5" ht="12.75">
      <c r="A12" s="326"/>
      <c r="B12" s="324"/>
      <c r="C12" s="324"/>
      <c r="D12" s="324"/>
      <c r="E12" s="326"/>
    </row>
    <row r="13" spans="1:5" ht="12.75">
      <c r="A13" s="326"/>
      <c r="B13" s="324"/>
      <c r="C13" s="324"/>
      <c r="D13" s="324"/>
      <c r="E13" s="326"/>
    </row>
    <row r="14" spans="1:5" ht="12.75">
      <c r="A14" s="326"/>
      <c r="B14" s="324"/>
      <c r="C14" s="324"/>
      <c r="D14" s="324"/>
      <c r="E14" s="326"/>
    </row>
    <row r="15" spans="1:5" ht="12.75">
      <c r="A15" s="326"/>
      <c r="B15" s="324" t="s">
        <v>1904</v>
      </c>
      <c r="C15" s="324"/>
      <c r="D15" s="324"/>
      <c r="E15" s="326"/>
    </row>
    <row r="16" spans="1:5" ht="12.75">
      <c r="A16" s="326"/>
      <c r="B16" s="324"/>
      <c r="C16" s="324"/>
      <c r="D16" s="324"/>
      <c r="E16" s="326"/>
    </row>
    <row r="17" spans="2:4" ht="12.75">
      <c r="B17" s="324"/>
      <c r="C17" s="324"/>
      <c r="D17" s="324"/>
    </row>
    <row r="18" spans="2:4" ht="12.75">
      <c r="B18" s="324"/>
      <c r="C18" s="324"/>
      <c r="D18" s="324"/>
    </row>
    <row r="19" spans="2:4" ht="12.75">
      <c r="B19" s="324"/>
      <c r="C19" s="324"/>
      <c r="D19" s="324"/>
    </row>
    <row r="20" spans="2:4" ht="12.75">
      <c r="B20" s="324"/>
      <c r="C20" s="324"/>
      <c r="D20" s="324"/>
    </row>
    <row r="21" spans="2:4" ht="13.5" thickBot="1">
      <c r="B21" s="329"/>
      <c r="C21" s="329"/>
      <c r="D21" s="329"/>
    </row>
    <row r="22" spans="2:4" ht="13.5" thickBot="1">
      <c r="B22" s="333" t="s">
        <v>1905</v>
      </c>
      <c r="C22" s="334" t="s">
        <v>1906</v>
      </c>
      <c r="D22" s="335" t="s">
        <v>1907</v>
      </c>
    </row>
    <row r="23" spans="2:4" ht="38.25">
      <c r="B23" s="332">
        <v>1</v>
      </c>
      <c r="C23" s="353" t="s">
        <v>1908</v>
      </c>
      <c r="D23" s="354"/>
    </row>
    <row r="24" spans="2:4" ht="38.25">
      <c r="B24" s="330">
        <v>2</v>
      </c>
      <c r="C24" s="355" t="s">
        <v>1909</v>
      </c>
      <c r="D24" s="356"/>
    </row>
    <row r="25" spans="2:4" ht="25.5" customHeight="1">
      <c r="B25" s="330">
        <v>3</v>
      </c>
      <c r="C25" s="355" t="s">
        <v>1910</v>
      </c>
      <c r="D25" s="356"/>
    </row>
    <row r="26" spans="2:4" ht="25.5" customHeight="1">
      <c r="B26" s="330">
        <v>4</v>
      </c>
      <c r="C26" s="355" t="s">
        <v>1911</v>
      </c>
      <c r="D26" s="356"/>
    </row>
    <row r="27" spans="2:4" ht="25.5" customHeight="1">
      <c r="B27" s="330">
        <v>5</v>
      </c>
      <c r="C27" s="355" t="s">
        <v>1912</v>
      </c>
      <c r="D27" s="356"/>
    </row>
    <row r="28" spans="2:4" ht="25.5" customHeight="1">
      <c r="B28" s="330">
        <v>6</v>
      </c>
      <c r="C28" s="355" t="s">
        <v>1913</v>
      </c>
      <c r="D28" s="356"/>
    </row>
    <row r="29" spans="2:4" ht="25.5" customHeight="1">
      <c r="B29" s="330">
        <v>7</v>
      </c>
      <c r="C29" s="355" t="s">
        <v>1914</v>
      </c>
      <c r="D29" s="356"/>
    </row>
    <row r="30" spans="2:4" ht="25.5" customHeight="1">
      <c r="B30" s="330">
        <v>8</v>
      </c>
      <c r="C30" s="355" t="s">
        <v>1915</v>
      </c>
      <c r="D30" s="356"/>
    </row>
    <row r="31" spans="2:4" ht="25.5" customHeight="1">
      <c r="B31" s="331">
        <v>9</v>
      </c>
      <c r="C31" s="357" t="s">
        <v>1916</v>
      </c>
      <c r="D31" s="358"/>
    </row>
    <row r="32" spans="2:4" ht="25.5" customHeight="1">
      <c r="B32" s="331">
        <v>10</v>
      </c>
      <c r="C32" s="357" t="s">
        <v>1917</v>
      </c>
      <c r="D32" s="358"/>
    </row>
    <row r="33" spans="2:4" ht="25.5" customHeight="1">
      <c r="B33" s="331">
        <v>11</v>
      </c>
      <c r="C33" s="357" t="s">
        <v>1918</v>
      </c>
      <c r="D33" s="358"/>
    </row>
    <row r="34" spans="2:4" ht="25.5" customHeight="1" thickBot="1">
      <c r="B34" s="331">
        <v>12</v>
      </c>
      <c r="C34" s="357" t="s">
        <v>1919</v>
      </c>
      <c r="D34" s="358"/>
    </row>
    <row r="35" spans="2:4" ht="25.5" customHeight="1">
      <c r="B35" s="345" t="s">
        <v>1920</v>
      </c>
      <c r="C35" s="346"/>
      <c r="D35" s="338">
        <f>SUM(D23:D34)</f>
        <v>0</v>
      </c>
    </row>
    <row r="36" spans="2:4" ht="25.5" customHeight="1">
      <c r="B36" s="348" t="s">
        <v>1921</v>
      </c>
      <c r="C36" s="349"/>
      <c r="D36" s="339">
        <f>+D35*0.21</f>
        <v>0</v>
      </c>
    </row>
    <row r="37" spans="2:4" ht="25.5" customHeight="1" thickBot="1">
      <c r="B37" s="350" t="s">
        <v>1922</v>
      </c>
      <c r="C37" s="351"/>
      <c r="D37" s="340">
        <f>+D35+D36</f>
        <v>0</v>
      </c>
    </row>
    <row r="38" spans="2:4" ht="15">
      <c r="B38" s="343"/>
      <c r="C38" s="343"/>
      <c r="D38" s="344"/>
    </row>
  </sheetData>
  <sheetProtection/>
  <mergeCells count="7">
    <mergeCell ref="B37:C37"/>
    <mergeCell ref="C3:D3"/>
    <mergeCell ref="B9:D14"/>
    <mergeCell ref="B15:D20"/>
    <mergeCell ref="B35:C35"/>
    <mergeCell ref="A1:E1"/>
    <mergeCell ref="B36:C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 Nykodým</cp:lastModifiedBy>
  <dcterms:created xsi:type="dcterms:W3CDTF">2020-08-18T19:17:07Z</dcterms:created>
  <dcterms:modified xsi:type="dcterms:W3CDTF">2020-08-19T14:52:45Z</dcterms:modified>
  <cp:category/>
  <cp:version/>
  <cp:contentType/>
  <cp:contentStatus/>
</cp:coreProperties>
</file>