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405" windowWidth="20235" windowHeight="13305"/>
  </bookViews>
  <sheets>
    <sheet name="Soupis" sheetId="1" r:id="rId1"/>
    <sheet name="Specifikace" sheetId="21" r:id="rId2"/>
    <sheet name="RH2" sheetId="8" r:id="rId3"/>
    <sheet name="R1.1" sheetId="10" r:id="rId4"/>
    <sheet name="R1.2" sheetId="11" r:id="rId5"/>
    <sheet name="R1.3" sheetId="12" r:id="rId6"/>
    <sheet name="R1.4" sheetId="13" r:id="rId7"/>
    <sheet name="R2.1" sheetId="14" r:id="rId8"/>
    <sheet name="R2.2" sheetId="15" r:id="rId9"/>
    <sheet name="R2.3" sheetId="16" r:id="rId10"/>
    <sheet name="RP" sheetId="17" r:id="rId11"/>
    <sheet name="RU" sheetId="18" r:id="rId12"/>
    <sheet name="OS" sheetId="22" r:id="rId13"/>
    <sheet name="RNO" sheetId="23" r:id="rId14"/>
    <sheet name="UPS" sheetId="9" r:id="rId15"/>
    <sheet name="Motor generátor" sheetId="20" r:id="rId16"/>
    <sheet name="Výkaz výměr" sheetId="24" r:id="rId17"/>
    <sheet name="Standardy" sheetId="25" r:id="rId18"/>
  </sheets>
  <definedNames>
    <definedName name="_xlnm.Print_Area" localSheetId="15">'Motor generátor'!$A$1:$L$13</definedName>
    <definedName name="_xlnm.Print_Area" localSheetId="12">OS!$A$1:$L$13</definedName>
    <definedName name="_xlnm.Print_Area" localSheetId="3">R1.1!$A$1:$L$26</definedName>
    <definedName name="_xlnm.Print_Area" localSheetId="4">R1.2!$A$1:$L$45</definedName>
    <definedName name="_xlnm.Print_Area" localSheetId="5">R1.3!$A$1:$L$22</definedName>
    <definedName name="_xlnm.Print_Area" localSheetId="6">R1.4!$A$1:$L$23</definedName>
    <definedName name="_xlnm.Print_Area" localSheetId="7">R2.1!$A$1:$L$32</definedName>
    <definedName name="_xlnm.Print_Area" localSheetId="8">R2.2!$A$1:$L$44</definedName>
    <definedName name="_xlnm.Print_Area" localSheetId="9">R2.3!$A$1:$L$23</definedName>
    <definedName name="_xlnm.Print_Area" localSheetId="2">'RH2'!$A$1:$L$56</definedName>
    <definedName name="_xlnm.Print_Area" localSheetId="13">RNO!$A$1:$L$13</definedName>
    <definedName name="_xlnm.Print_Area" localSheetId="10">RP!$A$1:$L$16</definedName>
    <definedName name="_xlnm.Print_Area" localSheetId="11">RU!$A$1:$L$20</definedName>
    <definedName name="_xlnm.Print_Area" localSheetId="0">Soupis!$A$1:$L$247</definedName>
    <definedName name="_xlnm.Print_Area" localSheetId="1">Specifikace!$A$1:$K$20</definedName>
    <definedName name="_xlnm.Print_Area" localSheetId="17">Standardy!$A$1:$C$133</definedName>
    <definedName name="_xlnm.Print_Area" localSheetId="14">UPS!$A$1:$L$13</definedName>
    <definedName name="_xlnm.Print_Area" localSheetId="16">'Výkaz výměr'!$A$1:$G$401</definedName>
  </definedNames>
  <calcPr calcId="145621"/>
</workbook>
</file>

<file path=xl/calcChain.xml><?xml version="1.0" encoding="utf-8"?>
<calcChain xmlns="http://schemas.openxmlformats.org/spreadsheetml/2006/main">
  <c r="E123" i="1" l="1"/>
  <c r="J155" i="1" l="1"/>
  <c r="I155" i="1"/>
  <c r="J154" i="1"/>
  <c r="I154" i="1"/>
  <c r="J153" i="1"/>
  <c r="I153" i="1"/>
  <c r="E231" i="1"/>
  <c r="E245" i="1"/>
  <c r="E244" i="1"/>
  <c r="E213" i="1"/>
  <c r="J110" i="1"/>
  <c r="I110" i="1"/>
  <c r="J245" i="1" l="1"/>
  <c r="J244" i="1"/>
  <c r="G380" i="24"/>
  <c r="G368" i="24"/>
  <c r="G347" i="24"/>
  <c r="G341" i="24"/>
  <c r="G321" i="24"/>
  <c r="G320" i="24"/>
  <c r="G319" i="24"/>
  <c r="G318" i="24"/>
  <c r="G316" i="24"/>
  <c r="G313" i="24"/>
  <c r="G312" i="24"/>
  <c r="G309" i="24"/>
  <c r="G308" i="24"/>
  <c r="G307" i="24"/>
  <c r="G306" i="24"/>
  <c r="G305" i="24"/>
  <c r="G304" i="24"/>
  <c r="G293" i="24"/>
  <c r="G292" i="24"/>
  <c r="G289" i="24"/>
  <c r="G287" i="24"/>
  <c r="G286" i="24"/>
  <c r="G285" i="24"/>
  <c r="G282" i="24"/>
  <c r="G281" i="24"/>
  <c r="G280" i="24"/>
  <c r="G279" i="24"/>
  <c r="G278" i="24"/>
  <c r="G277" i="24"/>
  <c r="G276" i="24"/>
  <c r="G275" i="24"/>
  <c r="G274" i="24"/>
  <c r="G273" i="24"/>
  <c r="G272" i="24"/>
  <c r="G271" i="24"/>
  <c r="G270" i="24"/>
  <c r="G269" i="24"/>
  <c r="G268" i="24"/>
  <c r="G267" i="24"/>
  <c r="G266" i="24"/>
  <c r="G265" i="24"/>
  <c r="G264" i="24"/>
  <c r="G263" i="24"/>
  <c r="G262" i="24"/>
  <c r="G261" i="24"/>
  <c r="G260" i="24"/>
  <c r="G259" i="24"/>
  <c r="G258" i="24"/>
  <c r="G257" i="24"/>
  <c r="G256" i="24"/>
  <c r="G255" i="24"/>
  <c r="G254" i="24"/>
  <c r="G253" i="24"/>
  <c r="G251" i="24"/>
  <c r="G248" i="24"/>
  <c r="G246" i="24"/>
  <c r="G245" i="24"/>
  <c r="G243" i="24"/>
  <c r="G231" i="24"/>
  <c r="G198" i="24"/>
  <c r="G196" i="24"/>
  <c r="G195" i="24"/>
  <c r="G176" i="24"/>
  <c r="G175" i="24"/>
  <c r="G170" i="24"/>
  <c r="G168" i="24"/>
  <c r="G167" i="24"/>
  <c r="G166" i="24"/>
  <c r="G164" i="24"/>
  <c r="G163" i="24"/>
  <c r="G162" i="24"/>
  <c r="G161" i="24"/>
  <c r="G160" i="24"/>
  <c r="G159" i="24"/>
  <c r="G158" i="24"/>
  <c r="G157" i="24"/>
  <c r="G156" i="24"/>
  <c r="G155" i="24"/>
  <c r="G154" i="24"/>
  <c r="G153" i="24"/>
  <c r="G151" i="24"/>
  <c r="G149" i="24"/>
  <c r="G144" i="24"/>
  <c r="G138" i="24"/>
  <c r="G121" i="24"/>
  <c r="G113" i="24"/>
  <c r="G112" i="24"/>
  <c r="G111" i="24"/>
  <c r="G108" i="24"/>
  <c r="G107" i="24"/>
  <c r="G105" i="24"/>
  <c r="G104" i="24"/>
  <c r="G103" i="24"/>
  <c r="G87" i="24"/>
  <c r="G65" i="24"/>
  <c r="G60" i="24"/>
  <c r="G59" i="24"/>
  <c r="G58" i="24"/>
  <c r="G57" i="24"/>
  <c r="G56" i="24"/>
  <c r="G55" i="24"/>
  <c r="G54" i="24"/>
  <c r="G53" i="24"/>
  <c r="G52" i="24"/>
  <c r="G51" i="24"/>
  <c r="G50" i="24"/>
  <c r="G49" i="24"/>
  <c r="G47" i="24"/>
  <c r="G46" i="24"/>
  <c r="G45" i="24"/>
  <c r="G44" i="24"/>
  <c r="G43" i="24"/>
  <c r="G42" i="24"/>
  <c r="G41" i="24"/>
  <c r="G40" i="24"/>
  <c r="G39" i="24"/>
  <c r="G38" i="24"/>
  <c r="G37" i="24"/>
  <c r="G36" i="24"/>
  <c r="G35" i="24"/>
  <c r="G34" i="24"/>
  <c r="G33" i="24"/>
  <c r="G32" i="24"/>
  <c r="G31" i="24"/>
  <c r="G30" i="24"/>
  <c r="G29" i="24"/>
  <c r="G28" i="24"/>
  <c r="G5" i="24"/>
  <c r="J247" i="1" l="1"/>
  <c r="I18" i="1" s="1"/>
  <c r="J69" i="1"/>
  <c r="J56" i="1"/>
  <c r="I56" i="1"/>
  <c r="J55" i="1"/>
  <c r="I55" i="1"/>
  <c r="J54" i="1"/>
  <c r="I54" i="1"/>
  <c r="J53" i="1"/>
  <c r="I53" i="1"/>
  <c r="I19" i="1" l="1"/>
  <c r="J210" i="1"/>
  <c r="I210" i="1"/>
  <c r="J209" i="1"/>
  <c r="I209" i="1"/>
  <c r="J207" i="1"/>
  <c r="I207" i="1"/>
  <c r="J208" i="1"/>
  <c r="I208" i="1"/>
  <c r="J206" i="1"/>
  <c r="I206" i="1"/>
  <c r="J226" i="1"/>
  <c r="I226" i="1"/>
  <c r="J225" i="1"/>
  <c r="I225" i="1"/>
  <c r="J223" i="1"/>
  <c r="I223" i="1"/>
  <c r="J224" i="1"/>
  <c r="I224" i="1"/>
  <c r="J222" i="1"/>
  <c r="I222" i="1"/>
  <c r="J221" i="1"/>
  <c r="I221" i="1"/>
  <c r="J220" i="1"/>
  <c r="I220" i="1"/>
  <c r="J219" i="1"/>
  <c r="I219" i="1"/>
  <c r="J218" i="1"/>
  <c r="I218" i="1"/>
  <c r="J217" i="1"/>
  <c r="I217" i="1"/>
  <c r="J216" i="1"/>
  <c r="I216" i="1"/>
  <c r="J215" i="1"/>
  <c r="I215" i="1"/>
  <c r="J214" i="1"/>
  <c r="I214" i="1"/>
  <c r="J213" i="1"/>
  <c r="I213" i="1"/>
  <c r="J212" i="1"/>
  <c r="I212" i="1"/>
  <c r="J211" i="1"/>
  <c r="I211" i="1"/>
  <c r="J205" i="1"/>
  <c r="I205" i="1"/>
  <c r="J204" i="1"/>
  <c r="I204" i="1"/>
  <c r="J203" i="1"/>
  <c r="I203" i="1"/>
  <c r="J202" i="1"/>
  <c r="I202" i="1"/>
  <c r="J201" i="1"/>
  <c r="I201" i="1"/>
  <c r="J200" i="1"/>
  <c r="I200" i="1"/>
  <c r="J199" i="1"/>
  <c r="I199" i="1"/>
  <c r="J198" i="1"/>
  <c r="I198" i="1"/>
  <c r="J197" i="1"/>
  <c r="I197" i="1"/>
  <c r="J196" i="1"/>
  <c r="I196" i="1"/>
  <c r="J92" i="1"/>
  <c r="I92" i="1"/>
  <c r="J91" i="1"/>
  <c r="I91" i="1"/>
  <c r="J90" i="1"/>
  <c r="I90" i="1"/>
  <c r="I89" i="1"/>
  <c r="I88" i="1"/>
  <c r="I87" i="1"/>
  <c r="I86" i="1"/>
  <c r="J85" i="1"/>
  <c r="I85" i="1"/>
  <c r="J89" i="1"/>
  <c r="J87" i="1"/>
  <c r="J86" i="1"/>
  <c r="J88" i="1"/>
  <c r="J229" i="1"/>
  <c r="I229" i="1"/>
  <c r="J73" i="1"/>
  <c r="I73" i="1"/>
  <c r="J72" i="1"/>
  <c r="I72" i="1"/>
  <c r="J71" i="1"/>
  <c r="I71" i="1"/>
  <c r="J70" i="1"/>
  <c r="I70" i="1"/>
  <c r="J227" i="1"/>
  <c r="I227" i="1"/>
  <c r="J228" i="1"/>
  <c r="I228" i="1"/>
  <c r="J78" i="1"/>
  <c r="I78" i="1"/>
  <c r="J77" i="1"/>
  <c r="I77" i="1"/>
  <c r="J76" i="1"/>
  <c r="I76" i="1"/>
  <c r="J75" i="1"/>
  <c r="I75" i="1"/>
  <c r="J230" i="1"/>
  <c r="I230" i="1"/>
  <c r="J84" i="1"/>
  <c r="I84" i="1"/>
  <c r="J83" i="1"/>
  <c r="I83" i="1"/>
  <c r="J82" i="1"/>
  <c r="I82" i="1"/>
  <c r="J81" i="1"/>
  <c r="I81" i="1"/>
  <c r="J80" i="1"/>
  <c r="I80" i="1"/>
  <c r="J79" i="1"/>
  <c r="I79" i="1"/>
  <c r="J74" i="1"/>
  <c r="I74" i="1"/>
  <c r="I69" i="1"/>
  <c r="J68" i="1"/>
  <c r="I68" i="1"/>
  <c r="J67" i="1"/>
  <c r="I67" i="1"/>
  <c r="J48" i="1"/>
  <c r="I48" i="1"/>
  <c r="J65" i="1"/>
  <c r="I65" i="1"/>
  <c r="J63" i="1"/>
  <c r="I63" i="1"/>
  <c r="J64" i="1"/>
  <c r="I64" i="1"/>
  <c r="J62" i="1"/>
  <c r="I62" i="1"/>
  <c r="J61" i="1"/>
  <c r="I61" i="1"/>
  <c r="J60" i="1"/>
  <c r="I60" i="1"/>
  <c r="J66" i="1"/>
  <c r="I66" i="1"/>
  <c r="J59" i="1"/>
  <c r="I59" i="1"/>
  <c r="J58" i="1"/>
  <c r="I58" i="1"/>
  <c r="J57" i="1"/>
  <c r="I57" i="1"/>
  <c r="J231" i="1"/>
  <c r="I231" i="1"/>
  <c r="J232" i="1"/>
  <c r="I232" i="1"/>
  <c r="E28" i="1"/>
  <c r="I28" i="1" s="1"/>
  <c r="J96" i="1"/>
  <c r="J95" i="1"/>
  <c r="E234" i="1"/>
  <c r="J234" i="1" s="1"/>
  <c r="E235" i="1"/>
  <c r="J235" i="1" s="1"/>
  <c r="J105" i="1"/>
  <c r="I105" i="1"/>
  <c r="J104" i="1"/>
  <c r="I104" i="1"/>
  <c r="J103" i="1"/>
  <c r="I103" i="1"/>
  <c r="J233" i="1"/>
  <c r="I233" i="1"/>
  <c r="J102" i="1"/>
  <c r="I102" i="1"/>
  <c r="J101" i="1"/>
  <c r="I101" i="1"/>
  <c r="J100" i="1"/>
  <c r="I100" i="1"/>
  <c r="J99" i="1"/>
  <c r="I99" i="1"/>
  <c r="J98" i="1"/>
  <c r="I98" i="1"/>
  <c r="J97" i="1"/>
  <c r="I97" i="1"/>
  <c r="I96" i="1"/>
  <c r="I95" i="1"/>
  <c r="J94" i="1"/>
  <c r="I94" i="1"/>
  <c r="J52" i="1"/>
  <c r="I52" i="1"/>
  <c r="J51" i="1"/>
  <c r="I51" i="1"/>
  <c r="J50" i="1"/>
  <c r="I50" i="1"/>
  <c r="J49" i="1"/>
  <c r="I49" i="1"/>
  <c r="J13" i="23"/>
  <c r="G16" i="21" s="1"/>
  <c r="H16" i="21" s="1"/>
  <c r="J183" i="1"/>
  <c r="I183" i="1"/>
  <c r="J189" i="1"/>
  <c r="I189" i="1"/>
  <c r="J186" i="1"/>
  <c r="I186" i="1"/>
  <c r="J185" i="1"/>
  <c r="I185" i="1"/>
  <c r="J184" i="1"/>
  <c r="I184" i="1"/>
  <c r="J187" i="1"/>
  <c r="I187" i="1"/>
  <c r="J182" i="1"/>
  <c r="I182" i="1"/>
  <c r="J181" i="1"/>
  <c r="I181" i="1"/>
  <c r="J188" i="1"/>
  <c r="I188" i="1"/>
  <c r="J180" i="1"/>
  <c r="I180" i="1"/>
  <c r="J179" i="1"/>
  <c r="I179" i="1"/>
  <c r="J178" i="1"/>
  <c r="I178" i="1"/>
  <c r="I174" i="1"/>
  <c r="J173" i="1"/>
  <c r="I173" i="1"/>
  <c r="J176" i="1"/>
  <c r="I176" i="1"/>
  <c r="J177" i="1"/>
  <c r="I177" i="1"/>
  <c r="J175" i="1"/>
  <c r="I175" i="1"/>
  <c r="J172" i="1"/>
  <c r="I172" i="1"/>
  <c r="J171" i="1"/>
  <c r="I171" i="1"/>
  <c r="J170" i="1"/>
  <c r="I170" i="1"/>
  <c r="J169" i="1"/>
  <c r="I169" i="1"/>
  <c r="J168" i="1"/>
  <c r="I168" i="1"/>
  <c r="J167" i="1"/>
  <c r="I167" i="1"/>
  <c r="J166" i="1"/>
  <c r="I166" i="1"/>
  <c r="J165" i="1"/>
  <c r="I165" i="1"/>
  <c r="J164" i="1"/>
  <c r="I164" i="1"/>
  <c r="J163" i="1"/>
  <c r="I163" i="1"/>
  <c r="J162" i="1"/>
  <c r="I162" i="1"/>
  <c r="J161" i="1"/>
  <c r="I161" i="1"/>
  <c r="J160" i="1"/>
  <c r="I160" i="1"/>
  <c r="J159" i="1"/>
  <c r="I159" i="1"/>
  <c r="J158" i="1"/>
  <c r="I158" i="1"/>
  <c r="J157" i="1"/>
  <c r="I157" i="1"/>
  <c r="J156" i="1"/>
  <c r="I156" i="1"/>
  <c r="J152" i="1"/>
  <c r="I152" i="1"/>
  <c r="J151" i="1"/>
  <c r="I151" i="1"/>
  <c r="J150" i="1"/>
  <c r="I150" i="1"/>
  <c r="J149" i="1"/>
  <c r="I149" i="1"/>
  <c r="J148" i="1"/>
  <c r="I148" i="1"/>
  <c r="J147" i="1"/>
  <c r="I147" i="1"/>
  <c r="J146" i="1"/>
  <c r="I146" i="1"/>
  <c r="J145" i="1"/>
  <c r="I145" i="1"/>
  <c r="J144" i="1"/>
  <c r="I144" i="1"/>
  <c r="J143" i="1"/>
  <c r="I143" i="1"/>
  <c r="J142" i="1"/>
  <c r="I142" i="1"/>
  <c r="J141" i="1"/>
  <c r="I141" i="1"/>
  <c r="J140" i="1"/>
  <c r="I140" i="1"/>
  <c r="J139" i="1"/>
  <c r="I139" i="1"/>
  <c r="J138" i="1"/>
  <c r="I138" i="1"/>
  <c r="J137" i="1"/>
  <c r="I137" i="1"/>
  <c r="J136" i="1"/>
  <c r="I136" i="1"/>
  <c r="J135" i="1"/>
  <c r="I135" i="1"/>
  <c r="J134" i="1"/>
  <c r="I134" i="1"/>
  <c r="J133" i="1"/>
  <c r="I133" i="1"/>
  <c r="J132" i="1"/>
  <c r="I132" i="1"/>
  <c r="J131" i="1"/>
  <c r="I131" i="1"/>
  <c r="J130" i="1"/>
  <c r="I130" i="1"/>
  <c r="J129" i="1"/>
  <c r="I129" i="1"/>
  <c r="J128" i="1"/>
  <c r="I128" i="1"/>
  <c r="J127" i="1"/>
  <c r="I127" i="1"/>
  <c r="J126" i="1"/>
  <c r="I126" i="1"/>
  <c r="J125" i="1"/>
  <c r="I125" i="1"/>
  <c r="J124" i="1"/>
  <c r="I124" i="1"/>
  <c r="J123" i="1"/>
  <c r="I123" i="1"/>
  <c r="J122" i="1"/>
  <c r="I122" i="1"/>
  <c r="J121" i="1"/>
  <c r="I121" i="1"/>
  <c r="J120" i="1"/>
  <c r="I120" i="1"/>
  <c r="J119" i="1"/>
  <c r="I119" i="1"/>
  <c r="J118" i="1"/>
  <c r="I118" i="1"/>
  <c r="J117" i="1"/>
  <c r="I117" i="1"/>
  <c r="J116" i="1"/>
  <c r="I116" i="1"/>
  <c r="J115" i="1"/>
  <c r="I115" i="1"/>
  <c r="J114" i="1"/>
  <c r="I114" i="1"/>
  <c r="J113" i="1"/>
  <c r="I113" i="1"/>
  <c r="J112" i="1"/>
  <c r="I112" i="1"/>
  <c r="J111" i="1"/>
  <c r="I111" i="1"/>
  <c r="J109" i="1"/>
  <c r="I109" i="1"/>
  <c r="J108" i="1"/>
  <c r="I108" i="1"/>
  <c r="J107" i="1"/>
  <c r="I107" i="1"/>
  <c r="J239" i="1" l="1"/>
  <c r="I234" i="1"/>
  <c r="I235" i="1"/>
  <c r="J44" i="1"/>
  <c r="I44" i="1"/>
  <c r="I43" i="1"/>
  <c r="I26" i="1"/>
  <c r="I42" i="1"/>
  <c r="I27" i="1"/>
  <c r="J13" i="20"/>
  <c r="G18" i="21" s="1"/>
  <c r="H18" i="21" s="1"/>
  <c r="J14" i="18"/>
  <c r="I14" i="18"/>
  <c r="J15" i="18"/>
  <c r="I15" i="18"/>
  <c r="J13" i="18"/>
  <c r="I13" i="18"/>
  <c r="J12" i="18"/>
  <c r="I12" i="18"/>
  <c r="J11" i="18"/>
  <c r="I11" i="18"/>
  <c r="J10" i="18"/>
  <c r="I10" i="18"/>
  <c r="J9" i="18"/>
  <c r="I9" i="18"/>
  <c r="J8" i="18"/>
  <c r="I8" i="18"/>
  <c r="J9" i="17"/>
  <c r="I9" i="17"/>
  <c r="J8" i="17"/>
  <c r="I8" i="17"/>
  <c r="J11" i="17"/>
  <c r="I11" i="17"/>
  <c r="J10" i="17"/>
  <c r="I10" i="17"/>
  <c r="J18" i="16"/>
  <c r="I18" i="16"/>
  <c r="J17" i="16"/>
  <c r="I17" i="16"/>
  <c r="J16" i="16"/>
  <c r="I16" i="16"/>
  <c r="J15" i="16"/>
  <c r="I15" i="16"/>
  <c r="J14" i="16"/>
  <c r="I14" i="16"/>
  <c r="J13" i="16"/>
  <c r="I13" i="16"/>
  <c r="I12" i="16"/>
  <c r="J12" i="16"/>
  <c r="J11" i="16"/>
  <c r="I11" i="16"/>
  <c r="J10" i="16"/>
  <c r="I10" i="16"/>
  <c r="J9" i="16"/>
  <c r="I9" i="16"/>
  <c r="J8" i="16"/>
  <c r="I8" i="16"/>
  <c r="J39" i="15"/>
  <c r="I39" i="15"/>
  <c r="J36" i="15"/>
  <c r="I36" i="15"/>
  <c r="J35" i="15"/>
  <c r="I35" i="15"/>
  <c r="J34" i="15"/>
  <c r="I34" i="15"/>
  <c r="J31" i="15"/>
  <c r="I31" i="15"/>
  <c r="J30" i="15"/>
  <c r="I30" i="15"/>
  <c r="J29" i="15"/>
  <c r="I29" i="15"/>
  <c r="E27" i="15"/>
  <c r="I23" i="15"/>
  <c r="I24" i="15"/>
  <c r="J23" i="15"/>
  <c r="J21" i="15"/>
  <c r="I21" i="15"/>
  <c r="J20" i="15"/>
  <c r="I20" i="15"/>
  <c r="J17" i="15"/>
  <c r="I17" i="15"/>
  <c r="J8" i="15"/>
  <c r="I8" i="15"/>
  <c r="J38" i="15"/>
  <c r="I38" i="15"/>
  <c r="J37" i="15"/>
  <c r="I37" i="15"/>
  <c r="J33" i="15"/>
  <c r="I33" i="15"/>
  <c r="J32" i="15"/>
  <c r="I32" i="15"/>
  <c r="J28" i="15"/>
  <c r="I28" i="15"/>
  <c r="J27" i="15"/>
  <c r="I27" i="15"/>
  <c r="J26" i="15"/>
  <c r="I26" i="15"/>
  <c r="J25" i="15"/>
  <c r="I25" i="15"/>
  <c r="J24" i="15"/>
  <c r="J22" i="15"/>
  <c r="I22" i="15"/>
  <c r="J19" i="15"/>
  <c r="I19" i="15"/>
  <c r="J18" i="15"/>
  <c r="I18" i="15"/>
  <c r="J16" i="15"/>
  <c r="I16" i="15"/>
  <c r="J15" i="15"/>
  <c r="I15" i="15"/>
  <c r="J14" i="15"/>
  <c r="I14" i="15"/>
  <c r="J13" i="15"/>
  <c r="I13" i="15"/>
  <c r="J12" i="15"/>
  <c r="I12" i="15"/>
  <c r="J11" i="15"/>
  <c r="I11" i="15"/>
  <c r="J10" i="15"/>
  <c r="I10" i="15"/>
  <c r="J9" i="15"/>
  <c r="I9" i="15"/>
  <c r="J27" i="14"/>
  <c r="I27" i="14"/>
  <c r="J25" i="14"/>
  <c r="I25" i="14"/>
  <c r="J24" i="14"/>
  <c r="I24" i="14"/>
  <c r="J23" i="14"/>
  <c r="I23" i="14"/>
  <c r="J22" i="14"/>
  <c r="I22" i="14"/>
  <c r="J16" i="14"/>
  <c r="I16" i="14"/>
  <c r="J11" i="14"/>
  <c r="I11" i="14"/>
  <c r="J26" i="14"/>
  <c r="I26" i="14"/>
  <c r="J21" i="14"/>
  <c r="I21" i="14"/>
  <c r="J20" i="14"/>
  <c r="I20" i="14"/>
  <c r="J19" i="14"/>
  <c r="I19" i="14"/>
  <c r="J18" i="14"/>
  <c r="I18" i="14"/>
  <c r="J17" i="14"/>
  <c r="I17" i="14"/>
  <c r="J15" i="14"/>
  <c r="I15" i="14"/>
  <c r="J14" i="14"/>
  <c r="I14" i="14"/>
  <c r="J13" i="14"/>
  <c r="I13" i="14"/>
  <c r="J12" i="14"/>
  <c r="I12" i="14"/>
  <c r="J10" i="14"/>
  <c r="I10" i="14"/>
  <c r="J9" i="14"/>
  <c r="I9" i="14"/>
  <c r="J8" i="14"/>
  <c r="I8" i="14"/>
  <c r="J18" i="13"/>
  <c r="I18" i="13"/>
  <c r="I10" i="13"/>
  <c r="J10" i="13"/>
  <c r="J14" i="13"/>
  <c r="I14" i="13"/>
  <c r="J13" i="13"/>
  <c r="I13" i="13"/>
  <c r="J17" i="13"/>
  <c r="I17" i="13"/>
  <c r="J16" i="13"/>
  <c r="I16" i="13"/>
  <c r="J15" i="13"/>
  <c r="I15" i="13"/>
  <c r="J12" i="13"/>
  <c r="I12" i="13"/>
  <c r="J11" i="13"/>
  <c r="I11" i="13"/>
  <c r="J9" i="13"/>
  <c r="I9" i="13"/>
  <c r="J8" i="13"/>
  <c r="I8" i="13"/>
  <c r="J17" i="12"/>
  <c r="I17" i="12"/>
  <c r="J16" i="12"/>
  <c r="I16" i="12"/>
  <c r="J15" i="12"/>
  <c r="I15" i="12"/>
  <c r="J14" i="12"/>
  <c r="I14" i="12"/>
  <c r="J13" i="12"/>
  <c r="I13" i="12"/>
  <c r="J12" i="12"/>
  <c r="I12" i="12"/>
  <c r="J11" i="12"/>
  <c r="I11" i="12"/>
  <c r="J10" i="12"/>
  <c r="I10" i="12"/>
  <c r="J9" i="12"/>
  <c r="I9" i="12"/>
  <c r="J8" i="12"/>
  <c r="I8" i="12"/>
  <c r="I17" i="18" l="1"/>
  <c r="I238" i="1"/>
  <c r="J13" i="22"/>
  <c r="G15" i="21" s="1"/>
  <c r="H15" i="21" s="1"/>
  <c r="J18" i="18"/>
  <c r="J20" i="18" s="1"/>
  <c r="G14" i="21" s="1"/>
  <c r="H14" i="21" s="1"/>
  <c r="I13" i="17"/>
  <c r="J14" i="17"/>
  <c r="J21" i="16"/>
  <c r="I20" i="16"/>
  <c r="I41" i="15"/>
  <c r="J42" i="15"/>
  <c r="I29" i="14"/>
  <c r="J30" i="14"/>
  <c r="I20" i="13"/>
  <c r="J21" i="13"/>
  <c r="I19" i="12"/>
  <c r="J20" i="12"/>
  <c r="J40" i="11"/>
  <c r="I40" i="11"/>
  <c r="J39" i="11"/>
  <c r="I39" i="11"/>
  <c r="J33" i="11"/>
  <c r="I33" i="11"/>
  <c r="J32" i="11"/>
  <c r="I32" i="11"/>
  <c r="J31" i="11"/>
  <c r="I31" i="11"/>
  <c r="J30" i="11"/>
  <c r="I30" i="11"/>
  <c r="J29" i="11"/>
  <c r="I29" i="11"/>
  <c r="J38" i="11"/>
  <c r="I38" i="11"/>
  <c r="I36" i="11"/>
  <c r="J36" i="11"/>
  <c r="J35" i="11"/>
  <c r="I35" i="11"/>
  <c r="J34" i="11"/>
  <c r="I34" i="11"/>
  <c r="J25" i="11"/>
  <c r="I25" i="11"/>
  <c r="J24" i="11"/>
  <c r="I24" i="11"/>
  <c r="J23" i="11"/>
  <c r="I23" i="11"/>
  <c r="J22" i="11"/>
  <c r="I22" i="11"/>
  <c r="J17" i="11"/>
  <c r="I17" i="11"/>
  <c r="J16" i="11"/>
  <c r="I16" i="11"/>
  <c r="J15" i="11"/>
  <c r="I15" i="11"/>
  <c r="J14" i="11"/>
  <c r="I14" i="11"/>
  <c r="J13" i="11"/>
  <c r="I13" i="11"/>
  <c r="J10" i="11"/>
  <c r="I10" i="11"/>
  <c r="J9" i="11"/>
  <c r="I9" i="11"/>
  <c r="J28" i="11"/>
  <c r="I28" i="11"/>
  <c r="J27" i="11"/>
  <c r="I27" i="11"/>
  <c r="J37" i="11"/>
  <c r="I37" i="11"/>
  <c r="J26" i="11"/>
  <c r="I26" i="11"/>
  <c r="J21" i="11"/>
  <c r="I21" i="11"/>
  <c r="J20" i="11"/>
  <c r="I20" i="11"/>
  <c r="J19" i="11"/>
  <c r="I19" i="11"/>
  <c r="J18" i="11"/>
  <c r="I18" i="11"/>
  <c r="J12" i="11"/>
  <c r="I12" i="11"/>
  <c r="J11" i="11"/>
  <c r="I11" i="11"/>
  <c r="J8" i="11"/>
  <c r="I8" i="11"/>
  <c r="J21" i="10"/>
  <c r="I21" i="10"/>
  <c r="J20" i="10"/>
  <c r="I20" i="10"/>
  <c r="J19" i="10"/>
  <c r="I19" i="10"/>
  <c r="J18" i="10"/>
  <c r="I18" i="10"/>
  <c r="J17" i="10"/>
  <c r="I17" i="10"/>
  <c r="J16" i="10"/>
  <c r="I16" i="10"/>
  <c r="J15" i="10"/>
  <c r="I15" i="10"/>
  <c r="J14" i="10"/>
  <c r="I14" i="10"/>
  <c r="J13" i="10"/>
  <c r="I13" i="10"/>
  <c r="J12" i="10"/>
  <c r="I12" i="10"/>
  <c r="J11" i="10"/>
  <c r="I11" i="10"/>
  <c r="J10" i="10"/>
  <c r="I10" i="10"/>
  <c r="J9" i="10"/>
  <c r="I9" i="10"/>
  <c r="J8" i="10"/>
  <c r="I8" i="10"/>
  <c r="J51" i="8"/>
  <c r="I51" i="8"/>
  <c r="J50" i="8"/>
  <c r="I50" i="8"/>
  <c r="J49" i="8"/>
  <c r="I49" i="8"/>
  <c r="J48" i="8"/>
  <c r="I48" i="8"/>
  <c r="J47" i="8"/>
  <c r="I47" i="8"/>
  <c r="J46" i="8"/>
  <c r="I46" i="8"/>
  <c r="J45" i="8"/>
  <c r="I45" i="8"/>
  <c r="J44" i="8"/>
  <c r="I44" i="8"/>
  <c r="J42" i="8"/>
  <c r="I42" i="8"/>
  <c r="I40" i="8"/>
  <c r="J40" i="8"/>
  <c r="J41" i="8"/>
  <c r="I41" i="8"/>
  <c r="J39" i="8"/>
  <c r="I39" i="8"/>
  <c r="J38" i="8"/>
  <c r="I38" i="8"/>
  <c r="J37" i="8"/>
  <c r="I37" i="8"/>
  <c r="J36" i="8"/>
  <c r="I36" i="8"/>
  <c r="J35" i="8"/>
  <c r="I35" i="8"/>
  <c r="J34" i="8"/>
  <c r="I34" i="8"/>
  <c r="J33" i="8"/>
  <c r="I33" i="8"/>
  <c r="J32" i="8"/>
  <c r="I32" i="8"/>
  <c r="J31" i="8"/>
  <c r="I31" i="8"/>
  <c r="J30" i="8"/>
  <c r="J28" i="8"/>
  <c r="J25" i="8"/>
  <c r="I30" i="8"/>
  <c r="J29" i="8"/>
  <c r="I29" i="8"/>
  <c r="I28" i="8"/>
  <c r="J27" i="8"/>
  <c r="I27" i="8"/>
  <c r="J26" i="8"/>
  <c r="I26" i="8"/>
  <c r="I25" i="8"/>
  <c r="J24" i="8"/>
  <c r="I24" i="8"/>
  <c r="I23" i="8"/>
  <c r="J23" i="8"/>
  <c r="J22" i="8"/>
  <c r="I22" i="8"/>
  <c r="J43" i="8"/>
  <c r="I43" i="8"/>
  <c r="J21" i="8"/>
  <c r="I21" i="8"/>
  <c r="J20" i="8"/>
  <c r="I20" i="8"/>
  <c r="J19" i="8"/>
  <c r="I19" i="8"/>
  <c r="J18" i="8"/>
  <c r="I18" i="8"/>
  <c r="J17" i="8"/>
  <c r="I17" i="8"/>
  <c r="J16" i="8"/>
  <c r="I16" i="8"/>
  <c r="J15" i="8"/>
  <c r="I15" i="8"/>
  <c r="J14" i="8"/>
  <c r="I14" i="8"/>
  <c r="J13" i="8"/>
  <c r="I13" i="8"/>
  <c r="E8" i="8"/>
  <c r="J8" i="8" s="1"/>
  <c r="J12" i="8"/>
  <c r="I12" i="8"/>
  <c r="J11" i="8"/>
  <c r="J54" i="8" s="1"/>
  <c r="I11" i="8"/>
  <c r="J10" i="8"/>
  <c r="I10" i="8"/>
  <c r="J9" i="8"/>
  <c r="I9" i="8"/>
  <c r="J24" i="10" l="1"/>
  <c r="J16" i="17"/>
  <c r="G13" i="21" s="1"/>
  <c r="H13" i="21" s="1"/>
  <c r="J23" i="16"/>
  <c r="G12" i="21" s="1"/>
  <c r="H12" i="21" s="1"/>
  <c r="J44" i="15"/>
  <c r="G11" i="21" s="1"/>
  <c r="H11" i="21" s="1"/>
  <c r="J32" i="14"/>
  <c r="G10" i="21" s="1"/>
  <c r="H10" i="21" s="1"/>
  <c r="J23" i="13"/>
  <c r="G9" i="21" s="1"/>
  <c r="H9" i="21" s="1"/>
  <c r="J22" i="12"/>
  <c r="G8" i="21" s="1"/>
  <c r="H8" i="21" s="1"/>
  <c r="I42" i="11"/>
  <c r="J43" i="11"/>
  <c r="I23" i="10"/>
  <c r="I8" i="8"/>
  <c r="I25" i="1"/>
  <c r="J45" i="11" l="1"/>
  <c r="G7" i="21" s="1"/>
  <c r="H7" i="21" s="1"/>
  <c r="J26" i="10"/>
  <c r="G6" i="21" s="1"/>
  <c r="H6" i="21" s="1"/>
  <c r="I36" i="1"/>
  <c r="J47" i="1" l="1"/>
  <c r="I47" i="1"/>
  <c r="J46" i="1"/>
  <c r="I46" i="1"/>
  <c r="J45" i="1"/>
  <c r="J192" i="1" s="1"/>
  <c r="I45" i="1"/>
  <c r="I191" i="1" s="1"/>
  <c r="J13" i="9" l="1"/>
  <c r="G17" i="21" s="1"/>
  <c r="H17" i="21" s="1"/>
  <c r="I53" i="8"/>
  <c r="J56" i="8" l="1"/>
  <c r="G5" i="21" s="1"/>
  <c r="H5" i="21" s="1"/>
  <c r="H20" i="21" s="1"/>
  <c r="I7" i="1" s="1"/>
  <c r="I11" i="1" l="1"/>
  <c r="I12" i="1"/>
  <c r="I14" i="1" l="1"/>
  <c r="I9" i="1"/>
  <c r="I35" i="1" l="1"/>
  <c r="I34" i="1" l="1"/>
  <c r="I38" i="1" s="1"/>
  <c r="I24" i="1"/>
  <c r="I23" i="1"/>
  <c r="I10" i="1"/>
  <c r="I15" i="1" s="1"/>
  <c r="I29" i="1" l="1"/>
  <c r="I16" i="1"/>
  <c r="I31" i="1" l="1"/>
</calcChain>
</file>

<file path=xl/sharedStrings.xml><?xml version="1.0" encoding="utf-8"?>
<sst xmlns="http://schemas.openxmlformats.org/spreadsheetml/2006/main" count="4399" uniqueCount="1115">
  <si>
    <t>Ceny neobsahují DPH</t>
  </si>
  <si>
    <t>Základní rozpočtové náklady</t>
  </si>
  <si>
    <t>A.   Dodávky dle specifikací</t>
  </si>
  <si>
    <t>C.   Montáž</t>
  </si>
  <si>
    <t>D.   Demontáž</t>
  </si>
  <si>
    <t>h</t>
  </si>
  <si>
    <t>E.   Materiál nosný délkový</t>
  </si>
  <si>
    <t>F.   Materiál nosný kusový</t>
  </si>
  <si>
    <t>M.  PPV (6 % z L)</t>
  </si>
  <si>
    <t>N.   Zemní práce</t>
  </si>
  <si>
    <t>O.   Nátěry</t>
  </si>
  <si>
    <t>P.   Práce účtované hodinovou sazbou</t>
  </si>
  <si>
    <t>R.   Celkem základní rozpočtové náklady</t>
  </si>
  <si>
    <t>J</t>
  </si>
  <si>
    <t>Celkem</t>
  </si>
  <si>
    <t>ks</t>
  </si>
  <si>
    <t>Položka RTS</t>
  </si>
  <si>
    <t>m</t>
  </si>
  <si>
    <t>S.   Vedlejší rozpočtové náklady</t>
  </si>
  <si>
    <t xml:space="preserve">       Revize</t>
  </si>
  <si>
    <t xml:space="preserve">       Zhotovení dokumentace skutečného provedení</t>
  </si>
  <si>
    <t>Jistic instalacni</t>
  </si>
  <si>
    <t>1 P</t>
  </si>
  <si>
    <t>LE</t>
  </si>
  <si>
    <t xml:space="preserve"> </t>
  </si>
  <si>
    <t>3x1,5</t>
  </si>
  <si>
    <t>m2</t>
  </si>
  <si>
    <t xml:space="preserve">       Součet položky</t>
  </si>
  <si>
    <t>Celkem montáž</t>
  </si>
  <si>
    <t>Celkem materiál</t>
  </si>
  <si>
    <t>Cena mat.</t>
  </si>
  <si>
    <t>Cena mont.</t>
  </si>
  <si>
    <t>Celkem mat.</t>
  </si>
  <si>
    <t>Celkem mon.</t>
  </si>
  <si>
    <t>Nazev</t>
  </si>
  <si>
    <t>Pocet</t>
  </si>
  <si>
    <t>Celkem materiál délkový</t>
  </si>
  <si>
    <t>Materiál nosný kusový + montáž</t>
  </si>
  <si>
    <t>Materiál nosný délkový + montáž</t>
  </si>
  <si>
    <t>210120401</t>
  </si>
  <si>
    <t>210120451</t>
  </si>
  <si>
    <t>Pojistkovy odpinac</t>
  </si>
  <si>
    <t>kompletni</t>
  </si>
  <si>
    <t>10A/C</t>
  </si>
  <si>
    <t>1/0</t>
  </si>
  <si>
    <t>Pojistka</t>
  </si>
  <si>
    <t>PV 14 gG</t>
  </si>
  <si>
    <t>210120101</t>
  </si>
  <si>
    <t>210020252</t>
  </si>
  <si>
    <t>Kabelovy rost pro kabely "V"</t>
  </si>
  <si>
    <t>s. 300 mm SLM</t>
  </si>
  <si>
    <t>Vodic CY</t>
  </si>
  <si>
    <t>6</t>
  </si>
  <si>
    <t>210800547</t>
  </si>
  <si>
    <t>OPV 14/3</t>
  </si>
  <si>
    <t>5x2,5</t>
  </si>
  <si>
    <t>3x2,5</t>
  </si>
  <si>
    <t>5x10</t>
  </si>
  <si>
    <t>5x16</t>
  </si>
  <si>
    <t>název / označení</t>
  </si>
  <si>
    <t>výkres</t>
  </si>
  <si>
    <t>Polozka RTS</t>
  </si>
  <si>
    <t>Zakryt z plechu deleny</t>
  </si>
  <si>
    <t>Kapsa na vykresy A4 plech</t>
  </si>
  <si>
    <t>6A/B</t>
  </si>
  <si>
    <t>16A/C</t>
  </si>
  <si>
    <t>3 P</t>
  </si>
  <si>
    <t>Svodič přepětí 2 vým.modul</t>
  </si>
  <si>
    <t>Spinac packovy</t>
  </si>
  <si>
    <t>Pripojnice fazova Cu</t>
  </si>
  <si>
    <t>Pripojnice nulova Cu</t>
  </si>
  <si>
    <t>Pripojeni skrine na PE</t>
  </si>
  <si>
    <t>Svorka radova</t>
  </si>
  <si>
    <t>16</t>
  </si>
  <si>
    <t>2.5</t>
  </si>
  <si>
    <t>Celkem montáže</t>
  </si>
  <si>
    <t>Cenkem materiál s montáží</t>
  </si>
  <si>
    <t>Specifikace č. 2</t>
  </si>
  <si>
    <t>Specifikace č. 1</t>
  </si>
  <si>
    <t>B2caS1d1</t>
  </si>
  <si>
    <t>B2caS1d1*</t>
  </si>
  <si>
    <t>5x1,5</t>
  </si>
  <si>
    <t>210802468</t>
  </si>
  <si>
    <t>210800549</t>
  </si>
  <si>
    <t>Vypinaci spoust</t>
  </si>
  <si>
    <t>UPS</t>
  </si>
  <si>
    <t>* - Kabely s funkční odolností při požáru</t>
  </si>
  <si>
    <t xml:space="preserve">       Posouzení TIČR</t>
  </si>
  <si>
    <t>J.    Součet materiál nosný (E+F)</t>
  </si>
  <si>
    <t>L.    Součet montáž + demontáž  + materiál (C+D+J)</t>
  </si>
  <si>
    <t>Chranic</t>
  </si>
  <si>
    <t>6.02</t>
  </si>
  <si>
    <t>Chranic FI/LS</t>
  </si>
  <si>
    <t>6.10</t>
  </si>
  <si>
    <t>6.12</t>
  </si>
  <si>
    <t>6.20</t>
  </si>
  <si>
    <t>0.4A/D</t>
  </si>
  <si>
    <t>6A/D</t>
  </si>
  <si>
    <t xml:space="preserve">1 P+N                     </t>
  </si>
  <si>
    <t>20A/C</t>
  </si>
  <si>
    <t>32A/C</t>
  </si>
  <si>
    <t>3 P+N</t>
  </si>
  <si>
    <t>rozváděč RH2</t>
  </si>
  <si>
    <t>600/5A</t>
  </si>
  <si>
    <t>15VA 0.5%</t>
  </si>
  <si>
    <t>6.103</t>
  </si>
  <si>
    <t>Analizátor sítě</t>
  </si>
  <si>
    <t>6.102</t>
  </si>
  <si>
    <t>x/5A</t>
  </si>
  <si>
    <t>Modbus RTU</t>
  </si>
  <si>
    <t xml:space="preserve">Jistic </t>
  </si>
  <si>
    <t>210120503</t>
  </si>
  <si>
    <t>6.201</t>
  </si>
  <si>
    <t>6.200</t>
  </si>
  <si>
    <t>6.44</t>
  </si>
  <si>
    <t>OPV 14/1</t>
  </si>
  <si>
    <t>6.42</t>
  </si>
  <si>
    <t>6.32</t>
  </si>
  <si>
    <t>do 50A</t>
  </si>
  <si>
    <t>Pojistka 400 V</t>
  </si>
  <si>
    <t>PN 000 gG</t>
  </si>
  <si>
    <t>210120102</t>
  </si>
  <si>
    <t>do 160A</t>
  </si>
  <si>
    <t>Svodič přepětí 1+2</t>
  </si>
  <si>
    <t>6.61</t>
  </si>
  <si>
    <t>630 A</t>
  </si>
  <si>
    <t>250 A</t>
  </si>
  <si>
    <t>do 630A</t>
  </si>
  <si>
    <t>Rele impulsni  1P</t>
  </si>
  <si>
    <t>210150051</t>
  </si>
  <si>
    <t>32/2</t>
  </si>
  <si>
    <t>6.50</t>
  </si>
  <si>
    <t>Bocni kryt IP40  200x50</t>
  </si>
  <si>
    <t>Podstavec skrine 10x80x50</t>
  </si>
  <si>
    <t>sa</t>
  </si>
  <si>
    <t>Montazni panel 200x80</t>
  </si>
  <si>
    <t>Drzak montazniho panelu</t>
  </si>
  <si>
    <t>Hodiny spinaci</t>
  </si>
  <si>
    <t>Hag</t>
  </si>
  <si>
    <t>6.121</t>
  </si>
  <si>
    <t>Modul do rozvadecu</t>
  </si>
  <si>
    <t>DLS 3Ph/BUS</t>
  </si>
  <si>
    <t>rozváděč R1.1</t>
  </si>
  <si>
    <t>Mutitstykačový set DALI2</t>
  </si>
  <si>
    <t>na DIN lištu</t>
  </si>
  <si>
    <t>8x16A</t>
  </si>
  <si>
    <t>2x4x12TE</t>
  </si>
  <si>
    <t>210190002</t>
  </si>
  <si>
    <t>6.131</t>
  </si>
  <si>
    <t>Lista isolovana</t>
  </si>
  <si>
    <t xml:space="preserve">3f/10 mm  63A  1m </t>
  </si>
  <si>
    <t>Mustek N  7</t>
  </si>
  <si>
    <t>DIN/pasek</t>
  </si>
  <si>
    <t>6.62</t>
  </si>
  <si>
    <t>63/3</t>
  </si>
  <si>
    <t>Specifikace č. 3</t>
  </si>
  <si>
    <t>rozváděč R1.2</t>
  </si>
  <si>
    <t>D.1.4.6-203</t>
  </si>
  <si>
    <t>8x20A</t>
  </si>
  <si>
    <t>DALI2 router 2x DALI</t>
  </si>
  <si>
    <t>standard DT8</t>
  </si>
  <si>
    <t>VPN client + firewall 6xPort</t>
  </si>
  <si>
    <t>vč.zdroje</t>
  </si>
  <si>
    <t>Prům. switch 8 port x 10Gb</t>
  </si>
  <si>
    <t>2A/B</t>
  </si>
  <si>
    <t>40A/C</t>
  </si>
  <si>
    <t>Pomocne kontakty</t>
  </si>
  <si>
    <t>125 A</t>
  </si>
  <si>
    <t>do 200A</t>
  </si>
  <si>
    <t>125/3</t>
  </si>
  <si>
    <t>6.51</t>
  </si>
  <si>
    <t>Bocni kryt IP40  200x40</t>
  </si>
  <si>
    <t>Podstavec skrine 10x80x40</t>
  </si>
  <si>
    <t>4</t>
  </si>
  <si>
    <t>Specifikace č. 4</t>
  </si>
  <si>
    <t>rozváděč R1.3</t>
  </si>
  <si>
    <t>D.1.4.6-204</t>
  </si>
  <si>
    <t>D.1.4.6-206</t>
  </si>
  <si>
    <t>D.1.4.6-205</t>
  </si>
  <si>
    <t>4x16A</t>
  </si>
  <si>
    <t>6.301</t>
  </si>
  <si>
    <t>Specifikace č. 5</t>
  </si>
  <si>
    <t>rozváděč R1.4</t>
  </si>
  <si>
    <t>D.1.4.6-207</t>
  </si>
  <si>
    <t>1x4x12TE</t>
  </si>
  <si>
    <t>32/3</t>
  </si>
  <si>
    <t>Specifikace č. 6</t>
  </si>
  <si>
    <t>rozváděč R2.1</t>
  </si>
  <si>
    <t>D.1.4.6-208</t>
  </si>
  <si>
    <t>6A/C</t>
  </si>
  <si>
    <t>3x5x12TE</t>
  </si>
  <si>
    <t>Specifikace č. 7</t>
  </si>
  <si>
    <t>rozváděč R2.2</t>
  </si>
  <si>
    <t>D.1.4.6-209</t>
  </si>
  <si>
    <t>25A/C</t>
  </si>
  <si>
    <t>16A/B</t>
  </si>
  <si>
    <t>210190003</t>
  </si>
  <si>
    <t>80/150/30</t>
  </si>
  <si>
    <t>160 A</t>
  </si>
  <si>
    <t>160/3</t>
  </si>
  <si>
    <t>210112011</t>
  </si>
  <si>
    <t>OPV 22/3</t>
  </si>
  <si>
    <t>6.43</t>
  </si>
  <si>
    <t>PV 22 gG</t>
  </si>
  <si>
    <t>100A</t>
  </si>
  <si>
    <t>6.33</t>
  </si>
  <si>
    <t>Specifikace č. 8</t>
  </si>
  <si>
    <t>rozváděč R2.3</t>
  </si>
  <si>
    <t>D.1.4.6-210</t>
  </si>
  <si>
    <t>OPV 14/3N</t>
  </si>
  <si>
    <t>20A</t>
  </si>
  <si>
    <t>50A</t>
  </si>
  <si>
    <t>1x3x12TE</t>
  </si>
  <si>
    <t>210190001</t>
  </si>
  <si>
    <t>3f/16 mm  80A  1m</t>
  </si>
  <si>
    <t>Automatický přepínač sítí</t>
  </si>
  <si>
    <t>6.106</t>
  </si>
  <si>
    <t>Ovladaci tlacitko</t>
  </si>
  <si>
    <t>MT10+TB</t>
  </si>
  <si>
    <t>Specifikace č. 9</t>
  </si>
  <si>
    <t>rozváděč RP</t>
  </si>
  <si>
    <t>D.1.4.6-211</t>
  </si>
  <si>
    <t>Specifikace č. 10</t>
  </si>
  <si>
    <t>rozváděč RU</t>
  </si>
  <si>
    <t>D.1.4.6-212</t>
  </si>
  <si>
    <t>10A/B</t>
  </si>
  <si>
    <t>0.8A/D</t>
  </si>
  <si>
    <t>Pb</t>
  </si>
  <si>
    <t>2x12TE</t>
  </si>
  <si>
    <t>-</t>
  </si>
  <si>
    <t>Specifikace č. 11</t>
  </si>
  <si>
    <t>Specifikace č. 12</t>
  </si>
  <si>
    <t>Motor generátor</t>
  </si>
  <si>
    <t>Motor generátor 14,4 kVA/11,5 kW, 400V, AVR regulace, nádrž 33L, doba provozu 6 hodin, zásuky 2x230/16A, 1x 400V/16A, řídicí panel APM202 + kolečka, emise dle platné normy EUR Stage 5. Motor generátor bude dodáván jako komplet včetně UPS 10kW (viz samostatná specifikace), tak aby byl schopen prodloužit dobu zálohování této UPS.</t>
  </si>
  <si>
    <t>Náhradní zdroj UPS 3f/3f 10kVA/10kW, provozní účinnost 96%, životnost akumulátorů 10 let dle Eurobat ze sinusovým průběhem výstupu pro zálohování dvou čerpadel o výkonu 2x 0,75kW  s řízeným rozběhem pomocí autonomního řídícího systému s frekvenčními měniči. Dále budou z této UPS napájeny docházkové systémy, platební automat a jedno PC o celkovém příkonu do 1,5kW. Požadovaná doba zálohování je 3h. UPS bude se signalizací základních provozních stavů pomocí bezpotenciálových kontaktů. UPS bude dodávána jako komplet s motorgenerátorem (viz samostatná specifikace) který zajistí v případě potřeby prodloužení doby zálohování.</t>
  </si>
  <si>
    <t>Specifikace - seznam</t>
  </si>
  <si>
    <t xml:space="preserve">Rozvaděč </t>
  </si>
  <si>
    <t>RH2</t>
  </si>
  <si>
    <t>R1.1</t>
  </si>
  <si>
    <t>R1.2</t>
  </si>
  <si>
    <t>R1.3</t>
  </si>
  <si>
    <t>R1.4</t>
  </si>
  <si>
    <t>R2.1</t>
  </si>
  <si>
    <t>R2.2</t>
  </si>
  <si>
    <t>R2.3</t>
  </si>
  <si>
    <t>RP</t>
  </si>
  <si>
    <t>RU</t>
  </si>
  <si>
    <t>Záložní zdroj UPS</t>
  </si>
  <si>
    <t>400V/10kW</t>
  </si>
  <si>
    <t>400V/11,5kW</t>
  </si>
  <si>
    <t>Cena</t>
  </si>
  <si>
    <t xml:space="preserve">       Nastavení centrály nouzového osvětlení</t>
  </si>
  <si>
    <t xml:space="preserve">       Tvorba vizualizačního prostředí dle potřeb uživatele</t>
  </si>
  <si>
    <t xml:space="preserve">       Předběžná obhlídka</t>
  </si>
  <si>
    <t>Licence vizualizačního SW řízení osvětlnení pro MS WINDOWS</t>
  </si>
  <si>
    <t xml:space="preserve">       Technická podpora u instalace řízení osv. DALI</t>
  </si>
  <si>
    <t xml:space="preserve">       Oživení systému řízení osvětlení DALI</t>
  </si>
  <si>
    <t>Vzdálená správa, servis, a technická podpora 5 let řízení osv. DALI</t>
  </si>
  <si>
    <t>kpl</t>
  </si>
  <si>
    <t>vestavný multisenzor DALI</t>
  </si>
  <si>
    <t>širokozáběrový s měřením Lx</t>
  </si>
  <si>
    <t>Ochranné kryty svorek vestavných senzorů</t>
  </si>
  <si>
    <t>Vestavný PIR senzor DALI přítomnostní + příjem IR remote signálů</t>
  </si>
  <si>
    <t>Ochrana DALI sběrnic proti přepětí a přetížení s integrací do routrů</t>
  </si>
  <si>
    <t>Ovládací panel OS</t>
  </si>
  <si>
    <t>Vestavný ovládací panel 206x261mm, zápustná hloubka 40mm, 36 programovatelných tlačítek + 18x barevně odlišená indikace stavů</t>
  </si>
  <si>
    <t>Specifikace č. 13</t>
  </si>
  <si>
    <t>Ovládací panel DALI</t>
  </si>
  <si>
    <t>OS</t>
  </si>
  <si>
    <t>Standard</t>
  </si>
  <si>
    <t>Svítidlo A1D</t>
  </si>
  <si>
    <t>DALI</t>
  </si>
  <si>
    <t>Svítidlo C1</t>
  </si>
  <si>
    <t>Svítidlo D1</t>
  </si>
  <si>
    <t>Svítidlo E1D</t>
  </si>
  <si>
    <t>Svítidlo F1</t>
  </si>
  <si>
    <t>Svítidlo G1D</t>
  </si>
  <si>
    <t>Svítidlo G2D</t>
  </si>
  <si>
    <t>Svítidlo H1</t>
  </si>
  <si>
    <t>Svítidlo H2</t>
  </si>
  <si>
    <t>Svítidlo H3</t>
  </si>
  <si>
    <t>Svítidlo H3a</t>
  </si>
  <si>
    <t>Svítidlo H4</t>
  </si>
  <si>
    <t>Svítidla dle knihy svítidel</t>
  </si>
  <si>
    <t>Svítidlo H4D</t>
  </si>
  <si>
    <t>Svítidlo H5</t>
  </si>
  <si>
    <t>Svítidlo H5D</t>
  </si>
  <si>
    <t>Svítidlo H6</t>
  </si>
  <si>
    <t>Svítidlo H7D</t>
  </si>
  <si>
    <t>Svítidlo H8</t>
  </si>
  <si>
    <t>Svítidlo K1</t>
  </si>
  <si>
    <t>Svítidlo K2</t>
  </si>
  <si>
    <t>Svítidlo L1D</t>
  </si>
  <si>
    <t>Svítidlo L2</t>
  </si>
  <si>
    <t>Svítidlo L3</t>
  </si>
  <si>
    <t>Svítidlo L4</t>
  </si>
  <si>
    <t>Svítidlo M1D</t>
  </si>
  <si>
    <t>Svítidlo N2</t>
  </si>
  <si>
    <t>Svítidlo O2</t>
  </si>
  <si>
    <t>Svítidlo P1</t>
  </si>
  <si>
    <t>Svítidlo P2</t>
  </si>
  <si>
    <t>Svítidlo Q1D</t>
  </si>
  <si>
    <t>Svítidlo Q2D</t>
  </si>
  <si>
    <t>Svítidlo Q3</t>
  </si>
  <si>
    <t>Svítidlo Q4D</t>
  </si>
  <si>
    <t>Svítidlo Q5D</t>
  </si>
  <si>
    <t>Svítidlo R1</t>
  </si>
  <si>
    <t>Svítidlo R2</t>
  </si>
  <si>
    <t>Svítidlo R3</t>
  </si>
  <si>
    <t>Svítidlo S1</t>
  </si>
  <si>
    <t>Svítidlo S2</t>
  </si>
  <si>
    <t>Svítidlo U1</t>
  </si>
  <si>
    <t>Svítidlo U2</t>
  </si>
  <si>
    <t>Svítidlo V1</t>
  </si>
  <si>
    <t>pro CBS adresné</t>
  </si>
  <si>
    <t>Nouzové svítidlo NB1</t>
  </si>
  <si>
    <t>Nouzové svítidlo NB2</t>
  </si>
  <si>
    <t>Nouzové svítidlo NB3</t>
  </si>
  <si>
    <t>Nouzové svítidlo NB4</t>
  </si>
  <si>
    <t>Nouzové svítidlo NB5</t>
  </si>
  <si>
    <t>Nouzové svítidlo NB6</t>
  </si>
  <si>
    <t>Nouzové svítidlo NB7</t>
  </si>
  <si>
    <t>Nouzové svítidlo NB9</t>
  </si>
  <si>
    <t>Nouzové svítidlo NB8</t>
  </si>
  <si>
    <t>Nouzové svítidlo NP8</t>
  </si>
  <si>
    <t>Nouzové svítidlo NP1</t>
  </si>
  <si>
    <t>Nouzové svítidlo NP2</t>
  </si>
  <si>
    <t>Nouzové svítidlo NP3</t>
  </si>
  <si>
    <t>Nouzové svítidlo NP4</t>
  </si>
  <si>
    <t>Nouzové svítidlo NP5</t>
  </si>
  <si>
    <t>Nouzové svítidlo NP6</t>
  </si>
  <si>
    <t>Nouzové svítidlo NP7</t>
  </si>
  <si>
    <t>LED pásek I.1 + LED driver</t>
  </si>
  <si>
    <t>8,6m</t>
  </si>
  <si>
    <t>LED pásek I.3 + LED driver</t>
  </si>
  <si>
    <t>2x2,6m</t>
  </si>
  <si>
    <t>Svítidlo M2</t>
  </si>
  <si>
    <t>2x1,8m</t>
  </si>
  <si>
    <t>LED pásek I.2 + LED driver</t>
  </si>
  <si>
    <t>9x 35W</t>
  </si>
  <si>
    <t>LED RGB pásek B.1 + LED driver 4x2,8m</t>
  </si>
  <si>
    <t>dálkový ovladač svítidel RGBW</t>
  </si>
  <si>
    <t>1,8m</t>
  </si>
  <si>
    <t>LED pásek I.4 + LED driver</t>
  </si>
  <si>
    <t>LED pásek I.5 + LED driver</t>
  </si>
  <si>
    <t>LED pásek I.6 + LED driver</t>
  </si>
  <si>
    <t>2,5m</t>
  </si>
  <si>
    <t>LED pásek I.13 + LED driver</t>
  </si>
  <si>
    <t>27,2m</t>
  </si>
  <si>
    <t>LED RGB pásek I.7 + LED driver 3m</t>
  </si>
  <si>
    <t>zesilovač signálu (4 kanály x 3A), pro RGB LED</t>
  </si>
  <si>
    <t>LED RGB pásek I.10 + LED driver 1,8m</t>
  </si>
  <si>
    <t>LED RGB pásek I.11</t>
  </si>
  <si>
    <t>2,2m</t>
  </si>
  <si>
    <t>LED RGB pásek I.8</t>
  </si>
  <si>
    <t>2,7m</t>
  </si>
  <si>
    <t>LED RGB pásek I.12 + LED driver 4x1,0m</t>
  </si>
  <si>
    <t>LED RGB pásek I.9 + LED driver 2,9m</t>
  </si>
  <si>
    <t>Specifikace č. 14</t>
  </si>
  <si>
    <t>Centrální bateriový systém (CBS) nouzového osvětlení pro 14 okruhů nouzového osvětlení s adresným monitoringem svítidel. 14Ah.</t>
  </si>
  <si>
    <t>RNO</t>
  </si>
  <si>
    <t>Centrální zdroj NO</t>
  </si>
  <si>
    <t>Zasuvka prům. nástěnná</t>
  </si>
  <si>
    <t>IP44</t>
  </si>
  <si>
    <t>16A/3+N+PE</t>
  </si>
  <si>
    <t>210111103</t>
  </si>
  <si>
    <t>1.26</t>
  </si>
  <si>
    <t xml:space="preserve">Odpínač v krytu 20A 2P IP67 </t>
  </si>
  <si>
    <t>210112010</t>
  </si>
  <si>
    <t>1.81</t>
  </si>
  <si>
    <t>Spinac v krytu IP54/3P/7,5kW</t>
  </si>
  <si>
    <t>Spinac v krytu IP54/3P/15kW</t>
  </si>
  <si>
    <t>Jimaci tyc</t>
  </si>
  <si>
    <t>rovný konec</t>
  </si>
  <si>
    <t>210220201</t>
  </si>
  <si>
    <t>Podpera do zdiva</t>
  </si>
  <si>
    <t>Podpera na strechu</t>
  </si>
  <si>
    <t>Svorka universalni</t>
  </si>
  <si>
    <t>210220301</t>
  </si>
  <si>
    <t>Svorka spojovaci</t>
  </si>
  <si>
    <t>Svorka krizova</t>
  </si>
  <si>
    <t>210220302</t>
  </si>
  <si>
    <t>Svorka jimacova</t>
  </si>
  <si>
    <t>Svorka pasek/pasek</t>
  </si>
  <si>
    <t>Svorka pasek/drat</t>
  </si>
  <si>
    <t>Zemnici pasek</t>
  </si>
  <si>
    <t>ZP 30x4</t>
  </si>
  <si>
    <t>210220001</t>
  </si>
  <si>
    <t>Zemnici drat</t>
  </si>
  <si>
    <t xml:space="preserve"> 8 mm</t>
  </si>
  <si>
    <t>10 mm</t>
  </si>
  <si>
    <t>210220002</t>
  </si>
  <si>
    <t>podstavec betonový 19kg</t>
  </si>
  <si>
    <t>FeZn</t>
  </si>
  <si>
    <t xml:space="preserve">podložka gumová </t>
  </si>
  <si>
    <t>Litinová zemní šachta se zkušební svorkou</t>
  </si>
  <si>
    <t>Hromosvodná soustava</t>
  </si>
  <si>
    <t>Trubka ohebna</t>
  </si>
  <si>
    <t>40/32</t>
  </si>
  <si>
    <t>Kryci folie</t>
  </si>
  <si>
    <t>Zemní práce</t>
  </si>
  <si>
    <t>1</t>
  </si>
  <si>
    <t>komplet</t>
  </si>
  <si>
    <t>210110041</t>
  </si>
  <si>
    <t>1.1</t>
  </si>
  <si>
    <t>5</t>
  </si>
  <si>
    <t>210110043</t>
  </si>
  <si>
    <t>210110045</t>
  </si>
  <si>
    <t>210110044</t>
  </si>
  <si>
    <t>Žaluziový</t>
  </si>
  <si>
    <t>1x</t>
  </si>
  <si>
    <t>210111011</t>
  </si>
  <si>
    <t>1.2</t>
  </si>
  <si>
    <t>s přepěť.ochr.</t>
  </si>
  <si>
    <t>1.21</t>
  </si>
  <si>
    <t>1x vičko, clon.</t>
  </si>
  <si>
    <t>1.22</t>
  </si>
  <si>
    <t>Spinac  IP44 přisazený plast</t>
  </si>
  <si>
    <t>210110021</t>
  </si>
  <si>
    <t>1.12</t>
  </si>
  <si>
    <t>210110023</t>
  </si>
  <si>
    <t>210110024</t>
  </si>
  <si>
    <t>Zasuvka IP44 plast</t>
  </si>
  <si>
    <t>2x prubezna</t>
  </si>
  <si>
    <t>210111021</t>
  </si>
  <si>
    <t>1.23</t>
  </si>
  <si>
    <t>1.11</t>
  </si>
  <si>
    <t>5-tlačítkový DALI2 ovl.panel s LED indikací scény 48x35mm bílá</t>
  </si>
  <si>
    <t>Stropní</t>
  </si>
  <si>
    <t>Nástěnný termostat podlahového vytápění 230V/16A týdenní</t>
  </si>
  <si>
    <t>Spínač IR-pohybový 230V/10A</t>
  </si>
  <si>
    <t>Prichytka mala</t>
  </si>
  <si>
    <t>do 8x  CYKY 3x1.5</t>
  </si>
  <si>
    <t>1.41</t>
  </si>
  <si>
    <t>Kabelovy rost RI-3</t>
  </si>
  <si>
    <t>s. 300 mm-3m</t>
  </si>
  <si>
    <t>Dielektricky koberec</t>
  </si>
  <si>
    <t>Krabice   Přístrojová</t>
  </si>
  <si>
    <t>210010301</t>
  </si>
  <si>
    <t>1.3</t>
  </si>
  <si>
    <t>Krabice   Odbočovací</t>
  </si>
  <si>
    <t>210010311</t>
  </si>
  <si>
    <t>1.35</t>
  </si>
  <si>
    <t>Krabice   Rozbočovací</t>
  </si>
  <si>
    <t>210010321</t>
  </si>
  <si>
    <t>1.33</t>
  </si>
  <si>
    <t>Krabice do betonu</t>
  </si>
  <si>
    <t>210010454</t>
  </si>
  <si>
    <t>Svorkovnice+víčko</t>
  </si>
  <si>
    <t>Krabice "V"  IP65 E30/90</t>
  </si>
  <si>
    <t>5P/4x 1,5mm</t>
  </si>
  <si>
    <t>FK 9025</t>
  </si>
  <si>
    <t>Kanal instalacni+příslušenství</t>
  </si>
  <si>
    <t>210010106</t>
  </si>
  <si>
    <t>Prichytka pro kabely "V"</t>
  </si>
  <si>
    <t>1.50</t>
  </si>
  <si>
    <t>Příchytka kabelu jednostran.</t>
  </si>
  <si>
    <t>požárně odolná</t>
  </si>
  <si>
    <t>včetně vrutu</t>
  </si>
  <si>
    <t>1.42</t>
  </si>
  <si>
    <t>Příchytka kabelu dvojitá</t>
  </si>
  <si>
    <t>Trubka plastová</t>
  </si>
  <si>
    <t>Tuhá</t>
  </si>
  <si>
    <t>210010063</t>
  </si>
  <si>
    <t>2.63</t>
  </si>
  <si>
    <t>Trubka</t>
  </si>
  <si>
    <t>210010003</t>
  </si>
  <si>
    <t>2.64</t>
  </si>
  <si>
    <t>korytko   2 m</t>
  </si>
  <si>
    <t xml:space="preserve"> +nosník</t>
  </si>
  <si>
    <t>2.66</t>
  </si>
  <si>
    <t>210010064</t>
  </si>
  <si>
    <t>Topný kabel do podlahy</t>
  </si>
  <si>
    <t>230V/800W</t>
  </si>
  <si>
    <t>5W/m2-157,4m</t>
  </si>
  <si>
    <t xml:space="preserve">5W/m2-234,7m            </t>
  </si>
  <si>
    <t xml:space="preserve">5W/m2-64,3m             </t>
  </si>
  <si>
    <t>230V/1150W</t>
  </si>
  <si>
    <t>230V/320W</t>
  </si>
  <si>
    <t>Topný samoregulační kabel</t>
  </si>
  <si>
    <t>230W 30W/m</t>
  </si>
  <si>
    <t>centralstop</t>
  </si>
  <si>
    <t>Skrinka ovladac</t>
  </si>
  <si>
    <t>kont 3/3</t>
  </si>
  <si>
    <t>Termostat 20-60</t>
  </si>
  <si>
    <t>230V/10A</t>
  </si>
  <si>
    <t>Termostat 0-40</t>
  </si>
  <si>
    <t xml:space="preserve">       Kontrola pospojování armovací výztuže</t>
  </si>
  <si>
    <t>2x1,5</t>
  </si>
  <si>
    <t>4x1,5</t>
  </si>
  <si>
    <t>5x35</t>
  </si>
  <si>
    <t>5x6</t>
  </si>
  <si>
    <t>3x4</t>
  </si>
  <si>
    <t>2x4</t>
  </si>
  <si>
    <t>5x4</t>
  </si>
  <si>
    <t>2x1</t>
  </si>
  <si>
    <t>2.25</t>
  </si>
  <si>
    <t>2.26</t>
  </si>
  <si>
    <t>Kabel CYKY-O</t>
  </si>
  <si>
    <t>2.2</t>
  </si>
  <si>
    <t>Kabel CYKY-J</t>
  </si>
  <si>
    <t>Kabel 1-CYKY-J</t>
  </si>
  <si>
    <t>Kabel JYTY</t>
  </si>
  <si>
    <t>210810041</t>
  </si>
  <si>
    <t>4x2x0,8</t>
  </si>
  <si>
    <t>Kabel IY(ST)Y</t>
  </si>
  <si>
    <t>Kabel UTP</t>
  </si>
  <si>
    <t>CAT 5e</t>
  </si>
  <si>
    <t>Kabel V05 SS</t>
  </si>
  <si>
    <t>35</t>
  </si>
  <si>
    <t>210800550</t>
  </si>
  <si>
    <t>2.38</t>
  </si>
  <si>
    <t>210800546</t>
  </si>
  <si>
    <t>Prořez a materiál podružný bude zohledněn pomocí jednotkových cen</t>
  </si>
  <si>
    <t>Výkaz výměr - Kabelová listina</t>
  </si>
  <si>
    <t>D.1.4.6.203 Rozvaděč RH2</t>
  </si>
  <si>
    <t>WL</t>
  </si>
  <si>
    <t>01</t>
  </si>
  <si>
    <t>RH1</t>
  </si>
  <si>
    <t>RH1 Přívod</t>
  </si>
  <si>
    <t>1-AYKY</t>
  </si>
  <si>
    <t>3x240+120</t>
  </si>
  <si>
    <t>WS</t>
  </si>
  <si>
    <t>1.02 C.STOP</t>
  </si>
  <si>
    <t>B2caS1d1*Cu</t>
  </si>
  <si>
    <t>02.2</t>
  </si>
  <si>
    <t>Stěn.uzávěry</t>
  </si>
  <si>
    <t>0.13,18,19, 1.04,28</t>
  </si>
  <si>
    <t>02.1</t>
  </si>
  <si>
    <t>0.20</t>
  </si>
  <si>
    <t>02</t>
  </si>
  <si>
    <t>1.02 T.STOP</t>
  </si>
  <si>
    <t>03</t>
  </si>
  <si>
    <t>Ochranné pospojování</t>
  </si>
  <si>
    <t>CY 35(54)</t>
  </si>
  <si>
    <t>MaR DT1</t>
  </si>
  <si>
    <t>0.15</t>
  </si>
  <si>
    <t>CYKY-O</t>
  </si>
  <si>
    <t>04</t>
  </si>
  <si>
    <t>JYTY-O</t>
  </si>
  <si>
    <t>05.1</t>
  </si>
  <si>
    <t>IY(ST)Y4x2x0,8</t>
  </si>
  <si>
    <t>05.2</t>
  </si>
  <si>
    <t>1.34</t>
  </si>
  <si>
    <t>B2caS1d1 Cu</t>
  </si>
  <si>
    <t>2</t>
  </si>
  <si>
    <t>2.27</t>
  </si>
  <si>
    <t>3</t>
  </si>
  <si>
    <t>RE1a</t>
  </si>
  <si>
    <t>0.18 Technologie</t>
  </si>
  <si>
    <t>CYKY-J</t>
  </si>
  <si>
    <t>RE1b</t>
  </si>
  <si>
    <t>0.19 Technologie</t>
  </si>
  <si>
    <t>DT1(MaR)</t>
  </si>
  <si>
    <t>0.15 Technologie</t>
  </si>
  <si>
    <t>7</t>
  </si>
  <si>
    <t>DT2(MaR)</t>
  </si>
  <si>
    <t>1.16</t>
  </si>
  <si>
    <t>8</t>
  </si>
  <si>
    <t>1.17</t>
  </si>
  <si>
    <t>9</t>
  </si>
  <si>
    <t>2.02</t>
  </si>
  <si>
    <t>Výtah</t>
  </si>
  <si>
    <t>2.01</t>
  </si>
  <si>
    <t>13</t>
  </si>
  <si>
    <t>POŽÁR</t>
  </si>
  <si>
    <t xml:space="preserve">1.02 </t>
  </si>
  <si>
    <t>14</t>
  </si>
  <si>
    <t>VZT AHU1.001</t>
  </si>
  <si>
    <t>15</t>
  </si>
  <si>
    <t>VZT AHU2.001</t>
  </si>
  <si>
    <t>VZT AHU3.001</t>
  </si>
  <si>
    <t>17</t>
  </si>
  <si>
    <t>VZT AHU6.001</t>
  </si>
  <si>
    <t>1.20</t>
  </si>
  <si>
    <t>21</t>
  </si>
  <si>
    <t>Osvětlení</t>
  </si>
  <si>
    <t>0.16,17.22</t>
  </si>
  <si>
    <t>22</t>
  </si>
  <si>
    <t>23</t>
  </si>
  <si>
    <t>VZT KANÁL</t>
  </si>
  <si>
    <t>24</t>
  </si>
  <si>
    <t>0.10,11,12</t>
  </si>
  <si>
    <t>25</t>
  </si>
  <si>
    <t>0.02,08,09, 21,20</t>
  </si>
  <si>
    <t>26</t>
  </si>
  <si>
    <t>0.01,1.02</t>
  </si>
  <si>
    <t>27</t>
  </si>
  <si>
    <t>0.03-07</t>
  </si>
  <si>
    <t>28</t>
  </si>
  <si>
    <t>0.18,19</t>
  </si>
  <si>
    <t>29</t>
  </si>
  <si>
    <t>30</t>
  </si>
  <si>
    <t>31</t>
  </si>
  <si>
    <t>0.18</t>
  </si>
  <si>
    <t>32</t>
  </si>
  <si>
    <t>34</t>
  </si>
  <si>
    <t>0.13,14</t>
  </si>
  <si>
    <t>40</t>
  </si>
  <si>
    <t>Zásuvky 3f</t>
  </si>
  <si>
    <t>41</t>
  </si>
  <si>
    <t>42</t>
  </si>
  <si>
    <t>43</t>
  </si>
  <si>
    <t>44</t>
  </si>
  <si>
    <t>0.10</t>
  </si>
  <si>
    <t>45</t>
  </si>
  <si>
    <t>Zásuvky</t>
  </si>
  <si>
    <t>46</t>
  </si>
  <si>
    <t>47</t>
  </si>
  <si>
    <t>0.11</t>
  </si>
  <si>
    <t>48</t>
  </si>
  <si>
    <t>49</t>
  </si>
  <si>
    <t>0.19</t>
  </si>
  <si>
    <t>50</t>
  </si>
  <si>
    <t>51</t>
  </si>
  <si>
    <t>52</t>
  </si>
  <si>
    <t>53</t>
  </si>
  <si>
    <t>0.17,22</t>
  </si>
  <si>
    <t>54</t>
  </si>
  <si>
    <t>0.15,16</t>
  </si>
  <si>
    <t>55</t>
  </si>
  <si>
    <t>56</t>
  </si>
  <si>
    <t>VZT kanál</t>
  </si>
  <si>
    <t>57</t>
  </si>
  <si>
    <t>58</t>
  </si>
  <si>
    <t>60</t>
  </si>
  <si>
    <t>0.07</t>
  </si>
  <si>
    <t>61</t>
  </si>
  <si>
    <t>62</t>
  </si>
  <si>
    <t>63</t>
  </si>
  <si>
    <t>0.03,05,07</t>
  </si>
  <si>
    <t>64</t>
  </si>
  <si>
    <t>0.01,02,08, 09,20,21</t>
  </si>
  <si>
    <t>65</t>
  </si>
  <si>
    <t>0.12</t>
  </si>
  <si>
    <t>66</t>
  </si>
  <si>
    <t>ČERPADLO</t>
  </si>
  <si>
    <t>0.17</t>
  </si>
  <si>
    <t>67</t>
  </si>
  <si>
    <t>68</t>
  </si>
  <si>
    <t>0.16</t>
  </si>
  <si>
    <t>69</t>
  </si>
  <si>
    <t>70</t>
  </si>
  <si>
    <t>71</t>
  </si>
  <si>
    <t>80</t>
  </si>
  <si>
    <t>ČERPADLA</t>
  </si>
  <si>
    <t>81</t>
  </si>
  <si>
    <t>ATS</t>
  </si>
  <si>
    <t>82</t>
  </si>
  <si>
    <t>83</t>
  </si>
  <si>
    <t>84</t>
  </si>
  <si>
    <t>1780</t>
  </si>
  <si>
    <t>85</t>
  </si>
  <si>
    <t>1250</t>
  </si>
  <si>
    <t>86</t>
  </si>
  <si>
    <t>87</t>
  </si>
  <si>
    <t>88</t>
  </si>
  <si>
    <t>89</t>
  </si>
  <si>
    <t>90</t>
  </si>
  <si>
    <t>91</t>
  </si>
  <si>
    <t>PLOŠINA</t>
  </si>
  <si>
    <t>92</t>
  </si>
  <si>
    <t>ROZV.TV</t>
  </si>
  <si>
    <t>93</t>
  </si>
  <si>
    <t>Chl.j. ACC2.001</t>
  </si>
  <si>
    <t>VZT šachta</t>
  </si>
  <si>
    <t>94</t>
  </si>
  <si>
    <t>top.kabel</t>
  </si>
  <si>
    <t>95</t>
  </si>
  <si>
    <t>elektroventil</t>
  </si>
  <si>
    <t>0.01</t>
  </si>
  <si>
    <t>96</t>
  </si>
  <si>
    <t>101</t>
  </si>
  <si>
    <t>SF1</t>
  </si>
  <si>
    <t>102</t>
  </si>
  <si>
    <t>SF2</t>
  </si>
  <si>
    <t>103</t>
  </si>
  <si>
    <t>SF3</t>
  </si>
  <si>
    <t>104</t>
  </si>
  <si>
    <t>SF4</t>
  </si>
  <si>
    <t>105</t>
  </si>
  <si>
    <t>SF5</t>
  </si>
  <si>
    <t>106</t>
  </si>
  <si>
    <t>0.14</t>
  </si>
  <si>
    <t>D.1.4.6.204 Rozvaděč R1.1</t>
  </si>
  <si>
    <t>05</t>
  </si>
  <si>
    <t>1.34 Přívod</t>
  </si>
  <si>
    <t>CY 16(54)</t>
  </si>
  <si>
    <t>05.3</t>
  </si>
  <si>
    <t>1.34 DA2</t>
  </si>
  <si>
    <t>1.45 DA2</t>
  </si>
  <si>
    <t>1.38-40,42, 43,46</t>
  </si>
  <si>
    <t>1.36, 1.37(linka)</t>
  </si>
  <si>
    <t>1.35 (chodba)</t>
  </si>
  <si>
    <t>1.37,44,45</t>
  </si>
  <si>
    <t>Rekl.poutač</t>
  </si>
  <si>
    <t>1.46</t>
  </si>
  <si>
    <t>10</t>
  </si>
  <si>
    <t>1.42,43</t>
  </si>
  <si>
    <t>11</t>
  </si>
  <si>
    <t>1.36-38</t>
  </si>
  <si>
    <t>12</t>
  </si>
  <si>
    <t>1.37</t>
  </si>
  <si>
    <t>1.39,40</t>
  </si>
  <si>
    <t>1.35,46</t>
  </si>
  <si>
    <t>1.41,44</t>
  </si>
  <si>
    <t>1.44</t>
  </si>
  <si>
    <t>18</t>
  </si>
  <si>
    <t>1.45</t>
  </si>
  <si>
    <t>19</t>
  </si>
  <si>
    <t>FC</t>
  </si>
  <si>
    <t>1.44,45</t>
  </si>
  <si>
    <t>EZS</t>
  </si>
  <si>
    <t>EKV</t>
  </si>
  <si>
    <t>SLB</t>
  </si>
  <si>
    <t>CY 6(54)</t>
  </si>
  <si>
    <t>D.1.4.6.205 Rozvaděč R1.2</t>
  </si>
  <si>
    <t>0.13 Přívod</t>
  </si>
  <si>
    <t>05.4</t>
  </si>
  <si>
    <t>4.1</t>
  </si>
  <si>
    <t>DAT.ROZV.</t>
  </si>
  <si>
    <t>UTP</t>
  </si>
  <si>
    <t>4.2</t>
  </si>
  <si>
    <t>4.3</t>
  </si>
  <si>
    <t>4.4</t>
  </si>
  <si>
    <t>4.5</t>
  </si>
  <si>
    <t>4.6</t>
  </si>
  <si>
    <t>4.7</t>
  </si>
  <si>
    <t>4.8</t>
  </si>
  <si>
    <t>1.17 DA1</t>
  </si>
  <si>
    <t>1.35 DA2</t>
  </si>
  <si>
    <t>06</t>
  </si>
  <si>
    <t>1.25</t>
  </si>
  <si>
    <t>1.01,02</t>
  </si>
  <si>
    <t>Venkovní</t>
  </si>
  <si>
    <t>1.02 Recepce</t>
  </si>
  <si>
    <t>1.12,08,20, 21,34</t>
  </si>
  <si>
    <t>1.03</t>
  </si>
  <si>
    <t>1.18</t>
  </si>
  <si>
    <t>1.04</t>
  </si>
  <si>
    <t>20</t>
  </si>
  <si>
    <t>1.29</t>
  </si>
  <si>
    <t>1.05,06,09, 10</t>
  </si>
  <si>
    <t>1.05,06</t>
  </si>
  <si>
    <t>1.09,10</t>
  </si>
  <si>
    <t>1.07,11,13, 14,15,16</t>
  </si>
  <si>
    <t>1.28</t>
  </si>
  <si>
    <t>1.30-33</t>
  </si>
  <si>
    <t>1.02</t>
  </si>
  <si>
    <t>1.03,04,20</t>
  </si>
  <si>
    <t>1.33 Osoušeč</t>
  </si>
  <si>
    <t>1.31 Osoušeč</t>
  </si>
  <si>
    <t>1.21,22</t>
  </si>
  <si>
    <t>72</t>
  </si>
  <si>
    <t>FÉN</t>
  </si>
  <si>
    <t>73</t>
  </si>
  <si>
    <t>74</t>
  </si>
  <si>
    <t>75</t>
  </si>
  <si>
    <t>76</t>
  </si>
  <si>
    <t>77</t>
  </si>
  <si>
    <t>78</t>
  </si>
  <si>
    <t>79</t>
  </si>
  <si>
    <t>1.10 Osoušeč</t>
  </si>
  <si>
    <t>1.06 Osoušeč</t>
  </si>
  <si>
    <t>Vytáp.lavic</t>
  </si>
  <si>
    <t>Gener.p.lázně</t>
  </si>
  <si>
    <t>Dveř.clona</t>
  </si>
  <si>
    <t>1.01</t>
  </si>
  <si>
    <t>Plat.terminál</t>
  </si>
  <si>
    <t>výdej hodinek</t>
  </si>
  <si>
    <t>Zobrazovač</t>
  </si>
  <si>
    <t>1.02,04,22</t>
  </si>
  <si>
    <t>Signalizace</t>
  </si>
  <si>
    <t>Aut.splachovač</t>
  </si>
  <si>
    <t>1.10,33</t>
  </si>
  <si>
    <t>D.1.4.6.206 Rozvaděč R1.3</t>
  </si>
  <si>
    <t>1.34 DA1</t>
  </si>
  <si>
    <t>Ovladač</t>
  </si>
  <si>
    <t>1.02 DA1</t>
  </si>
  <si>
    <t>D.1.4.6.207 Rozvaděč R1.4</t>
  </si>
  <si>
    <t>1.28 DA2</t>
  </si>
  <si>
    <t>1.23,24,26, 27</t>
  </si>
  <si>
    <t>1.27</t>
  </si>
  <si>
    <t>1.23-25</t>
  </si>
  <si>
    <t>D.1.4.6.208 Rozvaděč R2.1</t>
  </si>
  <si>
    <t>05.5</t>
  </si>
  <si>
    <t>1.29 bazén DA4</t>
  </si>
  <si>
    <t>1.29 bazén DA8</t>
  </si>
  <si>
    <t>1.29 bazén DA9</t>
  </si>
  <si>
    <t>1.29 bazén DA10</t>
  </si>
  <si>
    <t>2.21.29.33,34 DA5</t>
  </si>
  <si>
    <t>1.29 Bazén DA3</t>
  </si>
  <si>
    <t>950W</t>
  </si>
  <si>
    <t>1250W</t>
  </si>
  <si>
    <t>RGB LED</t>
  </si>
  <si>
    <t>2.34</t>
  </si>
  <si>
    <t>2.33</t>
  </si>
  <si>
    <t>2.06</t>
  </si>
  <si>
    <t>2.02-05</t>
  </si>
  <si>
    <t>2.07,08</t>
  </si>
  <si>
    <t>2.09,10</t>
  </si>
  <si>
    <t>2.11,12</t>
  </si>
  <si>
    <t>2.01,06</t>
  </si>
  <si>
    <t>2.03 Osoušeč</t>
  </si>
  <si>
    <t>2.04 Osoušeč</t>
  </si>
  <si>
    <t>Podl.vytápění</t>
  </si>
  <si>
    <t>2.02,35</t>
  </si>
  <si>
    <t>2.15</t>
  </si>
  <si>
    <t>Aut. Splachovač</t>
  </si>
  <si>
    <t>2.19</t>
  </si>
  <si>
    <t>Žaluzie</t>
  </si>
  <si>
    <t>2.33,34</t>
  </si>
  <si>
    <t>Odvlhčení</t>
  </si>
  <si>
    <t>D.1.4.6.209 Rozvaděč R2.2</t>
  </si>
  <si>
    <t>OS2</t>
  </si>
  <si>
    <t>2.13,15,20 DA6</t>
  </si>
  <si>
    <t>2.21 DA7</t>
  </si>
  <si>
    <t>2.13,15</t>
  </si>
  <si>
    <t>2.20</t>
  </si>
  <si>
    <t>2.21</t>
  </si>
  <si>
    <t>2.17</t>
  </si>
  <si>
    <t>2.20 LED</t>
  </si>
  <si>
    <t>2.21 6xL2</t>
  </si>
  <si>
    <t>2.21 LED Vířiv.</t>
  </si>
  <si>
    <t>2.21 LED RGB</t>
  </si>
  <si>
    <t>2.21 3xL4</t>
  </si>
  <si>
    <t>2.22,29,30</t>
  </si>
  <si>
    <t>2.14,16,18, 19</t>
  </si>
  <si>
    <t>VÝŘIVKA</t>
  </si>
  <si>
    <t>LEDOVAČ</t>
  </si>
  <si>
    <t>2.22</t>
  </si>
  <si>
    <t>33</t>
  </si>
  <si>
    <t>KNEIPP</t>
  </si>
  <si>
    <t>Gen.par.lázně</t>
  </si>
  <si>
    <t>GENERÁTOR</t>
  </si>
  <si>
    <t>36</t>
  </si>
  <si>
    <t>VYTÁPĚNÍ LAVIC</t>
  </si>
  <si>
    <t>37</t>
  </si>
  <si>
    <t>38</t>
  </si>
  <si>
    <t>INFRALAVICE</t>
  </si>
  <si>
    <t>39</t>
  </si>
  <si>
    <t>BIO TOPIDLO</t>
  </si>
  <si>
    <t>TOPIDLO</t>
  </si>
  <si>
    <t>REZERVA</t>
  </si>
  <si>
    <t>NOUZ.OSV.</t>
  </si>
  <si>
    <t>2.24,25,26</t>
  </si>
  <si>
    <t>V05 SS</t>
  </si>
  <si>
    <t>Naviják</t>
  </si>
  <si>
    <t>2.15,16,17</t>
  </si>
  <si>
    <t>59</t>
  </si>
  <si>
    <t>2.18 Osoušeč</t>
  </si>
  <si>
    <t>2.19 Osoušeč</t>
  </si>
  <si>
    <t>D.1.4.6.210 Rozvaděč R2.3</t>
  </si>
  <si>
    <t>ACC1.001</t>
  </si>
  <si>
    <t>Střecha</t>
  </si>
  <si>
    <t>AHU5.003</t>
  </si>
  <si>
    <t>ACC 3.001</t>
  </si>
  <si>
    <t>VPUST</t>
  </si>
  <si>
    <t>D.1.4.6.211 Rozvaděč RP</t>
  </si>
  <si>
    <t>0.13 Přívod 1</t>
  </si>
  <si>
    <t>107</t>
  </si>
  <si>
    <t>VENEK Přívod 2</t>
  </si>
  <si>
    <t>UPS 10kW/3f</t>
  </si>
  <si>
    <t>0.14 Vývod</t>
  </si>
  <si>
    <t>CGSG</t>
  </si>
  <si>
    <t>DT1 (MaR)</t>
  </si>
  <si>
    <t>0.15 Vývod</t>
  </si>
  <si>
    <t>D.1.4.6.212 Rozvaděč RU</t>
  </si>
  <si>
    <t>0.14 Přívod</t>
  </si>
  <si>
    <t>ČERP.STANICE</t>
  </si>
  <si>
    <t>TURNIKET</t>
  </si>
  <si>
    <t>VENEK</t>
  </si>
  <si>
    <t>PLAT.TERM.</t>
  </si>
  <si>
    <t>2.16</t>
  </si>
  <si>
    <t>DT3 (MaR)</t>
  </si>
  <si>
    <t>Ventilátor</t>
  </si>
  <si>
    <t>Total stop</t>
  </si>
  <si>
    <t>Sepni při požáru</t>
  </si>
  <si>
    <t>Nouzové osvětlení</t>
  </si>
  <si>
    <t>Výkop kabelové rýhy</t>
  </si>
  <si>
    <t>35/60</t>
  </si>
  <si>
    <t>zemina 4</t>
  </si>
  <si>
    <t>mo</t>
  </si>
  <si>
    <t>Zahoz ryhy</t>
  </si>
  <si>
    <t>Celkem zemní práce</t>
  </si>
  <si>
    <t>Technické specifikace a technické standardy</t>
  </si>
  <si>
    <t>Tato specifikace musí být nedílnou součástí výpisu materiálu pro výběr dodavatele. Veškeré výrobky musí být určeny</t>
  </si>
  <si>
    <t>k zabudování do staveb, musí být schváleny pro použití v ČR a musí být použity stanoveným způsobem k výrobcem</t>
  </si>
  <si>
    <t>stanovenému účelu a předpokládanému použití.</t>
  </si>
  <si>
    <t>Popis standardu</t>
  </si>
  <si>
    <t>Ukázka</t>
  </si>
  <si>
    <t>Materiál nosný kusový</t>
  </si>
  <si>
    <t>Kompletní spínač pro zapuštěnou montáž složený z přístroje spínače řazení dle soupisu výměr 10A , 250V, pro bezšroubové připojení vodičů, krytu pro spínač a rámečku, jednonásobný (vícenásobný) rámeček pro vodorovnou montáž, barva bílá. Kompletní dodávka.</t>
  </si>
  <si>
    <t>Kompletní spínač pro přisazenou montáž s řazením kontaktů dle soupisu výměr 10A , 250V, barva bílá. IP44 Kompletní dodávka.</t>
  </si>
  <si>
    <t>Spínač pro přisazenou montáž, řazení dle soupisu výměr IP44, 10A, 250V AC, Upevnění šrouby, šroubové svorky (pro vodiče 1-2,5 mm²). Barva bílá</t>
  </si>
  <si>
    <t>Kompletní zásuvka pro zapuštěnou montážsložená z vlastní zásuvky 2P+PE 16A, 250V  a rámečku, jednonásobný (vícenásobný) rámeček pro vodorovnou montáž. Kompletní dodávka včetně zapojení.</t>
  </si>
  <si>
    <t>Zásuvka s ochranným kolíkem, s ochranou před přepětím, 2P+PE 250V/16A.. Jmenovitý výbojový proud 1,5kA(L/PE, L/N), 5kA(N/PE); maximální výbojový proud 5kA(L/PE, L/N), 10kA(N/PE); kombinovaný impulz 3kV(L/PE, L/N), 10kV(N/PE); ochranná úroveň &lt;800V(L/N), &lt;1,2kV(L/PE, N/PE);doba odezvy &lt;25ns(L/N), &lt;100ns(L/PE, N/PE). Maximální průřez vodičů 2,5mm2. Kompletní dodávka.</t>
  </si>
  <si>
    <t xml:space="preserve">Zásuvka zapuštěná jednonásobná IP 44, s ochranným kolíkem, s clonkami, s víčkem 16 A, 250 V AC Upevnění šrouby nebo drápky. Šroubové svorky (pro vodiče 1,5-2,5 mm²). Přístroj splňuje stupeň krytí IP 44 přimontáži na svislou, hladkou a neporézní stěnu. Řazení:2P+PE </t>
  </si>
  <si>
    <t>Zásuvka IP44 s ochranným kolíkem, s clonkami, s víčkem. 16A/250V AC. Montáž na svislou, hledkou a neporézní stěnu. Barva bílá. Řazení 2P+PE.</t>
  </si>
  <si>
    <t>1.24</t>
  </si>
  <si>
    <t>Zásuvka jednonásobná pro zapuštěnou montáž s ochranným kolíkem 250V/16A. V barvách (bílá, zelená, žlutá a oranžová) dle výkazu. S optickou signalizací signalizací přítomnosti napětí. Pro osazení do společných rámečeků. Kompletní dodávka včetně zapojení.</t>
  </si>
  <si>
    <t>Zásuvka průmyslová IP 44, nástěnná. 16 A, 380-415 V AC. 3P+N+PE
Bezšroubové svorky (pro vodiče 1-2,5 mm²).</t>
  </si>
  <si>
    <t>Zásuvka průmyslová IP 44, nástěnná. 32 A, 380-415 V AC. 3P+N+PE
Bezšroubové svorky (pro vodiče 2,5-6 mm²).</t>
  </si>
  <si>
    <r>
      <t xml:space="preserve">Přístrojová krabice univerzální pro všechny přístroje s osovou vzdáleností 71mm pro rozvody 400V/16A pod omítku. krabice lze spojit v souvislou řadu. Rozměry </t>
    </r>
    <r>
      <rPr>
        <sz val="10"/>
        <rFont val="Calibri"/>
        <family val="2"/>
        <charset val="238"/>
      </rPr>
      <t>Ø</t>
    </r>
    <r>
      <rPr>
        <sz val="10"/>
        <rFont val="Times New Roman"/>
        <family val="1"/>
        <charset val="238"/>
      </rPr>
      <t xml:space="preserve">73 x 42mm. Vstupní otvory 6x Ø20mm, 1x Ø7x20. Materiál tvrdý samozhášivý polyvinylchlorid s teplotní odolností -5° až +60°. Dle ČSN zkouška žhavou smyčkou 850°. Odolnost proti nadměrnému teplu a hoření dle ČSN 370100 čl.75 a ČSN 33 2312 tab.1. vyhovují pro montáž na a do hmot stupně hořlavosti A-C2. </t>
    </r>
  </si>
  <si>
    <t>1.31</t>
  </si>
  <si>
    <t>Krabice s průchodkami a svorkovnicí pro povrchovou montáž do prostředí se zvýšenou vlhkostí, prachem, chemickou a korozní agresivitou nebo se zvýšeným nebezpečím mechanického poškození.. Průchodky pro vstup trubky nebo kabelů. Rozměry 95x95x50. Otvory 4x20mm. Barva RAL 7012. Materiál tvrdý samozhášivý polyvinylchlorid s teplotní odolností -5°C až 60°C. Dle ČSN 332312 tab.1 vyhovuje pro montáž na/do stavebních hmot stupně hořlavosti A-C2. Určeno pro rozvody 400V/16A. Dle ČSN zkouška žhavou smyčkou 650°. Krytí IP54.</t>
  </si>
  <si>
    <t>1.32</t>
  </si>
  <si>
    <t>Rozvodná krabice s víčkem pro rozvody 400V/16A pod omítku. Rozměry 150x150x77mm. Vstupní otvory 8x D=16-32mm, 4x D=16mm, 2x D=20mm. Materiál tvrdý samozhášivý polyvinylchlorid s teplotní odolností -5° až +60°. Dle ČSN zkouška žhavou smyčkou 850°. Odolnost proti nadměrnému teplu a hoření dle ČSN 370100 čl.75 a ČSN 33 2312 tab.1. vyhovují pro montáž na a do hmot stupně hořlavosti A-C2.</t>
  </si>
  <si>
    <t xml:space="preserve">Rozvodná krabice s víčkem a svorkovnicí 400V/16A pod omítku.. Rozměry D=73mm x 42mm. Vstupní otvory 6x D=20. Materiál tvrdý samozhášivý polyvinylchlorid s teplotní odolností -5° až +60°. Dle ČSN zkouška žhavou smyčkou 850°. Odolnost proti nadměrnému teplu a hoření dle ČSN 370100 čl.75 a ČSN 33 2312 tab.1. vyhovují pro montáž na a do hmot stupně hořlavosti A-C2. </t>
  </si>
  <si>
    <t>Kabelová krabicová rozvodka plechová. Odbočná krabice 90 min s prodlouženou funkčností při požáru. 4 x 1,5 mm². Spojovací svorka ze žáruvzdorné keramiky. Oranžová, RAL 2003. 400V IP66</t>
  </si>
  <si>
    <r>
      <t xml:space="preserve">Přístrojová krabice s víčkem univerzální pro rozvody 400V/16A pod omítku. krabice lze spojit v souvislou řadu. Rozměry </t>
    </r>
    <r>
      <rPr>
        <sz val="10"/>
        <rFont val="Calibri"/>
        <family val="2"/>
        <charset val="238"/>
      </rPr>
      <t>Ø</t>
    </r>
    <r>
      <rPr>
        <sz val="10"/>
        <rFont val="Times New Roman"/>
        <family val="1"/>
        <charset val="238"/>
      </rPr>
      <t xml:space="preserve">73 x 42mm. Vstupní otvory 6x Ø20mm, 1x Ø7x20. Materiál tvrdý samozhášivý polyvinylchlorid s teplotní odolností -5° až +60°. Dle ČSN zkouška žhavou smyčkou 850°. Odolnost proti nadměrnému teplu a hoření dle ČSN 370100 čl.75 a ČSN 33 2312 tab.1. vyhovují pro montáž na a do hmot stupně hořlavosti A-C2. </t>
    </r>
  </si>
  <si>
    <t>1.36</t>
  </si>
  <si>
    <t>Rozvodná krabice s víčkem pro rozvody 400V/16A pod omítku. Rozměry 255x205x68mm. Materiál tvrdý samozhášivý polyvinylchlorid s teplotní odolností -5° až +60°. Dle ČSN zkouška žhavou smyčkou 850°. Odolnost proti nadměrnému teplu a hoření dle ČSN 370100 čl.75 a ČSN 33 2312 tab.1. vyhovují pro montáž na a do hmot stupně hořlavosti A-C2.</t>
  </si>
  <si>
    <t>Příchytky kabelů pro uložení kabelů pro povrchovou montáž. Příchytky uchyceny na povrch šrouby s hmoždinkami.</t>
  </si>
  <si>
    <t>Příchytky kabelů s funkční odolností při požáru E90 pro uložení kabelů pro povrchovou montáž. Příchytky uchyceny na povrch šrouby s kovovými hmoždinkami.</t>
  </si>
  <si>
    <t>Protipožární malta pro utěsnění středně velkých až velmi velkých prostupů kabelových tras. V případě nutnosti zajistí možnost dodatečných změn na vedení instalací. Vhodné i do prostor s vlivem vlhkosti nebo mechanického poškození. Vhodné pro požárně dělící konstrukce z materiálů jako je např. beton, pórobeton, zdivo. Pro EI 60 minut stěny s tloušťkou od 100mm a stropy o síle 100mm. Neobsahuje azbest, fenoly, halogeny a rozpoštědla. Nepropouští kouř a je odolná proti vodě.</t>
  </si>
  <si>
    <t>1.60</t>
  </si>
  <si>
    <t xml:space="preserve">Zemnící svorka pro připojení ochranného vodiče na kovové předměty a konstrukce kruhového tvaru. Svorka se skládá z vlastní svorky (vnitřní a vnější část), dvou příložek a jednoho šroubu (tyto části jsou ocelové a galvanicky pokoveny ZnCr), dvě matice M6 pro připevnění vodiče mezi příložky svorky. Připojitelnost vodičů 2,5-16mm2. </t>
  </si>
  <si>
    <t>1.61</t>
  </si>
  <si>
    <t>měděná páska délky 0,5m o rozměrech 0,3x15mm. Páska určená pro použití spolu se zemnící svorkou. Standard 1.60</t>
  </si>
  <si>
    <t>Spínač, Odpínač 20A 2P otočný v krytu IP67, barva šedá, 65x92x84 mm, Spínací schopnost pro AC-22A = 20A/240V, pro AC-23A = 9,8A/240V</t>
  </si>
  <si>
    <t>Materiál nosný délkový</t>
  </si>
  <si>
    <t>Celoplastový PVC kabel, Pro pevné uložení ve vnitřních a venkovních prostorách, v zemi, v betonu. Kabely jsou odolné proti UV záření a proti šíření plamene dle ČSN EN 50 265-2-1. Zkušební napětí  4 kV. Rozsah teplot při provozu -35 až +70 °C</t>
  </si>
  <si>
    <t>Silový kabel s malým množstvím uvolneného tepla v prípade požáru, splňující zkoušku z hlediska reakce na oheň  B2ca,S1,d0 dle vyhlášky MV 23/2008 Sb. Jmenovité napetí: 0,6/1 kV, Zkušební napetí: 4 kV/50 Hz, Rozsah provozních teplot: –30 °C až +90 °C</t>
  </si>
  <si>
    <t>Silový kabel s malým množstvím uvolneného tepla v prípade požáru a se zachováním funkcní schopnosti kabelového systému podle ZP 27/2008, splňující zkoušku z hlediska reakce na oheň  B2ca,S1,d0 dle vyhlášky MV 23/2008 Sb. Jmenovité napetí: 0,6/1 kV, Zkušební napetí: 4 kV/50 Hz, Rozsah provozních teplot: –30 °C až +90 °C</t>
  </si>
  <si>
    <t xml:space="preserve">Kabel s Cu jádrem pro pevné uložení. Izolace je z PVC typu TI 1 podle ČSN 347410-1. Barva izolace zelená/žlutá. Jmenovité napětí 450/750V. Zkušební napětí 2kV. Teplotní odolnost -30° až +70 °. Min.dovolená teplota pro pokládku kabelů je +4°. Max. dovolená teplota jádra než jištění vypne zkrat +160°. </t>
  </si>
  <si>
    <t>2.39</t>
  </si>
  <si>
    <t>Sdělovací kabel pro vnitřní uložení. Elektrovodivé jádro v Cu drátu tř.1 dle ČSN EN 60228, HD383. Izolace žil z PE směsi. Plášť z PVC směci. Odolný proti šíření plamene dle ČSN EN 50265-2. Musí splnit zkoušku kabelů z hlediska reakce na oheň  B2ca,S1,d0 dle vyhlášky MV 23/2008 Sb.</t>
  </si>
  <si>
    <t>Tuhá elektroinstalační trubka. Materiál PVC samozhášivé, odolné proti šíření plamene, střední mechanická odolnost 750N/5cm. Tmavě šedá barva RAL 7012. Pro instalaci na povrch, do omítky, nebo pod omítku. Vhodné promontáž do dutých zdí, příček a stropů a do betonu.</t>
  </si>
  <si>
    <t>Ohebná elektroinstalační trubka. Materiál PVC samozhášivé, střední mechanická odolnost 750N/5cm. Tmavě šedá barva RAL 7012. Pro instalaci na povrch, do omítky, nebo pod omítku. Vhodné promontáž do dutých zdí, příček a stropů a do betonu.</t>
  </si>
  <si>
    <t>2.65</t>
  </si>
  <si>
    <t>Ohebná elektroinstalační trubka. Materiál samozhášivé PVC, nízká mechanická odolnost 320N/5cm. Tmavě šedá barva RAL 7038. Pro instalaci na povrch, do omítky, nebo pod omítku. Vhodné promontáž do dutých zdí, příček a stropů.</t>
  </si>
  <si>
    <t>2.67</t>
  </si>
  <si>
    <t>Kabelový žlab drátěný. Povrchová úprava žárovým pozinkováním. Kabelový žlab včetně příchytek a nosníků.</t>
  </si>
  <si>
    <t>2.68</t>
  </si>
  <si>
    <t>Kabelový rošt pro uložení kabelů. Certifikovaný jako oheňodolný</t>
  </si>
  <si>
    <t>2.70</t>
  </si>
  <si>
    <t>Kabelový žlab . Certifikovaný jako ohniodolný</t>
  </si>
  <si>
    <t>2.71</t>
  </si>
  <si>
    <t>Korugovaná dvouplášová chránička pro mechanickou ochranu všech druhů energetických a telekomunikačních vedení. Vnější plášť trubky je vyroben z HDPE, vnitřní z LDPE. Vnitřní stìna mírně zvlněná. Vysoká ohebnost trubky i při velmi malých poloněrech ohybu. Pevnost v tlaku &gt;450 N, teplotní rozmezí -45 °C až +50 °C,  krytí: IP 67 - při použití těstnících kroužků.</t>
  </si>
  <si>
    <t>2.72</t>
  </si>
  <si>
    <t>Korugovaná dvouplášová chránička pro mechanickou ochranu všech druhů energetických a telekomunikačních vedení. Vnější i vnitřní plášť trubky je vyroben z HDPE. Pevnost v tlaku &gt;450 N, teplotní rozmezí -45 °C až +50 °C,  krytí: IP 67 - při použití těstnících kroužků.</t>
  </si>
  <si>
    <t>2.73</t>
  </si>
  <si>
    <r>
      <t xml:space="preserve">Dělaná chránička pro mechanickou ochranu všech druhů energetických a telekomunikačních vedení. Materiál bezhalogenový polyethylen HDPE. Pevnost v tlaku </t>
    </r>
    <r>
      <rPr>
        <sz val="10"/>
        <rFont val="Calibri"/>
        <family val="2"/>
        <charset val="238"/>
      </rPr>
      <t>Ø</t>
    </r>
    <r>
      <rPr>
        <sz val="10"/>
        <rFont val="Times New Roman"/>
        <family val="1"/>
        <charset val="238"/>
      </rPr>
      <t xml:space="preserve"> 110 (06110/2) &gt;450 N, Ø 160 (06160/2) &gt;750 N. teplotní rozmezí -45 °C až +75 °C,  krytí: IP 30.</t>
    </r>
  </si>
  <si>
    <t>Devíti komorový plastový multikanál. Tento multikanál musí z hlediska technických parametrů odpovídat stávajícímu mutikanálu, kterým je předpřipravena trasa z objektu SO101 do řešeného objektu, na který se bude navazovat.</t>
  </si>
  <si>
    <t>Kabely při průchodu stěnami tvořícími hranici požárních úseků budou utěsněny vhodnou protipožární technologií</t>
  </si>
  <si>
    <t xml:space="preserve">Označení vodičů a kabelů (jako CY, CYKY apod.) je myšleno jako konstrukční typ kabelu běžný v ČR. Neznamená </t>
  </si>
  <si>
    <t>značení žádného konkrétního výrobce nebo dodavatele.</t>
  </si>
  <si>
    <t>Hromosvod+uzemnění</t>
  </si>
  <si>
    <t>5.1</t>
  </si>
  <si>
    <t>Svorka spojovací 50x40 , žárově zinkováno pro spojování kruhových vodičů a spojení s plochým materiálem</t>
  </si>
  <si>
    <t>5.2</t>
  </si>
  <si>
    <t>Svorka křížová , 55x55, žárově zinkováno pro křížové propojování kruhových vodičů hromosvodné soustavy</t>
  </si>
  <si>
    <t>5.3</t>
  </si>
  <si>
    <t>Svorka pripojovaci 78x40x35 , žárově zinkováno pro připojení kruhového vodiče ke kovovým částem objeketů.</t>
  </si>
  <si>
    <t>5.4</t>
  </si>
  <si>
    <t>Svorka univerzální 45x40x45 , žárově zinkováno pro spojení souběžné, křížové, ve tvaru T, souosé a s plochým materiálem.</t>
  </si>
  <si>
    <t>5.7</t>
  </si>
  <si>
    <t>Podpěra vedení na ploché střechy. Plastová podpěra s dvojitým úchytem se zátěží z mrazuvzdorného betonu. Hmotnost 1kg. Materiál plast, uchycení vodiče volné. Rozsah uchycení 8mm.</t>
  </si>
  <si>
    <t>5.14</t>
  </si>
  <si>
    <t>Stojan Fe/Zn pro jímací tyč k uchycení na ploché střeše</t>
  </si>
  <si>
    <t>5.15</t>
  </si>
  <si>
    <t>Podstavec betonový k uchycení jímací tyče na ploché střeše včetně podložky zabraňující poškození střešní krytiny. Materiál vibrolitý beton, žárově pozinkovaná ocel, podložka z recyklované pryže.</t>
  </si>
  <si>
    <t>5.16</t>
  </si>
  <si>
    <t>Jímací hromosvodná tyč s rovným koncem pro uchycení na ploché střechy. Délka dle specifikace.</t>
  </si>
  <si>
    <t>5.50</t>
  </si>
  <si>
    <t xml:space="preserve">Typizovaná hromosvodná krabice pro zapuštěnou montáž se zkušební svorkou a nerezovým víkem o rozměrech 140 x 140 x 68 mm. </t>
  </si>
  <si>
    <t>Rozvaděče, přístroje do rozvaděčů (Specifikace)</t>
  </si>
  <si>
    <t>6.01</t>
  </si>
  <si>
    <t>Proudový chránič 4 pólový. Rázová odolnost 0,25kA. Jmenovitý podmíněný zkratový proud 10kA. Jmenovité pracovní napětí 230/400V. Min. provozní napětí 100V AC. Jmenovitý reziduální proud 0,03A. Mechanická životnost &gt;10 000 cyklů. Připojení tuhým vodičem 1-25mm2. Teplota okolí -25° až +45°C. Instalace na DIN lištu.</t>
  </si>
  <si>
    <t>Proudový chránič 4 pólový. Rázová odolnost 0,25kA. Necitlivost na nežádoucí vybavení (typ G). Jmenovitý podmíněný zkratový proud 10kA. Jmenovité pracovní napětí 230/400V. Min. provozní napětí 100V AC. Jmenovitý reziduální proud 0,03A. Mechanická životnost &gt;10 000 cyklů. Připojení tuhým vodičem 1-25mm2. Teplota okolí -25° až +45°C. Instalace na DIN lištu.</t>
  </si>
  <si>
    <t>6.03</t>
  </si>
  <si>
    <t>Proudový chránič 4 pólový. Rázová odolnost 0,25kA. Necitlivost na nežádoucí vybavení (typ G). Reagují jak na sinusové střídavé reziduální proudy, tak i na pulzující stejnosměrné reziduální proudy (typ A). Jmenovitý podmíněný zkratový proud 10kA. Jmenovité pracovní napětí 230/400V. Min. provozní napětí 100V AC. Jmenovitý reziduální proud 0,03A. Mechanická životnost &gt;10 000 cyklů. Připojení tuhým vodičem 1-25mm2. Teplota okolí -25° až +45°C. Instalace na DIN lištu.</t>
  </si>
  <si>
    <t>6.05</t>
  </si>
  <si>
    <t>Proudový chránič 2 pólový. Rázová odolnost 0,25kA. Reagují jak na sinusové střídavé reziduální proudy, tak i na pulzující stejnosměrné reziduální proudy (typ A). Jmenovitý podmíněný zkratový proud 10kA. Jmenovité pracovní napětí 230/400V. Min. provozní napětí 100V AC. Jmenovitý reziduální proud 0,03A. Mechanická životnost &gt;10 000 cyklů. Připojení tuhým vodičem 1-25mm2. Teplota okolí -25° až +45°C. Instalace na DIN lištu.</t>
  </si>
  <si>
    <t>Proudový chránič 2 pólový s nadproudovou ochranou s jmenovitým proudem a vypínací nadproudovou charakteristikou dle výkazu. Rázová odolnost 0,25kA. Jmenovitý podmíněný zkratový proud 10kA. Jmenovité pracovní napětí 230/400V. Min. provozní napětí 100V AC. Jmenovitý reziduální proud 0,03A. Mechanická životnost &gt;10 000 cyklů. Připojení tuhým vodičem 1-25mm2. Teplota okolí -25° až +45°C. Instalace na DIN lištu.</t>
  </si>
  <si>
    <t>6.11</t>
  </si>
  <si>
    <t>Proudový chránič 2 pólový s nadproudovou ochranou s jmenovitým proudem a vypínací nadproudovou charakteristikou dle výkazu. Rázová odolnost 0,25kA. Reagující jak na sinusové střídavé reziduální proudy, tak i na pulzující stejnosměrné reziduální proudy (typ A). Jmenovitý podmíněný zkratový proud 10kA. Jmenovité pracovní napětí 230/400V. Min. provozní napětí 100V AC. Jmenovitý reziduální proud 0,03A. Mechanická životnost &gt;10 000 cyklů. Připojení tuhým vodičem 1-25mm2. Teplota okolí -25° až +45°C. Instalace na DIN lištu.</t>
  </si>
  <si>
    <t>Proudový chránič 2 pólový s nadproudovou ochranou s jmenovitým proudem a vypínací nadproudovou charakteristikou dle výkazu. Rázová odolnost 0,25kA. Necitlivost na nežádoucí vybavení (typ G). Jmenovitý podmíněný zkratový proud 10kA. Jmenovité pracovní napětí 230/400V. Min. provozní napětí 100V AC. Jmenovitý reziduální proud 0,03A. Mechanická životnost &gt;10 000 cyklů. Připojení tuhým vodičem 1-25mm2. Teplota okolí -25° až +45°C. Instalace na DIN lištu.</t>
  </si>
  <si>
    <t>Instalační jistič s počtem pólů, jmenovitým proudem a vypínací charakteristikou dle výkazu výměr. Jističe s jmenovitou zkratovou schopností 10kA pro domovní, komerční a průmyslové elektrické rozvody 230/400V AC. Instalace na DIN lištu 35mm. Pracovní teplota -20° až +55°. Trvanlivost 10 000 cyklů. Třída omezení energie 3. Kategorie přepětí IV. Krytí IP20. Připojení plnými vodiči 0,5-25mm2.</t>
  </si>
  <si>
    <t>6.21</t>
  </si>
  <si>
    <t>Instalační jistič s počtem pólů, jmenovitým proudem (40 až 125A) a vypínací charakteristikou dle výkazu výměr. Rozteč vývodů 27mm. Jističe s jmenovitou zkratovou schopností 10kA pro domovní, komerční a průmyslové elektrické rozvody 230/400V AC. Instalace na DIN lištu 35mm. Pracovní teplota -20° až +55°. Trvanlivost 10 000 cyklů. Třída omezení energie 3. Kategorie přepětí IV. Krytí IP20. Připojení plnými vodiči 0,5-50mm2.</t>
  </si>
  <si>
    <t>6.31</t>
  </si>
  <si>
    <t>Válcová pojistková vložka 10x38  do 32A s jmenovitý proudem a charakteristikou dle výkazu výměr. Jmenovité napětí AC 500V. Vypínací schopnost 100 kA.</t>
  </si>
  <si>
    <t>Válcová pojistková vložka 14x51  do 63A s jmenovitý proudem a charakteristikou dle výkazu výměr. Jmenovité napětí AC 500V. Vypínací schopnost 100 kA.</t>
  </si>
  <si>
    <t>Válcová pojistková vložka 22x58  do 125A s jmenovitý proudem a charakteristikou dle výkazu výměr. Jmenovité napětí AC 500V. Vypínací schopnost 100 kA.</t>
  </si>
  <si>
    <t>6.41</t>
  </si>
  <si>
    <t xml:space="preserve">Pojistkový odpínač pro válcové pojistky 10x38 do jmenovitého proudu 32A . Počet pólů dle výkazu výměr. Jmenovité izolační napětí. 800V. Krytí IP20. Pracovní teplota okolí -25°-+55°. Impulzní výdržné napětí 4kV. Instalace na DIN lištu. </t>
  </si>
  <si>
    <t xml:space="preserve">Pojistkový odpínač pro válcové pojistky 14x51 do jmenovitého proudu 63A . Počet pólů dle výkazu výměr. Jmenovité izolační napětí. 800V. Krytí IP20. Pracovní teplota okolí -25°-+55°. Impulzní výdržné napětí 4kV. Instalace na DIN lištu. </t>
  </si>
  <si>
    <t xml:space="preserve">Pojistkový odpínač pro válcové pojistky 22x58 do jmenovitého proudu 125A . Počet pólů dle výkazu výměr. Jmenovité izolační napětí. 800V. Krytí IP20. Pracovní teplota okolí -25°-+55°. Impulzní výdržné napětí 4kV. Instalace na DIN lištu. </t>
  </si>
  <si>
    <t>Pojistkový odpínač pro 3x nožové pojistky velikosti 000 do jmenovitého proudu 160A . Jmenovité izolační napětí. 800V. Jmenovitý podmíněný zkratový proud (efektivní hodnota pro AC 400 V / 160 A) = 120 kA, Krytí IP20. Pracovní teplota okolí -25°-+55°.</t>
  </si>
  <si>
    <t>6.45</t>
  </si>
  <si>
    <t>Pojistkový odpínač pro 3x nožové pojistky velikosti 1 do jmenovitého proudu 250A . Jmenovité izolační napětí. 800V. Jmenovitý podmíněný zkratový proud (efektivní hodnota pro AC 400 V / 160 A) = 120 kA, Krytí IP20. Pracovní teplota okolí -25°-+55°.</t>
  </si>
  <si>
    <t>Spínač s jmenovitým praovním proudem do 63A. S počtem pólů a jmenovitým proudem dle výkazu výměr. Jmenovité pracovní napětí 230V/400V. Jmenovitý kmitočet 40 až 60Hz. Jmenovitý podmíněný zkratový proud 10kA. Mechanická trvanlivost 20 tis. Cyklů. Elektrická trvanlivost 4 tis. Cyklů. Jmenovité impulsní výdržné napětí 6kV. Kategorie přepětí IV. Montáž na lištu DIN. Krytí IP20. Připojitelnost 0,5 až 25mm2. Teplota okolí -20°C až +55°C.</t>
  </si>
  <si>
    <t>Spínač s jmenovitým praovním proudem 125A a počtem pólů dle výkazu výměr. Jmenovité pracovní napětí 230V/400V. Jmenovitý kmitočet 40 až 60Hz. Jmenovitý podmíněný zkratový proud 10kA. Mechanická trvanlivost 20 tis. Cyklů. Elektrická trvanlivost 4 tis. Cyklů. Jmenovité impulsní výdržné napětí 6kV. Kategorie přepětí IV. Montáž na lištu DIN. Krytí IP20. Připojitelnost 1,5 až 50mm2. Teplota okolí -20°C až +55°C.</t>
  </si>
  <si>
    <t>6.60</t>
  </si>
  <si>
    <t>Svodič bleskových proudů, první stupeň v třístupňové ochraně před přepětím – typ 1 podle ČSN EN 61643-11. zapouzdřené jiskřiště s elektronicky řízenou zapalovací spouští schopné svádět bleskové proudy do 25 kA (10/350μs). Schopnost zhášet následný proud až do 50 kA.</t>
  </si>
  <si>
    <t>Kombinovaný svodič bleskových proudů a přepětí. Jako první a druhý stupeň v třístupňové ochraně před přepětím – typ 1 a typ 2 podle ČSN EN 61643-11. Prvky tvoří zapouzdřené jiskřiště s elektronicky řízenou zapalovací spouští schopné svádět bleskové proudy až do 25 kA (10/350 μs) a k němu paralelně řazený varistor s rychlejší reakční dobou (25 ns). Schopnost zhášet následný zkratový proud až do 25 kA bez výfuku ionizovaného plynu.</t>
  </si>
  <si>
    <t>Svodič přepětí.  Druhý stupeň v 3 stupňové ochraně před přepětím - typ 2 podle ČSN EN 61643-11.  Hlavní prvek tvoří varistor, schopný svádět impulzní proudy do 40 kA (8/20 μs).   Možnost montáže do běžných rozvodnic a rozváděčových skříní.  Konstrukce dvoudílná, sestávající se ze základny a výměnného modulu s vlastním varistorem.   Dálková a vizuální signalizace stavu odpojovacího zařízení.</t>
  </si>
  <si>
    <t>6.101</t>
  </si>
  <si>
    <t>Přístroj pro 3f monitoring napětí s BUS sběrnící pro signalizaci do centrálního zdroje nouzového osvětlení.</t>
  </si>
  <si>
    <t xml:space="preserve">Analyzátor sítě. Digitální měřící přístroj pro montáž do panelu pro měření a monitoring hlavních elektrických veličin v 3- fázové síti NN: Napětí [V], Proud [A], Výkon [W], Spotřeba [kWh], Max. napětí [V], Max. proud [A]. Digitální výstup pro dálkový odečet těchto parametrů.  </t>
  </si>
  <si>
    <t>Měřící transformátor proudu s parametry dle specifikace pro montáž na přípojnice.</t>
  </si>
  <si>
    <t>Zařízení pro čtyřpólové přepínání třífázových 3N AC sítí. Zařízení umožňuje automatické nebo manuální přepnutí s LED indikací stavu přepnutí. Zařízení monitoruje podpětí, přepětí, nadfrekvenci a podfrekvenci. K signalizaci stavu přepnutí slouží 3 přepínací kontakty. Správnou funkci přepínacího modulu lze otestovat pomocním kontaktem.</t>
  </si>
  <si>
    <t>6.107</t>
  </si>
  <si>
    <t>Monitorovací a přepínací modul 2P/63A/230V s funkcí automatického/manuálního přepínání mezi hlavním a bezpečnostním napájením. Přepínací modul je zároveň vybaven i funkcí monitorování izolačního stavu IT sítě spolu s generátorem testovacího proudu pro lokalizaci poruchy izolace. Jednoduchá textová hlášení pro šechny základní stavové, poruchové a alarmové hlášení pomocí grafického displeje a jejich přenos na externí kontrolní a signalizační panely.</t>
  </si>
  <si>
    <t>6.108</t>
  </si>
  <si>
    <t>Transformátor zdravotnické izolovaní soustavy o výkonu dle výkazu výměr. 230/230V se zesílenou izovací vyhovující požadavkům DIN EN 61558-1 a DIN EN 61558-2 a ČSN EN 61558-2-15.</t>
  </si>
  <si>
    <t>6.109</t>
  </si>
  <si>
    <t>Kryt pro transformátor zdravotnické izolované soustavy IP23</t>
  </si>
  <si>
    <t>6.110</t>
  </si>
  <si>
    <t>Signalizační panel pro vizuální a akustickou signalizaci stavů zdravotnické izolované soustavy. S alfanumerickým displejem pro hlášní provozních a poruchových stavů. Přenos signálů pomocí digitální sběrnice.</t>
  </si>
  <si>
    <t>6.111</t>
  </si>
  <si>
    <t>Sestava přístrojů pro monitorování stavu zdravotnické izolovoné soustavy. Monitorovací a vyhodnocovací jednotka, proudový transformátor a napájecí zdroj. Vyhodnocovací jednotka s alfanumerickým displejem a digitálním přenosem informací do informačních panelů.Sledované parametry: teplota vinutí, přetížení, izolační stav.</t>
  </si>
  <si>
    <t>Svorka pro spojování elektrických obvodů malého a nízkého napětí měděnými (plnými i slaněnými) eventuálně hliníkovými vodiči.Rozsah připojitelných vodičů je 1,5 až 25 mm2 pro plný měděný vodič. Upnutí vodiče speciálním šroubovým třmenem. Elektrovodná část z mosazi galvanicky pokoveni Ni. Šrouby s kombinovanou hlavou pro plochý i křížový šroubovák. Materiál šroubů ocel  třídy 11 kalená, galvanicky upravená ZnCrCo. Materiál izolačního pouzdra polyamid PA 6, hořlavost VO dle UL 94, bez halogenů. Barva izolačního pouzdra je bílá. Upínání na lištu DIN. Maximální hodnota proudu 101A. Jmenovité izolační napětí 750V AC. Elektrická pevnost 4kV. Zkratová odolnost 1920A. Krytí IP20.</t>
  </si>
  <si>
    <t>6.130</t>
  </si>
  <si>
    <t xml:space="preserve">Plastová nástěnná rozvodnice 1x12 modulů pro přístroje s vestavnou hloubkou 70mm.. Svorkovnice PE/N (6x16+7x10mm2) Samozhášivý plast </t>
  </si>
  <si>
    <t>Univerzální rozváděčový systém pro přístroje do 125A. IP31 Komplet modulová rozvodnice pro  zapuštěnou montáž s kapacitou 36 až 336 modulů.  Součástí dodávky skříně je kompletní přístrojový rošt s kryty přístrojů a svorkovnicemi PE a N. Třída izolace II, hloubka 110mm. Počet modulů dle specifikace.</t>
  </si>
  <si>
    <t>6.132</t>
  </si>
  <si>
    <t>Univerzální rozváděčový systém pro přístroje do 125A. IP44 Komplet modulová rozvodnice pro přisazenou nebo zapuštěnou montáž s kapacitou 36 až 336 modulů.  Součástí dodávky skříně je kompletní přístrojový rošt s kryty přístrojů a svorkovnicemi PE a N. Třída izolace II, hloubka 160mm, materiál: ocelový plech. Počet modulů dle specifikace.</t>
  </si>
  <si>
    <t>Kompaktní výkonový jistič do 250A s možností vestavby nadproudových a zkratových spouští, pomocných kontaktů, vypínacích a napěťových spouští a smožností motorového pohonu.  Jmenovitá mezní zkratová vypínací schopnost pro napětí 400V Icu=36kA.</t>
  </si>
  <si>
    <t>Kompaktní výkonový jistič do 630A s možností vestavby nadproudových a zkratových spouští, pomocných kontaktů, vypínacích a napěťových spouští a smožností motorového pohonu.  Jmenovitá mezní zkratová vypínací schopnost pro napětí 400V Icu=36kA.</t>
  </si>
  <si>
    <t>6.202</t>
  </si>
  <si>
    <t>Kompaktní výkonový jistič do 1000A (1600A) s možností vestavby nadproudových a zkratových spouští, pomocných kontaktů, vypínacích a napěťových spouští a smožností motorového pohonu.  Jmenovitá mezní zkratová vypínací schopnost pro napětí 400V Icu=65kA.</t>
  </si>
  <si>
    <t>6.204</t>
  </si>
  <si>
    <t>Kompaktní výkonový jistič do 160A s možností vestavby nadproudových a zkratových spouští, pomocných kontaktů, vypínacích a napěťových spouští a smožností motorového pohonu.  Jmenovitá mezní zkratová vypínací schopnost pro napětí 400V Icu=25kA.</t>
  </si>
  <si>
    <t>Sestava přístrojů pro automatické řízení osvětlení a světelných scén v budově na základě komunikačního protokolu DALI s podporou standardu DT8.</t>
  </si>
  <si>
    <t>U rozváděčů bude výrobcem proveden konstrukční návrh včetně výrobní dokumentace.</t>
  </si>
  <si>
    <t>Veškeré obvody budou před dodávkou na stavbu předem u výrobce odzkoušeny, po dodávce na stavbu bude</t>
  </si>
  <si>
    <t>provedena opětovná kontrola a další odzkoušení funkce.</t>
  </si>
  <si>
    <t>V rozváděčích bude ponechána dostatečná prostorová rezerva pro rozšíření náplně. Předpokládané rozměry jsou</t>
  </si>
  <si>
    <t>koordinovány se stavební částí, při jejich změně zajistí dodavatel koordinaci umístění na stavbě.</t>
  </si>
  <si>
    <t xml:space="preserve">Rozváděčové skříně budou v systému variabilních montovaných skříní. </t>
  </si>
  <si>
    <t>Jmenovité rozměry skříní jsou "čisté" - bez vystupujících výčnělků, zabraňujících osazení jednotlivých skříní vedle</t>
  </si>
  <si>
    <t>sebe bez mezer. Skříňové rozváděče budou mít v celém rozsahu stavby jednotný systém uzamykání.</t>
  </si>
  <si>
    <t>Rozváděče pro modulové přístroje budou s dostatečnou vnitřní hloubkou, umožňující pohodlné protažení dodatečně</t>
  </si>
  <si>
    <t>připojovaných kabelů. Použijí se veškeré vhodné doplňky nabízené výrobcem rozváděčového systému.</t>
  </si>
  <si>
    <t>U rozváděčů zapuštěných do stěny bude použit "krycí rám", případně ekvivalentní úprava, zabraňující pozdějšímu</t>
  </si>
  <si>
    <t>praskání omítky ve stykové spáře. U skříňových rozváděčů dotěsnění zajistí ve spolupráci s výrobcem rozváděče stavba.</t>
  </si>
  <si>
    <t>Vnitřní náplň rozváděčů bude přehledně označena v souladu se systémem označení zavedeným v dokumentaci.</t>
  </si>
  <si>
    <t>Popisy budou vytištěny na tiskárně štítků, budou trvanlivé a odolné proti poškození.</t>
  </si>
  <si>
    <t>V rozváděčích bude vhodným způsobem uvedeno aktuální obsazení jednotlivých vývodů.</t>
  </si>
  <si>
    <t xml:space="preserve">Jednotlivé prvky ochrany proti přepětí budou vzájemně koordinovány dle podmínek výrobce. </t>
  </si>
  <si>
    <t xml:space="preserve">Přepěťové ochrany v zásuvkových rozvodech budou koordinovány s ochranou </t>
  </si>
  <si>
    <t>proti přepětí osazenou v rozváděčích. Použije se doporučení kontrétního výrobce přepěťových ochran.</t>
  </si>
  <si>
    <t>LED pásek J.1D + LED driver</t>
  </si>
  <si>
    <t>150W 25m</t>
  </si>
  <si>
    <t>Svítidlo E1</t>
  </si>
  <si>
    <t>Svítidlo EXT3</t>
  </si>
  <si>
    <t>Sloupek Ø168x1000mm LED 22W</t>
  </si>
  <si>
    <t>Svítidlo EXT4</t>
  </si>
  <si>
    <t>LED Osvětlení pylonu 700W</t>
  </si>
  <si>
    <t>Svítidlo EXT5</t>
  </si>
  <si>
    <t>Zemní svítidlo LED 6W 645lm</t>
  </si>
  <si>
    <t>3x25A</t>
  </si>
  <si>
    <t>3x63A</t>
  </si>
  <si>
    <t>Spinac  IP20 zap.</t>
  </si>
  <si>
    <t>Zasuvka IP20 zap.</t>
  </si>
  <si>
    <t>Spinac IP44 zap.</t>
  </si>
  <si>
    <t>Zasuvka IP44</t>
  </si>
  <si>
    <t>Zlab pozink 62/50</t>
  </si>
  <si>
    <t>Zlab pozink 125/100</t>
  </si>
  <si>
    <t>Zlab pozink 250/100</t>
  </si>
  <si>
    <t>Zlab pozink 500/100</t>
  </si>
  <si>
    <t>Kabelový žlab vyrobený z pozinkovného plechu tloušťky min 0,7mm. Povrchová úprava žárovým pozinkováním. Kabelový žlab včetně víka, nosníku a příchytek. Neděrovaný.</t>
  </si>
  <si>
    <t>pro svazek k.</t>
  </si>
  <si>
    <t>elektroinstalační</t>
  </si>
  <si>
    <t>včetně příslušenství</t>
  </si>
  <si>
    <t>pro podstavec</t>
  </si>
  <si>
    <t>Kabel  Cu</t>
  </si>
  <si>
    <t>Šňůra Cu</t>
  </si>
  <si>
    <t>Ohebná</t>
  </si>
  <si>
    <t>140x60</t>
  </si>
  <si>
    <t>pro zásuvky</t>
  </si>
  <si>
    <t>220mm</t>
  </si>
  <si>
    <t>40/4/003-G</t>
  </si>
  <si>
    <t>10/1N/003/C</t>
  </si>
  <si>
    <t>16/1N/003/C-G</t>
  </si>
  <si>
    <t>Trafo měřící proudové</t>
  </si>
  <si>
    <t>jističe</t>
  </si>
  <si>
    <t>230V AC</t>
  </si>
  <si>
    <t>Nadproudová spoušť jističe</t>
  </si>
  <si>
    <t>Zkratová spoušť jističe</t>
  </si>
  <si>
    <t>V001</t>
  </si>
  <si>
    <t>do 250A</t>
  </si>
  <si>
    <t>do 250A DTV</t>
  </si>
  <si>
    <t>000-3</t>
  </si>
  <si>
    <t>B+C</t>
  </si>
  <si>
    <t>3P</t>
  </si>
  <si>
    <t>32A</t>
  </si>
  <si>
    <t>DIN</t>
  </si>
  <si>
    <t xml:space="preserve">Skrin rozvadec 200x80x50  IP40 </t>
  </si>
  <si>
    <t>tydenni</t>
  </si>
  <si>
    <t>do průřezu</t>
  </si>
  <si>
    <t>monitoring fází</t>
  </si>
  <si>
    <t>Rozvodnice modulová</t>
  </si>
  <si>
    <t>Kryci ram Z pro rozvodnici</t>
  </si>
  <si>
    <t>C</t>
  </si>
  <si>
    <t>3P+N</t>
  </si>
  <si>
    <t>63/4/003-G</t>
  </si>
  <si>
    <t>6/1N/003/C</t>
  </si>
  <si>
    <t xml:space="preserve">Skrin rozvadec 200x80x40  IP40 </t>
  </si>
  <si>
    <t>25/4/003-G</t>
  </si>
  <si>
    <t>Skrin oceloplechová, montazni panel</t>
  </si>
  <si>
    <t xml:space="preserve">Spinac </t>
  </si>
  <si>
    <t>100/4/03</t>
  </si>
  <si>
    <t>40A, 4-pól</t>
  </si>
  <si>
    <t>Rozvodnice plastova</t>
  </si>
  <si>
    <t>Dvere plechove pro  rozvodnici</t>
  </si>
  <si>
    <t>Soupis prací</t>
  </si>
  <si>
    <t>2m</t>
  </si>
  <si>
    <t>pro Jimaci tyc</t>
  </si>
  <si>
    <t>Revize č.1 – splnění dotačních podmínek</t>
  </si>
  <si>
    <t>Svítidlo EXT1</t>
  </si>
  <si>
    <t>Svítidlo EXT2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</si>
</sst>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yy"/>
    <numFmt numFmtId="165" formatCode="0.0"/>
    <numFmt numFmtId="166" formatCode="0.00_)"/>
  </numFmts>
  <fonts count="37" x14ac:knownFonts="1">
    <font>
      <sz val="10"/>
      <color theme="1"/>
      <name val="Times New Roman"/>
      <family val="2"/>
      <charset val="238"/>
    </font>
    <font>
      <b/>
      <sz val="10"/>
      <color theme="1"/>
      <name val="Times New Roman"/>
      <family val="1"/>
      <charset val="238"/>
    </font>
    <font>
      <b/>
      <sz val="20"/>
      <color theme="1"/>
      <name val="Times New Roman"/>
      <family val="1"/>
      <charset val="238"/>
    </font>
    <font>
      <sz val="10"/>
      <name val="Times New Roman CE"/>
      <family val="1"/>
      <charset val="238"/>
    </font>
    <font>
      <sz val="10"/>
      <name val="Times New Roman"/>
      <family val="1"/>
      <charset val="238"/>
    </font>
    <font>
      <sz val="12"/>
      <name val="Times New Roman"/>
      <family val="1"/>
      <charset val="238"/>
    </font>
    <font>
      <sz val="10"/>
      <color indexed="8"/>
      <name val="Calibri"/>
      <family val="2"/>
      <charset val="238"/>
    </font>
    <font>
      <sz val="10"/>
      <color indexed="9"/>
      <name val="Calibri"/>
      <family val="2"/>
      <charset val="238"/>
    </font>
    <font>
      <b/>
      <sz val="10"/>
      <color indexed="8"/>
      <name val="Calibri"/>
      <family val="2"/>
      <charset val="238"/>
    </font>
    <font>
      <sz val="10"/>
      <color indexed="20"/>
      <name val="Calibri"/>
      <family val="2"/>
      <charset val="238"/>
    </font>
    <font>
      <b/>
      <sz val="10"/>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0"/>
      <color indexed="60"/>
      <name val="Calibri"/>
      <family val="2"/>
      <charset val="238"/>
    </font>
    <font>
      <sz val="10"/>
      <color indexed="52"/>
      <name val="Calibri"/>
      <family val="2"/>
      <charset val="238"/>
    </font>
    <font>
      <sz val="10"/>
      <color indexed="17"/>
      <name val="Calibri"/>
      <family val="2"/>
      <charset val="238"/>
    </font>
    <font>
      <sz val="10"/>
      <color indexed="10"/>
      <name val="Calibri"/>
      <family val="2"/>
      <charset val="238"/>
    </font>
    <font>
      <sz val="10"/>
      <color indexed="62"/>
      <name val="Calibri"/>
      <family val="2"/>
      <charset val="238"/>
    </font>
    <font>
      <b/>
      <sz val="10"/>
      <color indexed="52"/>
      <name val="Calibri"/>
      <family val="2"/>
      <charset val="238"/>
    </font>
    <font>
      <b/>
      <sz val="10"/>
      <color indexed="63"/>
      <name val="Calibri"/>
      <family val="2"/>
      <charset val="238"/>
    </font>
    <font>
      <i/>
      <sz val="10"/>
      <color indexed="23"/>
      <name val="Calibri"/>
      <family val="2"/>
      <charset val="238"/>
    </font>
    <font>
      <sz val="10"/>
      <name val="Times New Roman"/>
      <family val="1"/>
    </font>
    <font>
      <sz val="10"/>
      <name val="Courier"/>
      <family val="3"/>
    </font>
    <font>
      <b/>
      <sz val="10"/>
      <name val="Times New Roman CE"/>
      <charset val="238"/>
    </font>
    <font>
      <b/>
      <sz val="10"/>
      <color theme="1"/>
      <name val="Times New Roman"/>
      <family val="2"/>
      <charset val="238"/>
    </font>
    <font>
      <b/>
      <sz val="10"/>
      <name val="Times New Roman CE"/>
      <family val="1"/>
      <charset val="238"/>
    </font>
    <font>
      <sz val="10"/>
      <name val="Times New Roman CE"/>
      <charset val="238"/>
    </font>
    <font>
      <sz val="9"/>
      <name val="Arial CE"/>
      <charset val="238"/>
    </font>
    <font>
      <sz val="10"/>
      <color indexed="8"/>
      <name val="Times New Roman CE"/>
      <family val="1"/>
      <charset val="238"/>
    </font>
    <font>
      <b/>
      <sz val="10"/>
      <name val="Times New Roman"/>
      <family val="1"/>
      <charset val="238"/>
    </font>
    <font>
      <sz val="10"/>
      <name val="Arial CE"/>
      <charset val="238"/>
    </font>
    <font>
      <sz val="16"/>
      <name val="Arial CE"/>
      <family val="2"/>
      <charset val="238"/>
    </font>
    <font>
      <sz val="10"/>
      <name val="Calibri"/>
      <family val="2"/>
      <charset val="238"/>
    </font>
    <font>
      <sz val="12"/>
      <name val="Times New Roman CE"/>
      <family val="1"/>
      <charset val="238"/>
    </font>
    <font>
      <strike/>
      <sz val="10"/>
      <name val="Times New Roman CE"/>
      <family val="1"/>
      <charset val="23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theme="0" tint="-4.9989318521683403E-2"/>
        <bgColor indexed="64"/>
      </patternFill>
    </fill>
    <fill>
      <patternFill patternType="solid">
        <fgColor theme="2"/>
        <bgColor indexed="64"/>
      </patternFill>
    </fill>
    <fill>
      <patternFill patternType="solid">
        <fgColor theme="0" tint="-0.14999847407452621"/>
        <bgColor indexed="64"/>
      </patternFill>
    </fill>
  </fills>
  <borders count="13">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s>
  <cellStyleXfs count="48">
    <xf numFmtId="0" fontId="0" fillId="0" borderId="0"/>
    <xf numFmtId="0" fontId="5" fillId="0" borderId="0"/>
    <xf numFmtId="0" fontId="4"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0" borderId="1" applyNumberFormat="0" applyFill="0" applyAlignment="0" applyProtection="0"/>
    <xf numFmtId="0" fontId="9" fillId="3" borderId="0" applyNumberFormat="0" applyBorder="0" applyAlignment="0" applyProtection="0"/>
    <xf numFmtId="0" fontId="10" fillId="16" borderId="2" applyNumberFormat="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17" borderId="0" applyNumberFormat="0" applyBorder="0" applyAlignment="0" applyProtection="0"/>
    <xf numFmtId="0" fontId="4" fillId="18" borderId="6" applyNumberFormat="0" applyFont="0" applyAlignment="0" applyProtection="0"/>
    <xf numFmtId="0" fontId="16" fillId="0" borderId="7" applyNumberFormat="0" applyFill="0" applyAlignment="0" applyProtection="0"/>
    <xf numFmtId="0" fontId="17" fillId="4" borderId="0" applyNumberFormat="0" applyBorder="0" applyAlignment="0" applyProtection="0"/>
    <xf numFmtId="0" fontId="18" fillId="0" borderId="0" applyNumberFormat="0" applyFill="0" applyBorder="0" applyAlignment="0" applyProtection="0"/>
    <xf numFmtId="0" fontId="19" fillId="7" borderId="8" applyNumberFormat="0" applyAlignment="0" applyProtection="0"/>
    <xf numFmtId="0" fontId="20" fillId="19" borderId="8" applyNumberFormat="0" applyAlignment="0" applyProtection="0"/>
    <xf numFmtId="0" fontId="21" fillId="19" borderId="9" applyNumberFormat="0" applyAlignment="0" applyProtection="0"/>
    <xf numFmtId="0" fontId="22" fillId="0" borderId="0" applyNumberFormat="0" applyFill="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23" borderId="0" applyNumberFormat="0" applyBorder="0" applyAlignment="0" applyProtection="0"/>
    <xf numFmtId="0" fontId="24" fillId="0" borderId="0"/>
    <xf numFmtId="0" fontId="29" fillId="0" borderId="0"/>
    <xf numFmtId="0" fontId="32" fillId="0" borderId="0"/>
    <xf numFmtId="0" fontId="35" fillId="0" borderId="0"/>
  </cellStyleXfs>
  <cellXfs count="132">
    <xf numFmtId="0" fontId="0" fillId="0" borderId="0" xfId="0"/>
    <xf numFmtId="0" fontId="1" fillId="0" borderId="0" xfId="0" applyFont="1"/>
    <xf numFmtId="0" fontId="2" fillId="0" borderId="0" xfId="0" applyFont="1"/>
    <xf numFmtId="2" fontId="0" fillId="0" borderId="0" xfId="0" applyNumberFormat="1"/>
    <xf numFmtId="49" fontId="0" fillId="0" borderId="0" xfId="0" applyNumberFormat="1"/>
    <xf numFmtId="2" fontId="1" fillId="0" borderId="0" xfId="0" applyNumberFormat="1" applyFont="1"/>
    <xf numFmtId="0" fontId="3" fillId="0" borderId="0" xfId="0" applyFont="1" applyAlignment="1" applyProtection="1">
      <alignment horizontal="left"/>
    </xf>
    <xf numFmtId="0" fontId="3" fillId="0" borderId="0" xfId="0" applyFont="1"/>
    <xf numFmtId="2" fontId="3" fillId="0" borderId="0" xfId="0" applyNumberFormat="1" applyFont="1" applyAlignment="1">
      <alignment horizontal="right"/>
    </xf>
    <xf numFmtId="49" fontId="4" fillId="0" borderId="0" xfId="0" applyNumberFormat="1" applyFont="1"/>
    <xf numFmtId="0" fontId="4" fillId="0" borderId="0" xfId="0" applyFont="1"/>
    <xf numFmtId="2" fontId="3" fillId="0" borderId="0" xfId="0" applyNumberFormat="1" applyFont="1" applyAlignment="1" applyProtection="1">
      <alignment horizontal="right"/>
    </xf>
    <xf numFmtId="164" fontId="3" fillId="0" borderId="0" xfId="0" applyNumberFormat="1" applyFont="1" applyProtection="1"/>
    <xf numFmtId="1" fontId="3" fillId="0" borderId="0" xfId="0" applyNumberFormat="1" applyFont="1" applyAlignment="1">
      <alignment horizontal="right"/>
    </xf>
    <xf numFmtId="49" fontId="23" fillId="0" borderId="0" xfId="0" applyNumberFormat="1" applyFont="1"/>
    <xf numFmtId="0" fontId="3" fillId="0" borderId="0" xfId="0" applyFont="1" applyAlignment="1" applyProtection="1">
      <alignment horizontal="left"/>
      <protection locked="0"/>
    </xf>
    <xf numFmtId="2" fontId="3" fillId="0" borderId="0" xfId="0" applyNumberFormat="1" applyFont="1" applyAlignment="1" applyProtection="1">
      <alignment horizontal="right"/>
      <protection locked="0"/>
    </xf>
    <xf numFmtId="0" fontId="3" fillId="0" borderId="0" xfId="0" applyFont="1" applyProtection="1">
      <protection locked="0"/>
    </xf>
    <xf numFmtId="49" fontId="3" fillId="0" borderId="0" xfId="0" applyNumberFormat="1" applyFont="1" applyAlignment="1" applyProtection="1">
      <alignment horizontal="left"/>
    </xf>
    <xf numFmtId="2" fontId="3" fillId="0" borderId="0" xfId="0" applyNumberFormat="1" applyFont="1"/>
    <xf numFmtId="0" fontId="3" fillId="0" borderId="0" xfId="0" applyFont="1" applyAlignment="1" applyProtection="1">
      <alignment horizontal="right"/>
    </xf>
    <xf numFmtId="0" fontId="23" fillId="0" borderId="0" xfId="0" applyFont="1"/>
    <xf numFmtId="1" fontId="3" fillId="0" borderId="0" xfId="44" applyNumberFormat="1" applyFont="1"/>
    <xf numFmtId="164" fontId="3" fillId="0" borderId="0" xfId="0" applyNumberFormat="1" applyFont="1"/>
    <xf numFmtId="1" fontId="3" fillId="0" borderId="0" xfId="0" applyNumberFormat="1" applyFont="1"/>
    <xf numFmtId="0" fontId="3" fillId="0" borderId="0" xfId="0" applyFont="1" applyAlignment="1">
      <alignment horizontal="left"/>
    </xf>
    <xf numFmtId="2" fontId="3" fillId="0" borderId="0" xfId="0" applyNumberFormat="1" applyFont="1" applyAlignment="1" applyProtection="1">
      <alignment horizontal="left"/>
    </xf>
    <xf numFmtId="0" fontId="25" fillId="0" borderId="0" xfId="0" applyFont="1" applyAlignment="1" applyProtection="1">
      <alignment horizontal="left"/>
    </xf>
    <xf numFmtId="49" fontId="3" fillId="0" borderId="0" xfId="0" applyNumberFormat="1" applyFont="1"/>
    <xf numFmtId="49" fontId="3" fillId="0" borderId="0" xfId="0" applyNumberFormat="1" applyFont="1" applyProtection="1"/>
    <xf numFmtId="165" fontId="3" fillId="0" borderId="0" xfId="0" applyNumberFormat="1" applyFont="1" applyAlignment="1">
      <alignment horizontal="right"/>
    </xf>
    <xf numFmtId="0" fontId="3" fillId="0" borderId="0" xfId="0" applyFont="1" applyProtection="1"/>
    <xf numFmtId="0" fontId="3" fillId="0" borderId="0" xfId="0" applyFont="1" applyFill="1" applyBorder="1"/>
    <xf numFmtId="0" fontId="3" fillId="0" borderId="0" xfId="0" applyNumberFormat="1" applyFont="1" applyFill="1" applyBorder="1"/>
    <xf numFmtId="1" fontId="3" fillId="0" borderId="0" xfId="0" applyNumberFormat="1" applyFont="1" applyFill="1" applyBorder="1" applyAlignment="1">
      <alignment horizontal="right"/>
    </xf>
    <xf numFmtId="0" fontId="27" fillId="0" borderId="0" xfId="0" applyFont="1" applyAlignment="1" applyProtection="1">
      <alignment horizontal="left"/>
    </xf>
    <xf numFmtId="0" fontId="26" fillId="0" borderId="0" xfId="0" applyFont="1"/>
    <xf numFmtId="2" fontId="26" fillId="0" borderId="0" xfId="0" applyNumberFormat="1" applyFont="1"/>
    <xf numFmtId="164" fontId="3" fillId="0" borderId="0" xfId="0" applyNumberFormat="1" applyFont="1" applyFill="1" applyBorder="1"/>
    <xf numFmtId="164" fontId="3" fillId="0" borderId="0" xfId="0" applyNumberFormat="1" applyFont="1" applyProtection="1">
      <protection locked="0"/>
    </xf>
    <xf numFmtId="1" fontId="3" fillId="0" borderId="0" xfId="0" applyNumberFormat="1" applyFont="1" applyAlignment="1" applyProtection="1">
      <alignment horizontal="right"/>
    </xf>
    <xf numFmtId="0" fontId="28" fillId="0" borderId="0" xfId="1" applyFont="1"/>
    <xf numFmtId="0" fontId="3" fillId="0" borderId="0" xfId="0" applyNumberFormat="1" applyFont="1" applyAlignment="1">
      <alignment horizontal="left"/>
    </xf>
    <xf numFmtId="49" fontId="3" fillId="0" borderId="0" xfId="0" applyNumberFormat="1" applyFont="1" applyAlignment="1">
      <alignment horizontal="left"/>
    </xf>
    <xf numFmtId="164" fontId="3" fillId="0" borderId="0" xfId="0" applyNumberFormat="1" applyFont="1" applyAlignment="1" applyProtection="1">
      <alignment horizontal="right"/>
    </xf>
    <xf numFmtId="14" fontId="3" fillId="0" borderId="0" xfId="44" applyNumberFormat="1" applyFont="1"/>
    <xf numFmtId="0" fontId="3" fillId="0" borderId="0" xfId="44" applyFont="1"/>
    <xf numFmtId="0" fontId="25" fillId="0" borderId="0" xfId="0" applyFont="1" applyAlignment="1" applyProtection="1">
      <alignment horizontal="right"/>
    </xf>
    <xf numFmtId="1" fontId="25" fillId="0" borderId="0" xfId="0" applyNumberFormat="1" applyFont="1" applyAlignment="1">
      <alignment horizontal="right"/>
    </xf>
    <xf numFmtId="2" fontId="25" fillId="0" borderId="0" xfId="0" applyNumberFormat="1" applyFont="1" applyAlignment="1">
      <alignment horizontal="right"/>
    </xf>
    <xf numFmtId="0" fontId="3" fillId="0" borderId="0" xfId="0" applyNumberFormat="1" applyFont="1"/>
    <xf numFmtId="0" fontId="28" fillId="0" borderId="0" xfId="0" applyFont="1" applyAlignment="1" applyProtection="1">
      <alignment horizontal="left"/>
    </xf>
    <xf numFmtId="0" fontId="0" fillId="0" borderId="0" xfId="0" applyFont="1"/>
    <xf numFmtId="166" fontId="3" fillId="0" borderId="0" xfId="0" applyNumberFormat="1" applyFont="1" applyProtection="1">
      <protection locked="0"/>
    </xf>
    <xf numFmtId="49" fontId="3" fillId="0" borderId="0" xfId="0" applyNumberFormat="1" applyFont="1" applyProtection="1">
      <protection locked="0"/>
    </xf>
    <xf numFmtId="0" fontId="30" fillId="0" borderId="0" xfId="0" applyFont="1" applyAlignment="1" applyProtection="1">
      <alignment horizontal="left"/>
    </xf>
    <xf numFmtId="0" fontId="30" fillId="0" borderId="0" xfId="0" applyFont="1" applyAlignment="1" applyProtection="1">
      <alignment horizontal="left"/>
      <protection locked="0"/>
    </xf>
    <xf numFmtId="0" fontId="30" fillId="0" borderId="0" xfId="0" applyFont="1"/>
    <xf numFmtId="164" fontId="30" fillId="0" borderId="0" xfId="0" applyNumberFormat="1" applyFont="1" applyProtection="1">
      <protection locked="0"/>
    </xf>
    <xf numFmtId="164" fontId="3" fillId="0" borderId="0" xfId="0" applyNumberFormat="1" applyFont="1" applyAlignment="1" applyProtection="1">
      <alignment horizontal="left"/>
    </xf>
    <xf numFmtId="49" fontId="4" fillId="0" borderId="0" xfId="0" applyNumberFormat="1" applyFont="1" applyFill="1" applyProtection="1">
      <protection locked="0"/>
    </xf>
    <xf numFmtId="49" fontId="4" fillId="0" borderId="0" xfId="0" applyNumberFormat="1" applyFont="1" applyFill="1" applyAlignment="1" applyProtection="1">
      <alignment horizontal="left"/>
      <protection locked="0"/>
    </xf>
    <xf numFmtId="3" fontId="4" fillId="0" borderId="0" xfId="0" applyNumberFormat="1" applyFont="1" applyFill="1" applyAlignment="1" applyProtection="1">
      <alignment horizontal="right"/>
      <protection locked="0"/>
    </xf>
    <xf numFmtId="49" fontId="31" fillId="0" borderId="0" xfId="0" applyNumberFormat="1" applyFont="1"/>
    <xf numFmtId="49" fontId="4" fillId="0" borderId="0" xfId="0" applyNumberFormat="1" applyFont="1" applyFill="1"/>
    <xf numFmtId="3" fontId="4" fillId="24" borderId="0" xfId="0" applyNumberFormat="1" applyFont="1" applyFill="1" applyAlignment="1" applyProtection="1">
      <alignment horizontal="right"/>
      <protection locked="0"/>
    </xf>
    <xf numFmtId="3" fontId="4" fillId="25" borderId="0" xfId="0" applyNumberFormat="1" applyFont="1" applyFill="1" applyAlignment="1" applyProtection="1">
      <alignment horizontal="right"/>
      <protection locked="0"/>
    </xf>
    <xf numFmtId="49" fontId="31" fillId="0" borderId="0" xfId="0" applyNumberFormat="1" applyFont="1" applyFill="1" applyProtection="1">
      <protection locked="0"/>
    </xf>
    <xf numFmtId="165" fontId="3" fillId="0" borderId="0" xfId="0" applyNumberFormat="1" applyFont="1"/>
    <xf numFmtId="166" fontId="3" fillId="0" borderId="0" xfId="0" applyNumberFormat="1" applyFont="1" applyProtection="1"/>
    <xf numFmtId="49" fontId="32" fillId="0" borderId="0" xfId="46" applyNumberFormat="1" applyFill="1" applyAlignment="1">
      <alignment horizontal="center" vertical="center"/>
    </xf>
    <xf numFmtId="0" fontId="33" fillId="0" borderId="0" xfId="46" applyFont="1"/>
    <xf numFmtId="0" fontId="32" fillId="0" borderId="0" xfId="46"/>
    <xf numFmtId="49" fontId="4" fillId="0" borderId="0" xfId="46" applyNumberFormat="1" applyFont="1" applyFill="1" applyAlignment="1">
      <alignment horizontal="center" vertical="center"/>
    </xf>
    <xf numFmtId="0" fontId="4" fillId="0" borderId="0" xfId="46" applyFont="1"/>
    <xf numFmtId="0" fontId="31" fillId="0" borderId="0" xfId="46" applyFont="1"/>
    <xf numFmtId="49" fontId="4" fillId="0" borderId="10" xfId="46" applyNumberFormat="1" applyFont="1" applyFill="1" applyBorder="1" applyAlignment="1">
      <alignment horizontal="center" vertical="center"/>
    </xf>
    <xf numFmtId="0" fontId="4" fillId="0" borderId="11" xfId="46" applyFont="1" applyBorder="1" applyAlignment="1" applyProtection="1">
      <alignment horizontal="left" vertical="center" wrapText="1"/>
    </xf>
    <xf numFmtId="0" fontId="4" fillId="0" borderId="10" xfId="46" applyFont="1" applyBorder="1"/>
    <xf numFmtId="0" fontId="32" fillId="24" borderId="0" xfId="46" applyFill="1"/>
    <xf numFmtId="0" fontId="4" fillId="0" borderId="11" xfId="46" applyFont="1" applyBorder="1" applyAlignment="1" applyProtection="1">
      <alignment horizontal="justify" vertical="center" wrapText="1"/>
    </xf>
    <xf numFmtId="49" fontId="4" fillId="0" borderId="10" xfId="46" applyNumberFormat="1" applyFont="1" applyFill="1" applyBorder="1" applyAlignment="1">
      <alignment horizontal="center" vertical="center" wrapText="1" shrinkToFit="1"/>
    </xf>
    <xf numFmtId="0" fontId="4" fillId="0" borderId="11" xfId="46" applyFont="1" applyBorder="1" applyAlignment="1" applyProtection="1">
      <alignment horizontal="justify" vertical="center" wrapText="1" shrinkToFit="1"/>
    </xf>
    <xf numFmtId="0" fontId="4" fillId="0" borderId="0" xfId="46" applyFont="1" applyAlignment="1">
      <alignment wrapText="1" shrinkToFit="1"/>
    </xf>
    <xf numFmtId="0" fontId="4" fillId="0" borderId="0" xfId="46" applyFont="1" applyFill="1"/>
    <xf numFmtId="49" fontId="4" fillId="0" borderId="10" xfId="46" applyNumberFormat="1" applyFont="1" applyFill="1" applyBorder="1" applyAlignment="1">
      <alignment horizontal="center" vertical="center" wrapText="1"/>
    </xf>
    <xf numFmtId="49" fontId="4" fillId="0" borderId="12" xfId="46" applyNumberFormat="1" applyFont="1" applyFill="1" applyBorder="1" applyAlignment="1">
      <alignment horizontal="center" vertical="center"/>
    </xf>
    <xf numFmtId="0" fontId="4" fillId="0" borderId="12" xfId="46" applyFont="1" applyBorder="1" applyAlignment="1" applyProtection="1">
      <alignment horizontal="justify" vertical="center" wrapText="1"/>
    </xf>
    <xf numFmtId="0" fontId="4" fillId="0" borderId="12" xfId="46" applyFont="1" applyBorder="1"/>
    <xf numFmtId="49" fontId="4" fillId="0" borderId="0" xfId="46" applyNumberFormat="1" applyFont="1" applyFill="1" applyBorder="1" applyAlignment="1">
      <alignment horizontal="center" vertical="center"/>
    </xf>
    <xf numFmtId="0" fontId="31" fillId="0" borderId="0" xfId="46" applyFont="1" applyBorder="1"/>
    <xf numFmtId="0" fontId="4" fillId="0" borderId="0" xfId="46" applyFont="1" applyBorder="1"/>
    <xf numFmtId="49" fontId="4" fillId="0" borderId="0" xfId="46" applyNumberFormat="1" applyFont="1" applyFill="1" applyBorder="1" applyAlignment="1">
      <alignment horizontal="center" vertical="center" wrapText="1"/>
    </xf>
    <xf numFmtId="0" fontId="4" fillId="0" borderId="0" xfId="46" applyFont="1" applyBorder="1" applyAlignment="1" applyProtection="1">
      <alignment horizontal="justify" vertical="center" wrapText="1"/>
    </xf>
    <xf numFmtId="49" fontId="4" fillId="0" borderId="0" xfId="46" applyNumberFormat="1" applyFont="1" applyFill="1" applyAlignment="1">
      <alignment horizontal="center" vertical="center" wrapText="1"/>
    </xf>
    <xf numFmtId="49" fontId="4" fillId="0" borderId="0" xfId="46" applyNumberFormat="1" applyFont="1"/>
    <xf numFmtId="0" fontId="31" fillId="0" borderId="0" xfId="46" applyFont="1" applyAlignment="1">
      <alignment vertical="center" wrapText="1"/>
    </xf>
    <xf numFmtId="0" fontId="4" fillId="0" borderId="10" xfId="46" applyFont="1" applyBorder="1" applyAlignment="1" applyProtection="1">
      <alignment horizontal="left" vertical="center" wrapText="1"/>
    </xf>
    <xf numFmtId="0" fontId="4" fillId="0" borderId="10" xfId="46" applyFont="1" applyBorder="1" applyAlignment="1">
      <alignment vertical="center" wrapText="1"/>
    </xf>
    <xf numFmtId="0" fontId="4" fillId="0" borderId="0" xfId="46" applyFont="1" applyAlignment="1">
      <alignment vertical="center" wrapText="1"/>
    </xf>
    <xf numFmtId="0" fontId="4" fillId="0" borderId="10" xfId="46" applyFont="1" applyBorder="1" applyAlignment="1">
      <alignment horizontal="justify" vertical="center" wrapText="1"/>
    </xf>
    <xf numFmtId="0" fontId="3" fillId="0" borderId="0" xfId="46" applyFont="1" applyAlignment="1" applyProtection="1">
      <alignment horizontal="left"/>
    </xf>
    <xf numFmtId="0" fontId="4" fillId="0" borderId="10" xfId="46" applyFont="1" applyBorder="1" applyAlignment="1" applyProtection="1">
      <alignment horizontal="justify" vertical="center" wrapText="1"/>
    </xf>
    <xf numFmtId="0" fontId="4" fillId="0" borderId="10" xfId="46" applyFont="1" applyBorder="1" applyAlignment="1">
      <alignment horizontal="left" vertical="center" wrapText="1"/>
    </xf>
    <xf numFmtId="0" fontId="4" fillId="0" borderId="0" xfId="46" applyFont="1" applyBorder="1" applyAlignment="1">
      <alignment vertical="center" wrapText="1"/>
    </xf>
    <xf numFmtId="49" fontId="4" fillId="0" borderId="0" xfId="46" applyNumberFormat="1" applyFont="1" applyFill="1"/>
    <xf numFmtId="49" fontId="4" fillId="0" borderId="0" xfId="46" applyNumberFormat="1" applyFont="1" applyAlignment="1">
      <alignment horizontal="left"/>
    </xf>
    <xf numFmtId="0" fontId="3" fillId="0" borderId="0" xfId="0" applyFont="1" applyFill="1"/>
    <xf numFmtId="0" fontId="0" fillId="25" borderId="0" xfId="0" applyFill="1"/>
    <xf numFmtId="2" fontId="3" fillId="25" borderId="0" xfId="0" applyNumberFormat="1" applyFont="1" applyFill="1" applyAlignment="1" applyProtection="1">
      <alignment horizontal="right"/>
    </xf>
    <xf numFmtId="2" fontId="3" fillId="25" borderId="0" xfId="0" applyNumberFormat="1" applyFont="1" applyFill="1" applyAlignment="1">
      <alignment horizontal="right"/>
    </xf>
    <xf numFmtId="2" fontId="30" fillId="25" borderId="0" xfId="0" applyNumberFormat="1" applyFont="1" applyFill="1" applyAlignment="1" applyProtection="1">
      <alignment horizontal="right"/>
      <protection locked="0"/>
    </xf>
    <xf numFmtId="2" fontId="3" fillId="25" borderId="0" xfId="0" applyNumberFormat="1" applyFont="1" applyFill="1" applyAlignment="1" applyProtection="1">
      <alignment horizontal="right"/>
      <protection locked="0"/>
    </xf>
    <xf numFmtId="2" fontId="3" fillId="25" borderId="0" xfId="0" applyNumberFormat="1" applyFont="1" applyFill="1"/>
    <xf numFmtId="2" fontId="4" fillId="25" borderId="0" xfId="0" applyNumberFormat="1" applyFont="1" applyFill="1" applyAlignment="1">
      <alignment horizontal="right"/>
    </xf>
    <xf numFmtId="2" fontId="4" fillId="25" borderId="0" xfId="0" applyNumberFormat="1" applyFont="1" applyFill="1" applyBorder="1" applyAlignment="1">
      <alignment horizontal="right"/>
    </xf>
    <xf numFmtId="2" fontId="3" fillId="25" borderId="0" xfId="0" applyNumberFormat="1" applyFont="1" applyFill="1" applyBorder="1" applyAlignment="1"/>
    <xf numFmtId="2" fontId="3" fillId="25" borderId="0" xfId="45" applyNumberFormat="1" applyFont="1" applyFill="1" applyBorder="1" applyAlignment="1">
      <alignment horizontal="right"/>
    </xf>
    <xf numFmtId="2" fontId="0" fillId="25" borderId="0" xfId="0" applyNumberFormat="1" applyFill="1"/>
    <xf numFmtId="0" fontId="3" fillId="0" borderId="0" xfId="0" applyFont="1" applyAlignment="1" applyProtection="1">
      <alignment horizontal="left" wrapText="1"/>
    </xf>
    <xf numFmtId="0" fontId="0" fillId="0" borderId="0" xfId="0" applyAlignment="1">
      <alignment horizontal="left" wrapText="1"/>
    </xf>
    <xf numFmtId="0" fontId="0" fillId="0" borderId="0" xfId="0" applyAlignment="1">
      <alignment wrapText="1"/>
    </xf>
    <xf numFmtId="0" fontId="3" fillId="26" borderId="0" xfId="0" applyFont="1" applyFill="1"/>
    <xf numFmtId="1" fontId="3" fillId="0" borderId="0" xfId="0" applyNumberFormat="1" applyFont="1" applyFill="1"/>
    <xf numFmtId="1" fontId="3" fillId="26" borderId="0" xfId="0" applyNumberFormat="1" applyFont="1" applyFill="1"/>
    <xf numFmtId="0" fontId="36" fillId="0" borderId="0" xfId="0" applyFont="1" applyFill="1"/>
    <xf numFmtId="0" fontId="36" fillId="0" borderId="0" xfId="0" applyFont="1" applyAlignment="1" applyProtection="1">
      <alignment horizontal="left"/>
    </xf>
    <xf numFmtId="0" fontId="0" fillId="0" borderId="0" xfId="0" applyFill="1"/>
    <xf numFmtId="1" fontId="3" fillId="0" borderId="0" xfId="0" applyNumberFormat="1" applyFont="1" applyFill="1" applyAlignment="1" applyProtection="1">
      <alignment horizontal="right"/>
    </xf>
    <xf numFmtId="1" fontId="3" fillId="0" borderId="0" xfId="0" applyNumberFormat="1" applyFont="1" applyFill="1" applyAlignment="1">
      <alignment horizontal="right"/>
    </xf>
    <xf numFmtId="1" fontId="3" fillId="0" borderId="0" xfId="44" applyNumberFormat="1" applyFont="1" applyFill="1"/>
    <xf numFmtId="165" fontId="3" fillId="0" borderId="0" xfId="0" applyNumberFormat="1" applyFont="1" applyFill="1" applyAlignment="1">
      <alignment horizontal="right"/>
    </xf>
  </cellXfs>
  <cellStyles count="48">
    <cellStyle name="20 % – Zvýraznění1 2" xfId="3"/>
    <cellStyle name="20 % – Zvýraznění2 2" xfId="4"/>
    <cellStyle name="20 % – Zvýraznění3 2" xfId="5"/>
    <cellStyle name="20 % – Zvýraznění4 2" xfId="6"/>
    <cellStyle name="20 % – Zvýraznění5 2" xfId="7"/>
    <cellStyle name="20 % – Zvýraznění6 2" xfId="8"/>
    <cellStyle name="40 % – Zvýraznění1 2" xfId="9"/>
    <cellStyle name="40 % – Zvýraznění2 2" xfId="10"/>
    <cellStyle name="40 % – Zvýraznění3 2" xfId="11"/>
    <cellStyle name="40 % – Zvýraznění4 2" xfId="12"/>
    <cellStyle name="40 % – Zvýraznění5 2" xfId="13"/>
    <cellStyle name="40 % – Zvýraznění6 2" xfId="14"/>
    <cellStyle name="60 % – Zvýraznění1 2" xfId="15"/>
    <cellStyle name="60 % – Zvýraznění2 2" xfId="16"/>
    <cellStyle name="60 % – Zvýraznění3 2" xfId="17"/>
    <cellStyle name="60 % – Zvýraznění4 2" xfId="18"/>
    <cellStyle name="60 % – Zvýraznění5 2" xfId="19"/>
    <cellStyle name="60 % – Zvýraznění6 2" xfId="20"/>
    <cellStyle name="Celkem 2" xfId="21"/>
    <cellStyle name="Chybně 2" xfId="22"/>
    <cellStyle name="Kontrolní buňka 2" xfId="23"/>
    <cellStyle name="Nadpis 1 2" xfId="24"/>
    <cellStyle name="Nadpis 2 2" xfId="25"/>
    <cellStyle name="Nadpis 3 2" xfId="26"/>
    <cellStyle name="Nadpis 4 2" xfId="27"/>
    <cellStyle name="Název 2" xfId="28"/>
    <cellStyle name="Neutrální 2" xfId="29"/>
    <cellStyle name="Normální" xfId="0" builtinId="0"/>
    <cellStyle name="Normální 2" xfId="1"/>
    <cellStyle name="normální 2 2" xfId="2"/>
    <cellStyle name="Normální 3" xfId="46"/>
    <cellStyle name="normální_Hager2002a-hlp" xfId="45"/>
    <cellStyle name="normální_SPECIFIK" xfId="44"/>
    <cellStyle name="Poznámka 2" xfId="30"/>
    <cellStyle name="Propojená buňka 2" xfId="31"/>
    <cellStyle name="rozpočet" xfId="47"/>
    <cellStyle name="Správně 2" xfId="32"/>
    <cellStyle name="Text upozornění 2" xfId="33"/>
    <cellStyle name="Vstup 2" xfId="34"/>
    <cellStyle name="Výpočet 2" xfId="35"/>
    <cellStyle name="Výstup 2" xfId="36"/>
    <cellStyle name="Vysvětlující text 2" xfId="37"/>
    <cellStyle name="Zvýraznění 1 2" xfId="38"/>
    <cellStyle name="Zvýraznění 2 2" xfId="39"/>
    <cellStyle name="Zvýraznění 3 2" xfId="40"/>
    <cellStyle name="Zvýraznění 4 2" xfId="41"/>
    <cellStyle name="Zvýraznění 5 2" xfId="42"/>
    <cellStyle name="Zvýraznění 6 2" xfId="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jpeg"/><Relationship Id="rId7" Type="http://schemas.openxmlformats.org/officeDocument/2006/relationships/image" Target="../media/image7.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1</xdr:col>
      <xdr:colOff>4219575</xdr:colOff>
      <xdr:row>10</xdr:row>
      <xdr:rowOff>0</xdr:rowOff>
    </xdr:from>
    <xdr:to>
      <xdr:col>2</xdr:col>
      <xdr:colOff>638175</xdr:colOff>
      <xdr:row>11</xdr:row>
      <xdr:rowOff>0</xdr:rowOff>
    </xdr:to>
    <xdr:pic>
      <xdr:nvPicPr>
        <xdr:cNvPr id="2" name="Obráze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29175" y="1714500"/>
          <a:ext cx="638175"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9525</xdr:colOff>
      <xdr:row>12</xdr:row>
      <xdr:rowOff>723900</xdr:rowOff>
    </xdr:from>
    <xdr:to>
      <xdr:col>2</xdr:col>
      <xdr:colOff>781050</xdr:colOff>
      <xdr:row>14</xdr:row>
      <xdr:rowOff>0</xdr:rowOff>
    </xdr:to>
    <xdr:pic>
      <xdr:nvPicPr>
        <xdr:cNvPr id="3" name="Obráze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838700" y="3790950"/>
          <a:ext cx="7715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9525</xdr:colOff>
      <xdr:row>11</xdr:row>
      <xdr:rowOff>9525</xdr:rowOff>
    </xdr:from>
    <xdr:to>
      <xdr:col>2</xdr:col>
      <xdr:colOff>647700</xdr:colOff>
      <xdr:row>12</xdr:row>
      <xdr:rowOff>9525</xdr:rowOff>
    </xdr:to>
    <xdr:pic>
      <xdr:nvPicPr>
        <xdr:cNvPr id="4" name="Obráze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38700" y="2400300"/>
          <a:ext cx="638175"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17</xdr:row>
      <xdr:rowOff>0</xdr:rowOff>
    </xdr:from>
    <xdr:to>
      <xdr:col>2</xdr:col>
      <xdr:colOff>1057275</xdr:colOff>
      <xdr:row>17</xdr:row>
      <xdr:rowOff>990600</xdr:rowOff>
    </xdr:to>
    <xdr:pic>
      <xdr:nvPicPr>
        <xdr:cNvPr id="5" name="Obrázek 1"/>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829175" y="7143750"/>
          <a:ext cx="10572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16</xdr:row>
      <xdr:rowOff>0</xdr:rowOff>
    </xdr:from>
    <xdr:to>
      <xdr:col>2</xdr:col>
      <xdr:colOff>857250</xdr:colOff>
      <xdr:row>17</xdr:row>
      <xdr:rowOff>0</xdr:rowOff>
    </xdr:to>
    <xdr:pic>
      <xdr:nvPicPr>
        <xdr:cNvPr id="6" name="Obrázek 1"/>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829175" y="6343650"/>
          <a:ext cx="857250"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12</xdr:row>
      <xdr:rowOff>0</xdr:rowOff>
    </xdr:from>
    <xdr:to>
      <xdr:col>2</xdr:col>
      <xdr:colOff>790575</xdr:colOff>
      <xdr:row>13</xdr:row>
      <xdr:rowOff>0</xdr:rowOff>
    </xdr:to>
    <xdr:pic>
      <xdr:nvPicPr>
        <xdr:cNvPr id="7" name="Obrázek 2"/>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829175" y="3067050"/>
          <a:ext cx="79057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19050</xdr:colOff>
      <xdr:row>14</xdr:row>
      <xdr:rowOff>161925</xdr:rowOff>
    </xdr:from>
    <xdr:to>
      <xdr:col>2</xdr:col>
      <xdr:colOff>790575</xdr:colOff>
      <xdr:row>14</xdr:row>
      <xdr:rowOff>876300</xdr:rowOff>
    </xdr:to>
    <xdr:pic>
      <xdr:nvPicPr>
        <xdr:cNvPr id="8" name="Obráze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848225" y="4667250"/>
          <a:ext cx="7715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15</xdr:row>
      <xdr:rowOff>0</xdr:rowOff>
    </xdr:from>
    <xdr:to>
      <xdr:col>2</xdr:col>
      <xdr:colOff>762000</xdr:colOff>
      <xdr:row>15</xdr:row>
      <xdr:rowOff>762000</xdr:rowOff>
    </xdr:to>
    <xdr:pic>
      <xdr:nvPicPr>
        <xdr:cNvPr id="9" name="Obrázek 5"/>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4829175" y="5562600"/>
          <a:ext cx="7620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76200</xdr:colOff>
      <xdr:row>32</xdr:row>
      <xdr:rowOff>9525</xdr:rowOff>
    </xdr:from>
    <xdr:to>
      <xdr:col>2</xdr:col>
      <xdr:colOff>1019175</xdr:colOff>
      <xdr:row>32</xdr:row>
      <xdr:rowOff>876300</xdr:rowOff>
    </xdr:to>
    <xdr:pic>
      <xdr:nvPicPr>
        <xdr:cNvPr id="10" name="Obrázek 1"/>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4905375" y="20278725"/>
          <a:ext cx="94297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28575</xdr:colOff>
      <xdr:row>18</xdr:row>
      <xdr:rowOff>47625</xdr:rowOff>
    </xdr:from>
    <xdr:to>
      <xdr:col>2</xdr:col>
      <xdr:colOff>952500</xdr:colOff>
      <xdr:row>18</xdr:row>
      <xdr:rowOff>971550</xdr:rowOff>
    </xdr:to>
    <xdr:pic>
      <xdr:nvPicPr>
        <xdr:cNvPr id="11" name="Obrázek 39"/>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4857750" y="8191500"/>
          <a:ext cx="92392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57150</xdr:colOff>
      <xdr:row>19</xdr:row>
      <xdr:rowOff>28575</xdr:rowOff>
    </xdr:from>
    <xdr:to>
      <xdr:col>2</xdr:col>
      <xdr:colOff>981075</xdr:colOff>
      <xdr:row>19</xdr:row>
      <xdr:rowOff>952500</xdr:rowOff>
    </xdr:to>
    <xdr:pic>
      <xdr:nvPicPr>
        <xdr:cNvPr id="12" name="Obrázek 40"/>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4886325" y="9172575"/>
          <a:ext cx="92392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V247"/>
  <sheetViews>
    <sheetView tabSelected="1" topLeftCell="A220" workbookViewId="0">
      <selection activeCell="S244" sqref="S244"/>
    </sheetView>
  </sheetViews>
  <sheetFormatPr defaultRowHeight="12.75" x14ac:dyDescent="0.2"/>
  <cols>
    <col min="1" max="1" width="26.83203125" customWidth="1"/>
    <col min="2" max="3" width="13.83203125" customWidth="1"/>
    <col min="4" max="4" width="6.83203125" customWidth="1"/>
    <col min="5" max="5" width="8.83203125" customWidth="1"/>
    <col min="6" max="6" width="4.83203125" customWidth="1"/>
    <col min="7" max="8" width="11.83203125" customWidth="1"/>
    <col min="9" max="9" width="13.83203125" customWidth="1"/>
    <col min="10" max="10" width="13.83203125" style="4" customWidth="1"/>
    <col min="11" max="11" width="12.83203125" customWidth="1"/>
    <col min="12" max="12" width="9" style="4" customWidth="1"/>
    <col min="13" max="14" width="12.83203125" customWidth="1"/>
  </cols>
  <sheetData>
    <row r="1" spans="1:9" ht="25.5" x14ac:dyDescent="0.35">
      <c r="B1" s="2" t="s">
        <v>1109</v>
      </c>
    </row>
    <row r="2" spans="1:9" x14ac:dyDescent="0.2">
      <c r="B2" s="127" t="s">
        <v>1112</v>
      </c>
      <c r="C2" s="127"/>
      <c r="D2" s="127"/>
      <c r="E2" s="127"/>
    </row>
    <row r="3" spans="1:9" x14ac:dyDescent="0.2">
      <c r="A3" t="s">
        <v>0</v>
      </c>
    </row>
    <row r="4" spans="1:9" x14ac:dyDescent="0.2">
      <c r="A4" t="s">
        <v>513</v>
      </c>
    </row>
    <row r="5" spans="1:9" x14ac:dyDescent="0.2">
      <c r="A5" s="1" t="s">
        <v>1</v>
      </c>
    </row>
    <row r="7" spans="1:9" x14ac:dyDescent="0.2">
      <c r="A7" t="s">
        <v>2</v>
      </c>
      <c r="I7" s="3">
        <f>Specifikace!H20</f>
        <v>0</v>
      </c>
    </row>
    <row r="9" spans="1:9" x14ac:dyDescent="0.2">
      <c r="A9" t="s">
        <v>3</v>
      </c>
      <c r="I9" s="3">
        <f>J192+J239</f>
        <v>0</v>
      </c>
    </row>
    <row r="10" spans="1:9" x14ac:dyDescent="0.2">
      <c r="A10" t="s">
        <v>4</v>
      </c>
      <c r="E10">
        <v>0</v>
      </c>
      <c r="F10" t="s">
        <v>5</v>
      </c>
      <c r="G10" s="108"/>
      <c r="I10" s="3">
        <f>G10*E10</f>
        <v>0</v>
      </c>
    </row>
    <row r="11" spans="1:9" x14ac:dyDescent="0.2">
      <c r="A11" t="s">
        <v>6</v>
      </c>
      <c r="I11" s="3">
        <f>I238</f>
        <v>0</v>
      </c>
    </row>
    <row r="12" spans="1:9" x14ac:dyDescent="0.2">
      <c r="A12" t="s">
        <v>7</v>
      </c>
      <c r="I12" s="3">
        <f>I191</f>
        <v>0</v>
      </c>
    </row>
    <row r="13" spans="1:9" x14ac:dyDescent="0.2">
      <c r="I13" s="3"/>
    </row>
    <row r="14" spans="1:9" x14ac:dyDescent="0.2">
      <c r="A14" t="s">
        <v>88</v>
      </c>
      <c r="I14" s="3">
        <f>I11+I12</f>
        <v>0</v>
      </c>
    </row>
    <row r="15" spans="1:9" x14ac:dyDescent="0.2">
      <c r="A15" t="s">
        <v>89</v>
      </c>
      <c r="I15" s="3">
        <f>I9+I10+I14</f>
        <v>0</v>
      </c>
    </row>
    <row r="16" spans="1:9" x14ac:dyDescent="0.2">
      <c r="A16" t="s">
        <v>8</v>
      </c>
      <c r="I16" s="3">
        <f>0.06*I15</f>
        <v>0</v>
      </c>
    </row>
    <row r="17" spans="1:9" x14ac:dyDescent="0.2">
      <c r="I17" s="3"/>
    </row>
    <row r="18" spans="1:9" x14ac:dyDescent="0.2">
      <c r="A18" t="s">
        <v>9</v>
      </c>
      <c r="I18" s="3">
        <f>J247</f>
        <v>0</v>
      </c>
    </row>
    <row r="19" spans="1:9" x14ac:dyDescent="0.2">
      <c r="A19" t="s">
        <v>10</v>
      </c>
      <c r="E19">
        <v>8</v>
      </c>
      <c r="F19" t="s">
        <v>5</v>
      </c>
      <c r="G19" s="108"/>
      <c r="I19" s="3">
        <f>G19*E19</f>
        <v>0</v>
      </c>
    </row>
    <row r="20" spans="1:9" x14ac:dyDescent="0.2">
      <c r="I20" s="3"/>
    </row>
    <row r="21" spans="1:9" x14ac:dyDescent="0.2">
      <c r="A21" t="s">
        <v>11</v>
      </c>
      <c r="I21" s="3"/>
    </row>
    <row r="22" spans="1:9" x14ac:dyDescent="0.2">
      <c r="I22" s="3"/>
    </row>
    <row r="23" spans="1:9" x14ac:dyDescent="0.2">
      <c r="A23" t="s">
        <v>253</v>
      </c>
      <c r="E23">
        <v>8</v>
      </c>
      <c r="F23" t="s">
        <v>5</v>
      </c>
      <c r="G23" s="108"/>
      <c r="I23" s="3">
        <f t="shared" ref="I23:I28" si="0">G23*E23</f>
        <v>0</v>
      </c>
    </row>
    <row r="24" spans="1:9" x14ac:dyDescent="0.2">
      <c r="A24" t="s">
        <v>251</v>
      </c>
      <c r="E24">
        <v>8</v>
      </c>
      <c r="F24" t="s">
        <v>5</v>
      </c>
      <c r="G24" s="108"/>
      <c r="I24" s="3">
        <f t="shared" si="0"/>
        <v>0</v>
      </c>
    </row>
    <row r="25" spans="1:9" x14ac:dyDescent="0.2">
      <c r="A25" t="s">
        <v>256</v>
      </c>
      <c r="E25">
        <v>160</v>
      </c>
      <c r="F25" t="s">
        <v>5</v>
      </c>
      <c r="G25" s="108"/>
      <c r="I25" s="3">
        <f t="shared" si="0"/>
        <v>0</v>
      </c>
    </row>
    <row r="26" spans="1:9" x14ac:dyDescent="0.2">
      <c r="A26" t="s">
        <v>255</v>
      </c>
      <c r="E26">
        <v>30</v>
      </c>
      <c r="F26" t="s">
        <v>5</v>
      </c>
      <c r="G26" s="108"/>
      <c r="I26" s="3">
        <f t="shared" si="0"/>
        <v>0</v>
      </c>
    </row>
    <row r="27" spans="1:9" x14ac:dyDescent="0.2">
      <c r="A27" t="s">
        <v>252</v>
      </c>
      <c r="E27">
        <v>140</v>
      </c>
      <c r="F27" t="s">
        <v>5</v>
      </c>
      <c r="G27" s="108"/>
      <c r="I27" s="3">
        <f t="shared" si="0"/>
        <v>0</v>
      </c>
    </row>
    <row r="28" spans="1:9" x14ac:dyDescent="0.2">
      <c r="A28" t="s">
        <v>487</v>
      </c>
      <c r="E28">
        <f>8*10</f>
        <v>80</v>
      </c>
      <c r="F28" t="s">
        <v>5</v>
      </c>
      <c r="G28" s="108"/>
      <c r="I28" s="3">
        <f t="shared" si="0"/>
        <v>0</v>
      </c>
    </row>
    <row r="29" spans="1:9" x14ac:dyDescent="0.2">
      <c r="A29" s="1" t="s">
        <v>27</v>
      </c>
      <c r="I29" s="5">
        <f>SUM(I23:I28)</f>
        <v>0</v>
      </c>
    </row>
    <row r="30" spans="1:9" x14ac:dyDescent="0.2">
      <c r="I30" s="3"/>
    </row>
    <row r="31" spans="1:9" x14ac:dyDescent="0.2">
      <c r="A31" s="1" t="s">
        <v>12</v>
      </c>
      <c r="B31" s="1"/>
      <c r="C31" s="1"/>
      <c r="D31" s="1"/>
      <c r="E31" s="1"/>
      <c r="F31" s="1"/>
      <c r="G31" s="1"/>
      <c r="H31" s="1"/>
      <c r="I31" s="5">
        <f>I7+I15+I16+I18+I19+I29</f>
        <v>0</v>
      </c>
    </row>
    <row r="32" spans="1:9" x14ac:dyDescent="0.2">
      <c r="A32" s="1"/>
      <c r="B32" s="1"/>
      <c r="C32" s="1"/>
      <c r="D32" s="1"/>
      <c r="E32" s="1"/>
      <c r="F32" s="1"/>
      <c r="G32" s="1"/>
      <c r="H32" s="1"/>
      <c r="I32" s="5"/>
    </row>
    <row r="33" spans="1:19" x14ac:dyDescent="0.2">
      <c r="A33" s="1" t="s">
        <v>18</v>
      </c>
      <c r="I33" s="3"/>
    </row>
    <row r="34" spans="1:19" x14ac:dyDescent="0.2">
      <c r="A34" t="s">
        <v>19</v>
      </c>
      <c r="E34">
        <v>160</v>
      </c>
      <c r="F34" t="s">
        <v>5</v>
      </c>
      <c r="G34" s="108"/>
      <c r="I34" s="3">
        <f>G34*E34</f>
        <v>0</v>
      </c>
    </row>
    <row r="35" spans="1:19" x14ac:dyDescent="0.2">
      <c r="A35" t="s">
        <v>20</v>
      </c>
      <c r="E35">
        <v>16</v>
      </c>
      <c r="F35" t="s">
        <v>5</v>
      </c>
      <c r="G35" s="108"/>
      <c r="I35" s="3">
        <f>G35*E35</f>
        <v>0</v>
      </c>
    </row>
    <row r="36" spans="1:19" x14ac:dyDescent="0.2">
      <c r="A36" t="s">
        <v>87</v>
      </c>
      <c r="E36">
        <v>24</v>
      </c>
      <c r="F36" t="s">
        <v>5</v>
      </c>
      <c r="G36" s="108"/>
      <c r="I36" s="3">
        <f>G36*E36</f>
        <v>0</v>
      </c>
    </row>
    <row r="37" spans="1:19" x14ac:dyDescent="0.2">
      <c r="E37" s="7"/>
      <c r="F37" s="6"/>
      <c r="G37" s="3"/>
      <c r="H37" s="3"/>
      <c r="I37" s="8"/>
    </row>
    <row r="38" spans="1:19" x14ac:dyDescent="0.2">
      <c r="A38" s="1" t="s">
        <v>14</v>
      </c>
      <c r="B38" s="1"/>
      <c r="C38" s="1"/>
      <c r="D38" s="1"/>
      <c r="E38" s="1"/>
      <c r="F38" s="1"/>
      <c r="G38" s="1"/>
      <c r="H38" s="1"/>
      <c r="I38" s="5">
        <f>SUM(I34:I37)</f>
        <v>0</v>
      </c>
    </row>
    <row r="39" spans="1:19" x14ac:dyDescent="0.2">
      <c r="A39" s="1" t="s">
        <v>37</v>
      </c>
    </row>
    <row r="40" spans="1:19" s="7" customFormat="1" x14ac:dyDescent="0.2">
      <c r="A40" s="6" t="s">
        <v>34</v>
      </c>
      <c r="E40" s="20" t="s">
        <v>35</v>
      </c>
      <c r="F40" s="6" t="s">
        <v>13</v>
      </c>
      <c r="G40" s="11" t="s">
        <v>30</v>
      </c>
      <c r="H40" s="11" t="s">
        <v>31</v>
      </c>
      <c r="I40" s="11" t="s">
        <v>32</v>
      </c>
      <c r="J40" s="11" t="s">
        <v>33</v>
      </c>
      <c r="K40" s="6" t="s">
        <v>16</v>
      </c>
      <c r="L40" s="18" t="s">
        <v>269</v>
      </c>
    </row>
    <row r="41" spans="1:19" s="7" customFormat="1" x14ac:dyDescent="0.2">
      <c r="A41" s="6"/>
      <c r="E41" s="20"/>
      <c r="F41" s="6"/>
      <c r="G41" s="11"/>
      <c r="H41" s="11"/>
      <c r="I41" s="11"/>
      <c r="J41" s="11"/>
      <c r="K41" s="6"/>
      <c r="L41" s="18"/>
    </row>
    <row r="42" spans="1:19" s="7" customFormat="1" x14ac:dyDescent="0.2">
      <c r="A42" s="6" t="s">
        <v>254</v>
      </c>
      <c r="E42" s="20">
        <v>1</v>
      </c>
      <c r="F42" s="6" t="s">
        <v>15</v>
      </c>
      <c r="G42" s="109"/>
      <c r="H42" s="11"/>
      <c r="I42" s="11">
        <f t="shared" ref="I42:I43" si="1">G42*E42</f>
        <v>0</v>
      </c>
      <c r="J42" s="11"/>
      <c r="K42" s="6"/>
      <c r="L42" s="12" t="s">
        <v>180</v>
      </c>
    </row>
    <row r="43" spans="1:19" s="7" customFormat="1" x14ac:dyDescent="0.2">
      <c r="A43" s="6" t="s">
        <v>257</v>
      </c>
      <c r="E43" s="20">
        <v>1</v>
      </c>
      <c r="F43" s="6" t="s">
        <v>258</v>
      </c>
      <c r="G43" s="109"/>
      <c r="H43" s="11"/>
      <c r="I43" s="11">
        <f t="shared" si="1"/>
        <v>0</v>
      </c>
      <c r="J43" s="11"/>
      <c r="K43" s="6"/>
      <c r="L43" s="12" t="s">
        <v>180</v>
      </c>
    </row>
    <row r="44" spans="1:19" s="7" customFormat="1" x14ac:dyDescent="0.2">
      <c r="A44" s="6" t="s">
        <v>259</v>
      </c>
      <c r="B44" s="7" t="s">
        <v>260</v>
      </c>
      <c r="E44" s="20">
        <v>1</v>
      </c>
      <c r="F44" s="6" t="s">
        <v>15</v>
      </c>
      <c r="G44" s="109"/>
      <c r="H44" s="109"/>
      <c r="I44" s="11">
        <f t="shared" ref="I44" si="2">G44*E44</f>
        <v>0</v>
      </c>
      <c r="J44" s="11">
        <f t="shared" ref="J44:J45" si="3">H44*E44</f>
        <v>0</v>
      </c>
      <c r="K44" s="6"/>
      <c r="L44" s="12" t="s">
        <v>180</v>
      </c>
    </row>
    <row r="45" spans="1:19" s="7" customFormat="1" x14ac:dyDescent="0.2">
      <c r="A45" s="6" t="s">
        <v>261</v>
      </c>
      <c r="B45" s="6"/>
      <c r="C45" s="18"/>
      <c r="D45" s="6"/>
      <c r="E45" s="7">
        <v>3</v>
      </c>
      <c r="F45" s="6" t="s">
        <v>15</v>
      </c>
      <c r="G45" s="110"/>
      <c r="H45" s="109"/>
      <c r="I45" s="11">
        <f t="shared" ref="I45" si="4">G45*E45</f>
        <v>0</v>
      </c>
      <c r="J45" s="11">
        <f t="shared" si="3"/>
        <v>0</v>
      </c>
      <c r="K45" s="6"/>
      <c r="L45" s="12" t="s">
        <v>180</v>
      </c>
      <c r="M45" s="12"/>
      <c r="N45" s="9"/>
      <c r="O45" s="9"/>
      <c r="P45" s="10"/>
      <c r="Q45" s="10"/>
      <c r="S45" s="11"/>
    </row>
    <row r="46" spans="1:19" s="7" customFormat="1" x14ac:dyDescent="0.2">
      <c r="A46" s="6" t="s">
        <v>262</v>
      </c>
      <c r="B46" s="6"/>
      <c r="C46" s="18"/>
      <c r="D46" s="6"/>
      <c r="E46" s="7">
        <v>3</v>
      </c>
      <c r="F46" s="6" t="s">
        <v>15</v>
      </c>
      <c r="G46" s="109"/>
      <c r="H46" s="109"/>
      <c r="I46" s="11">
        <f>G46*E46</f>
        <v>0</v>
      </c>
      <c r="J46" s="11">
        <f t="shared" ref="J46:J52" si="5">H46*E46</f>
        <v>0</v>
      </c>
      <c r="K46" s="6"/>
      <c r="L46" s="12" t="s">
        <v>180</v>
      </c>
      <c r="M46" s="12"/>
      <c r="N46" s="9"/>
      <c r="O46" s="9"/>
      <c r="P46" s="10"/>
      <c r="Q46" s="10"/>
      <c r="S46" s="11"/>
    </row>
    <row r="47" spans="1:19" s="7" customFormat="1" x14ac:dyDescent="0.2">
      <c r="A47" s="6" t="s">
        <v>263</v>
      </c>
      <c r="B47" s="6"/>
      <c r="D47" s="6"/>
      <c r="E47" s="7">
        <v>7</v>
      </c>
      <c r="F47" s="6" t="s">
        <v>15</v>
      </c>
      <c r="G47" s="109"/>
      <c r="H47" s="109"/>
      <c r="I47" s="11">
        <f t="shared" ref="I47" si="6">G47*E47</f>
        <v>0</v>
      </c>
      <c r="J47" s="11">
        <f t="shared" si="5"/>
        <v>0</v>
      </c>
      <c r="L47" s="12" t="s">
        <v>180</v>
      </c>
      <c r="N47" s="9"/>
      <c r="O47" s="9"/>
    </row>
    <row r="48" spans="1:19" s="7" customFormat="1" x14ac:dyDescent="0.2">
      <c r="A48" s="6" t="s">
        <v>427</v>
      </c>
      <c r="B48" s="6"/>
      <c r="D48" s="6"/>
      <c r="E48" s="7">
        <v>9</v>
      </c>
      <c r="F48" s="6" t="s">
        <v>15</v>
      </c>
      <c r="G48" s="109"/>
      <c r="H48" s="109"/>
      <c r="I48" s="11">
        <f t="shared" ref="I48" si="7">G48*E48</f>
        <v>0</v>
      </c>
      <c r="J48" s="11">
        <f t="shared" si="5"/>
        <v>0</v>
      </c>
      <c r="L48" s="12" t="s">
        <v>180</v>
      </c>
      <c r="N48" s="9"/>
      <c r="O48" s="9"/>
    </row>
    <row r="49" spans="1:20" s="7" customFormat="1" x14ac:dyDescent="0.2">
      <c r="A49" s="6" t="s">
        <v>362</v>
      </c>
      <c r="B49" s="6" t="s">
        <v>363</v>
      </c>
      <c r="C49" s="6" t="s">
        <v>364</v>
      </c>
      <c r="D49" s="6"/>
      <c r="E49" s="7">
        <v>12</v>
      </c>
      <c r="F49" s="6" t="s">
        <v>15</v>
      </c>
      <c r="G49" s="109"/>
      <c r="H49" s="109"/>
      <c r="I49" s="11">
        <f>G49*E49</f>
        <v>0</v>
      </c>
      <c r="J49" s="11">
        <f t="shared" si="5"/>
        <v>0</v>
      </c>
      <c r="K49" s="6" t="s">
        <v>365</v>
      </c>
      <c r="L49" s="18" t="s">
        <v>366</v>
      </c>
      <c r="M49" s="12"/>
      <c r="N49" s="12"/>
      <c r="O49" s="9"/>
      <c r="P49" s="9"/>
      <c r="Q49" s="10"/>
      <c r="R49" s="10"/>
      <c r="T49" s="11"/>
    </row>
    <row r="50" spans="1:20" s="7" customFormat="1" x14ac:dyDescent="0.2">
      <c r="A50" s="7" t="s">
        <v>367</v>
      </c>
      <c r="E50" s="107">
        <v>1</v>
      </c>
      <c r="F50" s="6" t="s">
        <v>15</v>
      </c>
      <c r="G50" s="110"/>
      <c r="H50" s="109"/>
      <c r="I50" s="11">
        <f>G50*E50</f>
        <v>0</v>
      </c>
      <c r="J50" s="11">
        <f t="shared" si="5"/>
        <v>0</v>
      </c>
      <c r="K50" s="6" t="s">
        <v>368</v>
      </c>
      <c r="L50" s="18" t="s">
        <v>369</v>
      </c>
      <c r="M50" s="12"/>
      <c r="N50" s="12"/>
      <c r="O50" s="9"/>
      <c r="P50" s="9"/>
      <c r="Q50" s="10"/>
      <c r="R50" s="10"/>
    </row>
    <row r="51" spans="1:20" s="7" customFormat="1" x14ac:dyDescent="0.2">
      <c r="A51" s="6" t="s">
        <v>370</v>
      </c>
      <c r="B51" s="7" t="s">
        <v>1054</v>
      </c>
      <c r="D51" s="6"/>
      <c r="E51" s="107">
        <v>1</v>
      </c>
      <c r="F51" s="6" t="s">
        <v>15</v>
      </c>
      <c r="G51" s="110"/>
      <c r="H51" s="109"/>
      <c r="I51" s="11">
        <f>G51*E51</f>
        <v>0</v>
      </c>
      <c r="J51" s="11">
        <f t="shared" si="5"/>
        <v>0</v>
      </c>
      <c r="K51" s="6" t="s">
        <v>368</v>
      </c>
      <c r="L51" s="18"/>
      <c r="M51" s="12"/>
      <c r="N51" s="12"/>
      <c r="O51" s="9"/>
      <c r="P51" s="9"/>
      <c r="Q51" s="10"/>
      <c r="R51" s="10"/>
      <c r="T51" s="11"/>
    </row>
    <row r="52" spans="1:20" s="7" customFormat="1" x14ac:dyDescent="0.2">
      <c r="A52" s="6" t="s">
        <v>371</v>
      </c>
      <c r="B52" s="7" t="s">
        <v>1055</v>
      </c>
      <c r="D52" s="6"/>
      <c r="E52" s="107">
        <v>1</v>
      </c>
      <c r="F52" s="6" t="s">
        <v>15</v>
      </c>
      <c r="G52" s="110"/>
      <c r="H52" s="109"/>
      <c r="I52" s="11">
        <f>G52*E52</f>
        <v>0</v>
      </c>
      <c r="J52" s="11">
        <f t="shared" si="5"/>
        <v>0</v>
      </c>
      <c r="K52" s="6" t="s">
        <v>368</v>
      </c>
      <c r="L52" s="18"/>
      <c r="M52" s="12"/>
      <c r="N52" s="12"/>
      <c r="O52" s="9"/>
      <c r="P52" s="9"/>
      <c r="Q52" s="10"/>
      <c r="R52" s="10"/>
      <c r="T52" s="11"/>
    </row>
    <row r="53" spans="1:20" s="7" customFormat="1" x14ac:dyDescent="0.2">
      <c r="A53" s="6" t="s">
        <v>1056</v>
      </c>
      <c r="B53" s="6" t="s">
        <v>401</v>
      </c>
      <c r="C53" s="18" t="s">
        <v>402</v>
      </c>
      <c r="D53" s="6"/>
      <c r="E53" s="107">
        <v>25</v>
      </c>
      <c r="F53" s="6" t="s">
        <v>15</v>
      </c>
      <c r="G53" s="110"/>
      <c r="H53" s="109"/>
      <c r="I53" s="11">
        <f t="shared" ref="I53:I56" si="8">G53*E53</f>
        <v>0</v>
      </c>
      <c r="J53" s="11">
        <f t="shared" ref="J53:J56" si="9">H53*E53</f>
        <v>0</v>
      </c>
      <c r="K53" s="6" t="s">
        <v>403</v>
      </c>
      <c r="L53" s="18" t="s">
        <v>404</v>
      </c>
      <c r="M53" s="12"/>
      <c r="N53" s="12"/>
      <c r="O53" s="9"/>
      <c r="P53" s="9"/>
      <c r="Q53" s="10"/>
      <c r="R53" s="10"/>
      <c r="T53" s="11"/>
    </row>
    <row r="54" spans="1:20" s="7" customFormat="1" x14ac:dyDescent="0.2">
      <c r="A54" s="6" t="s">
        <v>1056</v>
      </c>
      <c r="B54" s="6" t="s">
        <v>405</v>
      </c>
      <c r="C54" s="18" t="s">
        <v>402</v>
      </c>
      <c r="D54" s="6"/>
      <c r="E54" s="107">
        <v>4</v>
      </c>
      <c r="F54" s="6" t="s">
        <v>15</v>
      </c>
      <c r="G54" s="110"/>
      <c r="H54" s="109"/>
      <c r="I54" s="11">
        <f t="shared" si="8"/>
        <v>0</v>
      </c>
      <c r="J54" s="11">
        <f t="shared" si="9"/>
        <v>0</v>
      </c>
      <c r="K54" s="6" t="s">
        <v>406</v>
      </c>
      <c r="L54" s="18" t="s">
        <v>404</v>
      </c>
      <c r="M54" s="12"/>
      <c r="N54" s="12"/>
      <c r="O54" s="9"/>
      <c r="P54" s="9"/>
      <c r="Q54" s="10"/>
      <c r="R54" s="10"/>
      <c r="T54" s="11"/>
    </row>
    <row r="55" spans="1:20" s="7" customFormat="1" x14ac:dyDescent="0.2">
      <c r="A55" s="6" t="s">
        <v>1056</v>
      </c>
      <c r="B55" s="6" t="s">
        <v>52</v>
      </c>
      <c r="C55" s="18" t="s">
        <v>402</v>
      </c>
      <c r="D55" s="6"/>
      <c r="E55" s="107">
        <v>1</v>
      </c>
      <c r="F55" s="6" t="s">
        <v>15</v>
      </c>
      <c r="G55" s="110"/>
      <c r="H55" s="109"/>
      <c r="I55" s="11">
        <f t="shared" si="8"/>
        <v>0</v>
      </c>
      <c r="J55" s="11">
        <f t="shared" si="9"/>
        <v>0</v>
      </c>
      <c r="K55" s="6" t="s">
        <v>407</v>
      </c>
      <c r="L55" s="18" t="s">
        <v>404</v>
      </c>
      <c r="M55" s="12"/>
      <c r="N55" s="12"/>
      <c r="O55" s="9"/>
      <c r="P55" s="9"/>
      <c r="Q55" s="10"/>
      <c r="R55" s="10"/>
      <c r="T55" s="11"/>
    </row>
    <row r="56" spans="1:20" s="7" customFormat="1" x14ac:dyDescent="0.2">
      <c r="A56" s="6" t="s">
        <v>1056</v>
      </c>
      <c r="B56" s="6" t="s">
        <v>44</v>
      </c>
      <c r="C56" s="18" t="s">
        <v>402</v>
      </c>
      <c r="D56" s="6"/>
      <c r="E56" s="107">
        <v>6</v>
      </c>
      <c r="F56" s="6" t="s">
        <v>15</v>
      </c>
      <c r="G56" s="110"/>
      <c r="H56" s="109"/>
      <c r="I56" s="11">
        <f t="shared" si="8"/>
        <v>0</v>
      </c>
      <c r="J56" s="11">
        <f t="shared" si="9"/>
        <v>0</v>
      </c>
      <c r="K56" s="6" t="s">
        <v>403</v>
      </c>
      <c r="L56" s="18" t="s">
        <v>404</v>
      </c>
      <c r="M56" s="12"/>
      <c r="N56" s="12"/>
      <c r="O56" s="9"/>
      <c r="P56" s="9"/>
      <c r="Q56" s="10"/>
      <c r="R56" s="10"/>
      <c r="T56" s="11"/>
    </row>
    <row r="57" spans="1:20" s="7" customFormat="1" x14ac:dyDescent="0.2">
      <c r="A57" s="6" t="s">
        <v>1056</v>
      </c>
      <c r="B57" s="6" t="s">
        <v>409</v>
      </c>
      <c r="C57" s="18" t="s">
        <v>402</v>
      </c>
      <c r="D57" s="6"/>
      <c r="E57" s="107">
        <v>5</v>
      </c>
      <c r="F57" s="6" t="s">
        <v>15</v>
      </c>
      <c r="G57" s="110"/>
      <c r="H57" s="109"/>
      <c r="I57" s="11">
        <f t="shared" ref="I57" si="10">G57*E57</f>
        <v>0</v>
      </c>
      <c r="J57" s="11">
        <f t="shared" ref="J57" si="11">H57*E57</f>
        <v>0</v>
      </c>
      <c r="K57" s="6" t="s">
        <v>408</v>
      </c>
      <c r="L57" s="18" t="s">
        <v>404</v>
      </c>
      <c r="M57" s="12"/>
      <c r="N57" s="12"/>
      <c r="O57" s="9"/>
      <c r="P57" s="9"/>
      <c r="Q57" s="10"/>
      <c r="R57" s="10"/>
      <c r="T57" s="11"/>
    </row>
    <row r="58" spans="1:20" s="7" customFormat="1" x14ac:dyDescent="0.2">
      <c r="A58" s="6" t="s">
        <v>1057</v>
      </c>
      <c r="B58" s="6" t="s">
        <v>410</v>
      </c>
      <c r="C58" s="18" t="s">
        <v>402</v>
      </c>
      <c r="D58" s="6"/>
      <c r="E58" s="107">
        <v>173</v>
      </c>
      <c r="F58" s="6" t="s">
        <v>15</v>
      </c>
      <c r="G58" s="109"/>
      <c r="H58" s="109"/>
      <c r="I58" s="11">
        <f>G58*E58</f>
        <v>0</v>
      </c>
      <c r="J58" s="11">
        <f>H58*E58</f>
        <v>0</v>
      </c>
      <c r="K58" s="6" t="s">
        <v>411</v>
      </c>
      <c r="L58" s="18" t="s">
        <v>412</v>
      </c>
      <c r="M58" s="12"/>
      <c r="N58" s="12"/>
      <c r="O58" s="9"/>
      <c r="P58" s="9"/>
      <c r="Q58" s="10"/>
      <c r="R58" s="10"/>
      <c r="T58" s="11"/>
    </row>
    <row r="59" spans="1:20" s="7" customFormat="1" x14ac:dyDescent="0.2">
      <c r="A59" s="6" t="s">
        <v>1057</v>
      </c>
      <c r="B59" s="6" t="s">
        <v>413</v>
      </c>
      <c r="C59" s="18" t="s">
        <v>402</v>
      </c>
      <c r="D59" s="6"/>
      <c r="E59" s="107">
        <v>22</v>
      </c>
      <c r="F59" s="6" t="s">
        <v>15</v>
      </c>
      <c r="G59" s="109"/>
      <c r="H59" s="109"/>
      <c r="I59" s="11">
        <f>G59*E59</f>
        <v>0</v>
      </c>
      <c r="J59" s="11">
        <f>H59*E59</f>
        <v>0</v>
      </c>
      <c r="K59" s="6" t="s">
        <v>411</v>
      </c>
      <c r="L59" s="18" t="s">
        <v>414</v>
      </c>
      <c r="M59" s="12"/>
      <c r="N59" s="12"/>
      <c r="O59" s="9"/>
      <c r="P59" s="9"/>
      <c r="Q59" s="10"/>
      <c r="R59" s="10"/>
      <c r="T59" s="11"/>
    </row>
    <row r="60" spans="1:20" s="7" customFormat="1" x14ac:dyDescent="0.2">
      <c r="A60" s="6" t="s">
        <v>417</v>
      </c>
      <c r="B60" s="6" t="s">
        <v>401</v>
      </c>
      <c r="C60" s="18"/>
      <c r="D60" s="6"/>
      <c r="E60" s="107">
        <v>7</v>
      </c>
      <c r="F60" s="6" t="s">
        <v>15</v>
      </c>
      <c r="G60" s="110"/>
      <c r="H60" s="109"/>
      <c r="I60" s="11">
        <f t="shared" ref="I60:I64" si="12">G60*E60</f>
        <v>0</v>
      </c>
      <c r="J60" s="11">
        <f t="shared" ref="J60:J64" si="13">H60*E60</f>
        <v>0</v>
      </c>
      <c r="K60" s="6" t="s">
        <v>418</v>
      </c>
      <c r="L60" s="18" t="s">
        <v>419</v>
      </c>
      <c r="M60" s="12"/>
      <c r="N60" s="12"/>
      <c r="O60" s="9"/>
      <c r="P60" s="9"/>
      <c r="Q60" s="10"/>
      <c r="R60" s="10"/>
      <c r="T60" s="11"/>
    </row>
    <row r="61" spans="1:20" s="7" customFormat="1" x14ac:dyDescent="0.2">
      <c r="A61" s="6" t="s">
        <v>417</v>
      </c>
      <c r="B61" s="6" t="s">
        <v>405</v>
      </c>
      <c r="C61" s="18"/>
      <c r="D61" s="6"/>
      <c r="E61" s="107">
        <v>2</v>
      </c>
      <c r="F61" s="6" t="s">
        <v>15</v>
      </c>
      <c r="G61" s="110"/>
      <c r="H61" s="109"/>
      <c r="I61" s="11">
        <f t="shared" si="12"/>
        <v>0</v>
      </c>
      <c r="J61" s="11">
        <f t="shared" si="13"/>
        <v>0</v>
      </c>
      <c r="K61" s="6" t="s">
        <v>420</v>
      </c>
      <c r="L61" s="18" t="s">
        <v>419</v>
      </c>
      <c r="M61" s="12"/>
      <c r="N61" s="12"/>
      <c r="O61" s="9"/>
      <c r="P61" s="9"/>
      <c r="Q61" s="10"/>
      <c r="R61" s="10"/>
      <c r="T61" s="11"/>
    </row>
    <row r="62" spans="1:20" s="7" customFormat="1" x14ac:dyDescent="0.2">
      <c r="A62" s="6" t="s">
        <v>417</v>
      </c>
      <c r="B62" s="6" t="s">
        <v>52</v>
      </c>
      <c r="C62" s="18"/>
      <c r="D62" s="6"/>
      <c r="E62" s="107">
        <v>23</v>
      </c>
      <c r="F62" s="6" t="s">
        <v>15</v>
      </c>
      <c r="G62" s="110"/>
      <c r="H62" s="109"/>
      <c r="I62" s="11">
        <f t="shared" si="12"/>
        <v>0</v>
      </c>
      <c r="J62" s="11">
        <f t="shared" si="13"/>
        <v>0</v>
      </c>
      <c r="K62" s="6" t="s">
        <v>421</v>
      </c>
      <c r="L62" s="18" t="s">
        <v>419</v>
      </c>
      <c r="M62" s="12"/>
      <c r="N62" s="12"/>
      <c r="O62" s="9"/>
      <c r="P62" s="9"/>
      <c r="Q62" s="10"/>
      <c r="R62" s="10"/>
      <c r="T62" s="11"/>
    </row>
    <row r="63" spans="1:20" s="7" customFormat="1" x14ac:dyDescent="0.2">
      <c r="A63" s="6" t="s">
        <v>422</v>
      </c>
      <c r="C63" s="18"/>
      <c r="D63" s="6"/>
      <c r="E63" s="107">
        <v>6</v>
      </c>
      <c r="F63" s="6" t="s">
        <v>15</v>
      </c>
      <c r="G63" s="110"/>
      <c r="H63" s="109"/>
      <c r="I63" s="11">
        <f t="shared" si="12"/>
        <v>0</v>
      </c>
      <c r="J63" s="11">
        <f t="shared" si="13"/>
        <v>0</v>
      </c>
      <c r="K63" s="6" t="s">
        <v>424</v>
      </c>
      <c r="L63" s="18" t="s">
        <v>425</v>
      </c>
      <c r="M63" s="12"/>
      <c r="N63" s="12"/>
      <c r="O63" s="9"/>
      <c r="P63" s="9"/>
      <c r="Q63" s="10"/>
      <c r="R63" s="10"/>
      <c r="T63" s="11"/>
    </row>
    <row r="64" spans="1:20" s="7" customFormat="1" x14ac:dyDescent="0.2">
      <c r="A64" s="6" t="s">
        <v>422</v>
      </c>
      <c r="B64" s="7" t="s">
        <v>423</v>
      </c>
      <c r="C64" s="18"/>
      <c r="D64" s="6"/>
      <c r="E64" s="107">
        <v>38</v>
      </c>
      <c r="F64" s="6" t="s">
        <v>15</v>
      </c>
      <c r="G64" s="110"/>
      <c r="H64" s="109"/>
      <c r="I64" s="11">
        <f t="shared" si="12"/>
        <v>0</v>
      </c>
      <c r="J64" s="11">
        <f t="shared" si="13"/>
        <v>0</v>
      </c>
      <c r="K64" s="6" t="s">
        <v>424</v>
      </c>
      <c r="L64" s="18" t="s">
        <v>425</v>
      </c>
      <c r="M64" s="12"/>
      <c r="N64" s="12"/>
      <c r="O64" s="9"/>
      <c r="P64" s="9"/>
      <c r="Q64" s="10"/>
      <c r="R64" s="10"/>
      <c r="T64" s="11"/>
    </row>
    <row r="65" spans="1:22" s="7" customFormat="1" x14ac:dyDescent="0.2">
      <c r="A65" s="6" t="s">
        <v>1058</v>
      </c>
      <c r="B65" s="6">
        <v>1</v>
      </c>
      <c r="C65" s="18"/>
      <c r="D65" s="6"/>
      <c r="E65" s="107">
        <v>6</v>
      </c>
      <c r="F65" s="6" t="s">
        <v>15</v>
      </c>
      <c r="G65" s="109"/>
      <c r="H65" s="109"/>
      <c r="I65" s="11">
        <f>G65*E65</f>
        <v>0</v>
      </c>
      <c r="J65" s="11">
        <f>H65*E65</f>
        <v>0</v>
      </c>
      <c r="K65" s="6" t="s">
        <v>407</v>
      </c>
      <c r="L65" s="18" t="s">
        <v>426</v>
      </c>
      <c r="M65" s="12"/>
      <c r="N65" s="12"/>
      <c r="O65" s="9"/>
      <c r="P65" s="9"/>
      <c r="Q65" s="10"/>
      <c r="R65" s="10"/>
      <c r="T65" s="11"/>
    </row>
    <row r="66" spans="1:22" s="7" customFormat="1" x14ac:dyDescent="0.2">
      <c r="A66" s="6" t="s">
        <v>1059</v>
      </c>
      <c r="B66" s="6" t="s">
        <v>415</v>
      </c>
      <c r="C66" s="18"/>
      <c r="D66" s="6"/>
      <c r="E66" s="107">
        <v>11</v>
      </c>
      <c r="F66" s="6" t="s">
        <v>15</v>
      </c>
      <c r="G66" s="109"/>
      <c r="H66" s="109"/>
      <c r="I66" s="11">
        <f>G66*E66</f>
        <v>0</v>
      </c>
      <c r="J66" s="11">
        <f>H66*E66</f>
        <v>0</v>
      </c>
      <c r="K66" s="6" t="s">
        <v>411</v>
      </c>
      <c r="L66" s="18" t="s">
        <v>416</v>
      </c>
      <c r="M66" s="12"/>
      <c r="N66" s="12"/>
      <c r="O66" s="9"/>
      <c r="P66" s="9"/>
      <c r="Q66" s="10"/>
      <c r="R66" s="10"/>
      <c r="T66" s="11"/>
    </row>
    <row r="67" spans="1:22" s="7" customFormat="1" x14ac:dyDescent="0.2">
      <c r="A67" s="7" t="s">
        <v>430</v>
      </c>
      <c r="B67" s="7" t="s">
        <v>363</v>
      </c>
      <c r="C67" s="28" t="s">
        <v>428</v>
      </c>
      <c r="E67" s="107">
        <v>30</v>
      </c>
      <c r="F67" s="6" t="s">
        <v>15</v>
      </c>
      <c r="G67" s="110"/>
      <c r="H67" s="109"/>
      <c r="I67" s="11">
        <f>G67*E67</f>
        <v>0</v>
      </c>
      <c r="J67" s="11">
        <f>H67*E67</f>
        <v>0</v>
      </c>
      <c r="K67" s="6">
        <v>210150481</v>
      </c>
      <c r="L67" s="18"/>
      <c r="M67" s="23"/>
      <c r="N67" s="12"/>
      <c r="O67" s="9"/>
      <c r="P67" s="9"/>
      <c r="T67" s="11"/>
    </row>
    <row r="68" spans="1:22" s="7" customFormat="1" x14ac:dyDescent="0.2">
      <c r="A68" s="6" t="s">
        <v>429</v>
      </c>
      <c r="B68" s="6"/>
      <c r="C68" s="18"/>
      <c r="D68" s="6"/>
      <c r="E68" s="107">
        <v>1</v>
      </c>
      <c r="F68" s="6" t="s">
        <v>15</v>
      </c>
      <c r="G68" s="110"/>
      <c r="H68" s="109"/>
      <c r="I68" s="11">
        <f>G68*E68</f>
        <v>0</v>
      </c>
      <c r="J68" s="11">
        <f>H68*E68</f>
        <v>0</v>
      </c>
      <c r="K68" s="6"/>
      <c r="L68" s="18"/>
      <c r="M68" s="12"/>
      <c r="N68" s="12"/>
      <c r="O68" s="9"/>
      <c r="P68" s="9"/>
      <c r="Q68" s="10"/>
      <c r="R68" s="10"/>
      <c r="T68" s="11"/>
    </row>
    <row r="69" spans="1:22" s="7" customFormat="1" x14ac:dyDescent="0.2">
      <c r="A69" s="6" t="s">
        <v>431</v>
      </c>
      <c r="B69" s="6" t="s">
        <v>432</v>
      </c>
      <c r="D69" s="6"/>
      <c r="E69" s="107">
        <v>1550</v>
      </c>
      <c r="F69" s="6" t="s">
        <v>15</v>
      </c>
      <c r="G69" s="109"/>
      <c r="H69" s="109"/>
      <c r="I69" s="11">
        <f t="shared" ref="I69:I74" si="14">G69*E69</f>
        <v>0</v>
      </c>
      <c r="J69" s="11">
        <f>H69*E69</f>
        <v>0</v>
      </c>
      <c r="L69" s="28" t="s">
        <v>433</v>
      </c>
      <c r="M69" s="12"/>
      <c r="O69" s="9"/>
      <c r="P69" s="9"/>
    </row>
    <row r="70" spans="1:22" s="57" customFormat="1" x14ac:dyDescent="0.2">
      <c r="A70" s="55" t="s">
        <v>1060</v>
      </c>
      <c r="B70" s="56" t="s">
        <v>468</v>
      </c>
      <c r="C70" s="57" t="s">
        <v>469</v>
      </c>
      <c r="D70" s="55"/>
      <c r="E70" s="57">
        <v>190</v>
      </c>
      <c r="F70" s="56" t="s">
        <v>15</v>
      </c>
      <c r="G70" s="111"/>
      <c r="H70" s="109"/>
      <c r="I70" s="11">
        <f t="shared" si="14"/>
        <v>0</v>
      </c>
      <c r="J70" s="11">
        <f t="shared" ref="J70:J73" si="15">H70*E70</f>
        <v>0</v>
      </c>
      <c r="K70" s="6">
        <v>210020302</v>
      </c>
      <c r="L70" s="18" t="s">
        <v>470</v>
      </c>
      <c r="M70" s="58"/>
      <c r="N70" s="6"/>
      <c r="O70" s="9"/>
      <c r="P70" s="9"/>
      <c r="T70" s="11"/>
    </row>
    <row r="71" spans="1:22" s="57" customFormat="1" x14ac:dyDescent="0.2">
      <c r="A71" s="55" t="s">
        <v>1061</v>
      </c>
      <c r="B71" s="56" t="s">
        <v>468</v>
      </c>
      <c r="C71" s="57" t="s">
        <v>469</v>
      </c>
      <c r="D71" s="55"/>
      <c r="E71" s="57">
        <v>80</v>
      </c>
      <c r="F71" s="56" t="s">
        <v>15</v>
      </c>
      <c r="G71" s="111"/>
      <c r="H71" s="109"/>
      <c r="I71" s="11">
        <f t="shared" si="14"/>
        <v>0</v>
      </c>
      <c r="J71" s="11">
        <f t="shared" si="15"/>
        <v>0</v>
      </c>
      <c r="K71" s="6">
        <v>210020306</v>
      </c>
      <c r="L71" s="18" t="s">
        <v>470</v>
      </c>
      <c r="M71" s="58"/>
      <c r="N71" s="6"/>
      <c r="O71" s="9"/>
      <c r="P71" s="9"/>
      <c r="T71" s="11"/>
    </row>
    <row r="72" spans="1:22" s="57" customFormat="1" x14ac:dyDescent="0.2">
      <c r="A72" s="55" t="s">
        <v>1062</v>
      </c>
      <c r="B72" s="56" t="s">
        <v>468</v>
      </c>
      <c r="C72" s="57" t="s">
        <v>469</v>
      </c>
      <c r="D72" s="55"/>
      <c r="E72" s="57">
        <v>90</v>
      </c>
      <c r="F72" s="56" t="s">
        <v>15</v>
      </c>
      <c r="G72" s="111"/>
      <c r="H72" s="109"/>
      <c r="I72" s="11">
        <f t="shared" si="14"/>
        <v>0</v>
      </c>
      <c r="J72" s="11">
        <f t="shared" si="15"/>
        <v>0</v>
      </c>
      <c r="K72" s="6">
        <v>210020310</v>
      </c>
      <c r="L72" s="18" t="s">
        <v>470</v>
      </c>
      <c r="M72" s="58"/>
      <c r="N72" s="6"/>
      <c r="O72" s="9"/>
      <c r="P72" s="9"/>
      <c r="T72" s="11"/>
    </row>
    <row r="73" spans="1:22" s="57" customFormat="1" x14ac:dyDescent="0.2">
      <c r="A73" s="55" t="s">
        <v>1063</v>
      </c>
      <c r="B73" s="56" t="s">
        <v>468</v>
      </c>
      <c r="C73" s="57" t="s">
        <v>469</v>
      </c>
      <c r="D73" s="55"/>
      <c r="E73" s="57">
        <v>3</v>
      </c>
      <c r="F73" s="56" t="s">
        <v>15</v>
      </c>
      <c r="G73" s="111"/>
      <c r="H73" s="109"/>
      <c r="I73" s="11">
        <f t="shared" si="14"/>
        <v>0</v>
      </c>
      <c r="J73" s="11">
        <f t="shared" si="15"/>
        <v>0</v>
      </c>
      <c r="K73" s="6">
        <v>210020312</v>
      </c>
      <c r="L73" s="18" t="s">
        <v>470</v>
      </c>
      <c r="M73" s="58"/>
      <c r="N73" s="6"/>
      <c r="O73" s="9"/>
      <c r="P73" s="9"/>
      <c r="T73" s="11"/>
    </row>
    <row r="74" spans="1:22" s="7" customFormat="1" x14ac:dyDescent="0.2">
      <c r="A74" s="15" t="s">
        <v>434</v>
      </c>
      <c r="B74" s="15" t="s">
        <v>435</v>
      </c>
      <c r="D74" s="6"/>
      <c r="E74" s="7">
        <v>20</v>
      </c>
      <c r="F74" s="15" t="s">
        <v>15</v>
      </c>
      <c r="G74" s="109"/>
      <c r="H74" s="109"/>
      <c r="I74" s="11">
        <f t="shared" si="14"/>
        <v>0</v>
      </c>
      <c r="J74" s="11">
        <f t="shared" ref="J74" si="16">H74*E74</f>
        <v>0</v>
      </c>
      <c r="K74" s="6" t="s">
        <v>48</v>
      </c>
      <c r="L74" s="18"/>
      <c r="M74" s="39"/>
      <c r="N74" s="12"/>
      <c r="O74" s="9"/>
      <c r="P74" s="9"/>
      <c r="T74" s="11"/>
    </row>
    <row r="75" spans="1:22" s="7" customFormat="1" x14ac:dyDescent="0.2">
      <c r="A75" s="7" t="s">
        <v>49</v>
      </c>
      <c r="B75" s="7" t="s">
        <v>50</v>
      </c>
      <c r="C75" s="7" t="s">
        <v>42</v>
      </c>
      <c r="E75" s="7">
        <v>20</v>
      </c>
      <c r="F75" s="7" t="s">
        <v>17</v>
      </c>
      <c r="G75" s="110"/>
      <c r="H75" s="109"/>
      <c r="I75" s="11">
        <f t="shared" ref="I75:I84" si="17">G75*E75</f>
        <v>0</v>
      </c>
      <c r="J75" s="11">
        <f t="shared" ref="J75:J84" si="18">H75*E75</f>
        <v>0</v>
      </c>
      <c r="K75" s="6" t="s">
        <v>48</v>
      </c>
      <c r="L75" s="18"/>
      <c r="M75" s="39"/>
      <c r="N75" s="12"/>
      <c r="O75" s="9"/>
      <c r="P75" s="9"/>
      <c r="Q75" s="10"/>
      <c r="R75" s="10"/>
      <c r="S75" s="10"/>
      <c r="V75" s="21"/>
    </row>
    <row r="76" spans="1:22" s="7" customFormat="1" x14ac:dyDescent="0.2">
      <c r="A76" s="15" t="s">
        <v>454</v>
      </c>
      <c r="B76" s="15" t="s">
        <v>1065</v>
      </c>
      <c r="C76" s="7" t="s">
        <v>42</v>
      </c>
      <c r="D76" s="6"/>
      <c r="E76" s="7">
        <v>50</v>
      </c>
      <c r="F76" s="15" t="s">
        <v>17</v>
      </c>
      <c r="G76" s="109"/>
      <c r="H76" s="109"/>
      <c r="I76" s="11">
        <f t="shared" si="17"/>
        <v>0</v>
      </c>
      <c r="J76" s="11">
        <f t="shared" si="18"/>
        <v>0</v>
      </c>
      <c r="K76" s="53"/>
      <c r="L76" s="54"/>
      <c r="M76" s="39"/>
      <c r="O76" s="9"/>
      <c r="P76" s="9"/>
      <c r="Q76" s="10"/>
      <c r="R76" s="10"/>
      <c r="S76" s="10"/>
      <c r="V76" s="21"/>
    </row>
    <row r="77" spans="1:22" s="7" customFormat="1" x14ac:dyDescent="0.2">
      <c r="A77" s="7" t="s">
        <v>456</v>
      </c>
      <c r="B77" s="7" t="s">
        <v>457</v>
      </c>
      <c r="C77" s="7" t="s">
        <v>458</v>
      </c>
      <c r="E77" s="107">
        <v>1650</v>
      </c>
      <c r="F77" s="7" t="s">
        <v>15</v>
      </c>
      <c r="G77" s="109"/>
      <c r="H77" s="109"/>
      <c r="I77" s="11">
        <f t="shared" si="17"/>
        <v>0</v>
      </c>
      <c r="J77" s="8">
        <f t="shared" si="18"/>
        <v>0</v>
      </c>
      <c r="L77" s="28" t="s">
        <v>459</v>
      </c>
      <c r="M77" s="23"/>
      <c r="O77" s="9"/>
      <c r="P77" s="9"/>
    </row>
    <row r="78" spans="1:22" s="7" customFormat="1" x14ac:dyDescent="0.2">
      <c r="A78" s="7" t="s">
        <v>460</v>
      </c>
      <c r="B78" s="7" t="s">
        <v>457</v>
      </c>
      <c r="C78" s="7" t="s">
        <v>458</v>
      </c>
      <c r="E78" s="107">
        <v>1250</v>
      </c>
      <c r="F78" s="7" t="s">
        <v>15</v>
      </c>
      <c r="G78" s="109"/>
      <c r="H78" s="109"/>
      <c r="I78" s="11">
        <f t="shared" si="17"/>
        <v>0</v>
      </c>
      <c r="J78" s="8">
        <f t="shared" si="18"/>
        <v>0</v>
      </c>
      <c r="L78" s="28" t="s">
        <v>459</v>
      </c>
      <c r="M78" s="23"/>
      <c r="O78" s="9"/>
      <c r="P78" s="9"/>
    </row>
    <row r="79" spans="1:22" s="7" customFormat="1" x14ac:dyDescent="0.2">
      <c r="A79" s="15" t="s">
        <v>436</v>
      </c>
      <c r="B79" s="17"/>
      <c r="D79" s="6"/>
      <c r="E79" s="7">
        <v>10</v>
      </c>
      <c r="F79" s="15" t="s">
        <v>26</v>
      </c>
      <c r="G79" s="112"/>
      <c r="H79" s="112"/>
      <c r="I79" s="11">
        <f t="shared" si="17"/>
        <v>0</v>
      </c>
      <c r="J79" s="11">
        <f t="shared" si="18"/>
        <v>0</v>
      </c>
      <c r="K79" s="53"/>
      <c r="L79" s="54"/>
      <c r="M79" s="39"/>
      <c r="N79" s="17"/>
      <c r="O79" s="9"/>
      <c r="P79" s="9"/>
      <c r="T79" s="11"/>
    </row>
    <row r="80" spans="1:22" s="7" customFormat="1" x14ac:dyDescent="0.2">
      <c r="A80" s="6" t="s">
        <v>437</v>
      </c>
      <c r="B80" s="6" t="s">
        <v>1066</v>
      </c>
      <c r="C80" s="6"/>
      <c r="D80" s="6"/>
      <c r="E80" s="7">
        <v>272</v>
      </c>
      <c r="F80" s="6" t="s">
        <v>15</v>
      </c>
      <c r="G80" s="109"/>
      <c r="H80" s="109"/>
      <c r="I80" s="11">
        <f t="shared" si="17"/>
        <v>0</v>
      </c>
      <c r="J80" s="11">
        <f t="shared" si="18"/>
        <v>0</v>
      </c>
      <c r="K80" s="6" t="s">
        <v>438</v>
      </c>
      <c r="L80" s="18" t="s">
        <v>439</v>
      </c>
      <c r="M80" s="12"/>
      <c r="N80" s="12"/>
      <c r="O80" s="9"/>
      <c r="P80" s="9"/>
      <c r="T80" s="11"/>
    </row>
    <row r="81" spans="1:20" s="7" customFormat="1" x14ac:dyDescent="0.2">
      <c r="A81" s="6" t="s">
        <v>440</v>
      </c>
      <c r="B81" s="6" t="s">
        <v>1066</v>
      </c>
      <c r="C81" s="6"/>
      <c r="D81" s="6"/>
      <c r="E81" s="7">
        <v>55</v>
      </c>
      <c r="F81" s="6" t="s">
        <v>15</v>
      </c>
      <c r="G81" s="109"/>
      <c r="H81" s="109"/>
      <c r="I81" s="11">
        <f t="shared" si="17"/>
        <v>0</v>
      </c>
      <c r="J81" s="11">
        <f t="shared" si="18"/>
        <v>0</v>
      </c>
      <c r="K81" s="6" t="s">
        <v>441</v>
      </c>
      <c r="L81" s="18" t="s">
        <v>442</v>
      </c>
      <c r="M81" s="12"/>
      <c r="N81" s="12"/>
      <c r="O81" s="9"/>
      <c r="P81" s="9"/>
      <c r="T81" s="11"/>
    </row>
    <row r="82" spans="1:20" s="7" customFormat="1" x14ac:dyDescent="0.2">
      <c r="A82" s="6" t="s">
        <v>443</v>
      </c>
      <c r="B82" s="6" t="s">
        <v>1066</v>
      </c>
      <c r="C82" s="6"/>
      <c r="D82" s="6"/>
      <c r="E82" s="7">
        <v>233</v>
      </c>
      <c r="F82" s="6" t="s">
        <v>15</v>
      </c>
      <c r="G82" s="109"/>
      <c r="H82" s="109"/>
      <c r="I82" s="11">
        <f t="shared" si="17"/>
        <v>0</v>
      </c>
      <c r="J82" s="11">
        <f t="shared" si="18"/>
        <v>0</v>
      </c>
      <c r="K82" s="6" t="s">
        <v>444</v>
      </c>
      <c r="L82" s="18" t="s">
        <v>445</v>
      </c>
      <c r="M82" s="12"/>
      <c r="N82" s="12"/>
      <c r="O82" s="9"/>
      <c r="P82" s="9"/>
      <c r="T82" s="11"/>
    </row>
    <row r="83" spans="1:20" s="7" customFormat="1" x14ac:dyDescent="0.2">
      <c r="A83" s="7" t="s">
        <v>446</v>
      </c>
      <c r="B83" s="7" t="s">
        <v>1067</v>
      </c>
      <c r="D83" s="6"/>
      <c r="E83" s="7">
        <v>95</v>
      </c>
      <c r="F83" s="6" t="s">
        <v>15</v>
      </c>
      <c r="G83" s="109"/>
      <c r="H83" s="109"/>
      <c r="I83" s="11">
        <f t="shared" si="17"/>
        <v>0</v>
      </c>
      <c r="J83" s="11">
        <f t="shared" si="18"/>
        <v>0</v>
      </c>
      <c r="K83" s="6" t="s">
        <v>447</v>
      </c>
      <c r="L83" s="18"/>
      <c r="M83" s="12"/>
      <c r="N83" s="12"/>
      <c r="O83" s="9"/>
      <c r="P83" s="9"/>
      <c r="T83" s="11"/>
    </row>
    <row r="84" spans="1:20" s="7" customFormat="1" x14ac:dyDescent="0.2">
      <c r="A84" s="7" t="s">
        <v>448</v>
      </c>
      <c r="B84" s="7" t="s">
        <v>446</v>
      </c>
      <c r="D84" s="6"/>
      <c r="E84" s="7">
        <v>95</v>
      </c>
      <c r="F84" s="6" t="s">
        <v>15</v>
      </c>
      <c r="G84" s="109"/>
      <c r="H84" s="109"/>
      <c r="I84" s="11">
        <f t="shared" si="17"/>
        <v>0</v>
      </c>
      <c r="J84" s="11">
        <f t="shared" si="18"/>
        <v>0</v>
      </c>
      <c r="L84" s="28"/>
      <c r="M84" s="12"/>
      <c r="O84" s="9"/>
      <c r="P84" s="9"/>
      <c r="T84" s="11"/>
    </row>
    <row r="85" spans="1:20" s="7" customFormat="1" x14ac:dyDescent="0.2">
      <c r="A85" s="6" t="s">
        <v>449</v>
      </c>
      <c r="B85" s="6" t="s">
        <v>450</v>
      </c>
      <c r="C85" s="7" t="s">
        <v>451</v>
      </c>
      <c r="D85" s="6"/>
      <c r="E85" s="7">
        <v>6</v>
      </c>
      <c r="F85" s="6" t="s">
        <v>15</v>
      </c>
      <c r="G85" s="109"/>
      <c r="H85" s="109"/>
      <c r="I85" s="11">
        <f t="shared" ref="I85:I89" si="19">G85*E85</f>
        <v>0</v>
      </c>
      <c r="J85" s="11">
        <f t="shared" ref="J85:J89" si="20">H85*E85</f>
        <v>0</v>
      </c>
      <c r="K85" s="6" t="s">
        <v>447</v>
      </c>
      <c r="L85" s="18"/>
      <c r="M85" s="12"/>
      <c r="N85" s="12"/>
      <c r="O85" s="9"/>
      <c r="P85" s="9"/>
    </row>
    <row r="86" spans="1:20" s="7" customFormat="1" x14ac:dyDescent="0.2">
      <c r="A86" s="51" t="s">
        <v>472</v>
      </c>
      <c r="B86" s="7" t="s">
        <v>473</v>
      </c>
      <c r="C86" s="7" t="s">
        <v>474</v>
      </c>
      <c r="D86" s="6"/>
      <c r="E86" s="7">
        <v>1</v>
      </c>
      <c r="F86" s="6" t="s">
        <v>15</v>
      </c>
      <c r="G86" s="110"/>
      <c r="H86" s="109"/>
      <c r="I86" s="11">
        <f t="shared" si="19"/>
        <v>0</v>
      </c>
      <c r="J86" s="11">
        <f t="shared" si="20"/>
        <v>0</v>
      </c>
      <c r="K86" s="6"/>
      <c r="L86" s="18"/>
      <c r="M86" s="12"/>
      <c r="N86" s="12"/>
      <c r="O86" s="9"/>
      <c r="P86" s="9"/>
      <c r="Q86" s="10"/>
      <c r="R86" s="10"/>
      <c r="T86" s="11"/>
    </row>
    <row r="87" spans="1:20" s="7" customFormat="1" x14ac:dyDescent="0.2">
      <c r="A87" s="51" t="s">
        <v>472</v>
      </c>
      <c r="B87" s="7" t="s">
        <v>477</v>
      </c>
      <c r="C87" s="7" t="s">
        <v>475</v>
      </c>
      <c r="D87" s="6"/>
      <c r="E87" s="7">
        <v>1</v>
      </c>
      <c r="F87" s="6" t="s">
        <v>15</v>
      </c>
      <c r="G87" s="110"/>
      <c r="H87" s="109"/>
      <c r="I87" s="11">
        <f t="shared" si="19"/>
        <v>0</v>
      </c>
      <c r="J87" s="11">
        <f t="shared" si="20"/>
        <v>0</v>
      </c>
      <c r="K87" s="6"/>
      <c r="L87" s="18"/>
      <c r="M87" s="12"/>
      <c r="N87" s="12"/>
      <c r="O87" s="9"/>
      <c r="P87" s="9"/>
      <c r="Q87" s="10"/>
      <c r="R87" s="10"/>
      <c r="T87" s="11"/>
    </row>
    <row r="88" spans="1:20" s="7" customFormat="1" x14ac:dyDescent="0.2">
      <c r="A88" s="51" t="s">
        <v>472</v>
      </c>
      <c r="B88" s="7" t="s">
        <v>478</v>
      </c>
      <c r="C88" s="7" t="s">
        <v>476</v>
      </c>
      <c r="D88" s="6"/>
      <c r="E88" s="7">
        <v>1</v>
      </c>
      <c r="F88" s="6" t="s">
        <v>15</v>
      </c>
      <c r="G88" s="110"/>
      <c r="H88" s="109"/>
      <c r="I88" s="11">
        <f t="shared" si="19"/>
        <v>0</v>
      </c>
      <c r="J88" s="11">
        <f t="shared" si="20"/>
        <v>0</v>
      </c>
      <c r="K88" s="6"/>
      <c r="L88" s="18"/>
      <c r="M88" s="12"/>
      <c r="N88" s="12"/>
      <c r="O88" s="9"/>
      <c r="P88" s="9"/>
      <c r="Q88" s="10"/>
      <c r="R88" s="10"/>
      <c r="T88" s="11"/>
    </row>
    <row r="89" spans="1:20" s="7" customFormat="1" x14ac:dyDescent="0.2">
      <c r="A89" s="51" t="s">
        <v>479</v>
      </c>
      <c r="B89" s="7" t="s">
        <v>480</v>
      </c>
      <c r="D89" s="6"/>
      <c r="E89" s="7">
        <v>6</v>
      </c>
      <c r="F89" s="6" t="s">
        <v>17</v>
      </c>
      <c r="G89" s="110"/>
      <c r="H89" s="109"/>
      <c r="I89" s="11">
        <f t="shared" si="19"/>
        <v>0</v>
      </c>
      <c r="J89" s="11">
        <f t="shared" si="20"/>
        <v>0</v>
      </c>
      <c r="K89" s="6"/>
      <c r="L89" s="18"/>
      <c r="M89" s="12"/>
      <c r="N89" s="12"/>
      <c r="O89" s="9"/>
      <c r="P89" s="9"/>
      <c r="Q89" s="10"/>
      <c r="R89" s="10"/>
      <c r="T89" s="11"/>
    </row>
    <row r="90" spans="1:20" s="7" customFormat="1" x14ac:dyDescent="0.2">
      <c r="A90" s="6" t="s">
        <v>482</v>
      </c>
      <c r="B90" s="7" t="s">
        <v>481</v>
      </c>
      <c r="C90" s="6" t="s">
        <v>483</v>
      </c>
      <c r="D90" s="6"/>
      <c r="E90" s="13">
        <v>3</v>
      </c>
      <c r="F90" s="6" t="s">
        <v>15</v>
      </c>
      <c r="G90" s="109"/>
      <c r="H90" s="109"/>
      <c r="I90" s="11">
        <f>G90*E90</f>
        <v>0</v>
      </c>
      <c r="J90" s="8">
        <f>H90*E90</f>
        <v>0</v>
      </c>
      <c r="K90" s="25">
        <v>210140431</v>
      </c>
      <c r="L90" s="43"/>
      <c r="M90" s="59"/>
      <c r="N90" s="12"/>
      <c r="O90" s="14"/>
      <c r="P90" s="14"/>
    </row>
    <row r="91" spans="1:20" s="7" customFormat="1" x14ac:dyDescent="0.2">
      <c r="A91" s="6" t="s">
        <v>484</v>
      </c>
      <c r="B91" s="6"/>
      <c r="C91" s="7" t="s">
        <v>485</v>
      </c>
      <c r="D91" s="6"/>
      <c r="E91" s="13">
        <v>1</v>
      </c>
      <c r="F91" s="6" t="s">
        <v>15</v>
      </c>
      <c r="G91" s="109"/>
      <c r="H91" s="109"/>
      <c r="I91" s="11">
        <f>G91*E91</f>
        <v>0</v>
      </c>
      <c r="J91" s="8">
        <f>H91*E91</f>
        <v>0</v>
      </c>
      <c r="K91" s="6">
        <v>210110102</v>
      </c>
      <c r="L91" s="18"/>
      <c r="M91" s="12"/>
      <c r="N91" s="12"/>
      <c r="O91" s="14"/>
      <c r="P91" s="14"/>
    </row>
    <row r="92" spans="1:20" s="7" customFormat="1" x14ac:dyDescent="0.2">
      <c r="A92" s="6" t="s">
        <v>486</v>
      </c>
      <c r="B92" s="18"/>
      <c r="C92" s="7" t="s">
        <v>485</v>
      </c>
      <c r="D92" s="6"/>
      <c r="E92" s="13">
        <v>2</v>
      </c>
      <c r="F92" s="6" t="s">
        <v>15</v>
      </c>
      <c r="G92" s="109"/>
      <c r="H92" s="109"/>
      <c r="I92" s="11">
        <f>G92*E92</f>
        <v>0</v>
      </c>
      <c r="J92" s="8">
        <f>H92*E92</f>
        <v>0</v>
      </c>
      <c r="K92" s="6">
        <v>210110102</v>
      </c>
      <c r="L92" s="18"/>
      <c r="M92" s="12"/>
      <c r="N92" s="12"/>
      <c r="O92" s="14"/>
      <c r="P92" s="14"/>
    </row>
    <row r="93" spans="1:20" s="7" customFormat="1" x14ac:dyDescent="0.2">
      <c r="A93" s="27" t="s">
        <v>396</v>
      </c>
      <c r="B93" s="17"/>
      <c r="D93" s="6"/>
      <c r="F93" s="15"/>
      <c r="G93" s="16"/>
      <c r="H93" s="11"/>
      <c r="I93" s="11"/>
      <c r="J93" s="8"/>
      <c r="K93" s="6"/>
      <c r="L93" s="39"/>
      <c r="M93" s="12"/>
      <c r="N93" s="9"/>
      <c r="O93" s="9"/>
      <c r="S93" s="11"/>
    </row>
    <row r="94" spans="1:20" s="7" customFormat="1" x14ac:dyDescent="0.2">
      <c r="A94" s="6" t="s">
        <v>372</v>
      </c>
      <c r="B94" s="6" t="s">
        <v>1110</v>
      </c>
      <c r="C94" s="7" t="s">
        <v>373</v>
      </c>
      <c r="D94" s="6"/>
      <c r="E94" s="7">
        <v>1</v>
      </c>
      <c r="F94" s="6" t="s">
        <v>15</v>
      </c>
      <c r="G94" s="110"/>
      <c r="H94" s="113"/>
      <c r="I94" s="11">
        <f t="shared" ref="I94:I95" si="21">G94*E94</f>
        <v>0</v>
      </c>
      <c r="J94" s="11">
        <f t="shared" ref="J94:J96" si="22">H94*E94</f>
        <v>0</v>
      </c>
      <c r="K94" s="6" t="s">
        <v>374</v>
      </c>
      <c r="L94" s="18"/>
      <c r="M94" s="12"/>
      <c r="N94" s="12"/>
      <c r="O94" s="9"/>
      <c r="P94" s="9"/>
      <c r="Q94" s="10"/>
      <c r="R94" s="10"/>
      <c r="S94" s="10"/>
      <c r="T94" s="11"/>
    </row>
    <row r="95" spans="1:20" s="7" customFormat="1" x14ac:dyDescent="0.2">
      <c r="A95" s="6" t="s">
        <v>375</v>
      </c>
      <c r="B95" s="6"/>
      <c r="D95" s="6"/>
      <c r="E95" s="7">
        <v>170</v>
      </c>
      <c r="F95" s="6" t="s">
        <v>15</v>
      </c>
      <c r="G95" s="109"/>
      <c r="H95" s="109"/>
      <c r="I95" s="11">
        <f t="shared" si="21"/>
        <v>0</v>
      </c>
      <c r="J95" s="8">
        <f t="shared" si="22"/>
        <v>0</v>
      </c>
      <c r="K95" s="6"/>
      <c r="L95" s="18"/>
      <c r="M95" s="12"/>
      <c r="O95" s="9"/>
      <c r="P95" s="9"/>
      <c r="Q95" s="10"/>
      <c r="R95" s="10"/>
      <c r="S95" s="10"/>
    </row>
    <row r="96" spans="1:20" s="7" customFormat="1" x14ac:dyDescent="0.2">
      <c r="A96" s="6" t="s">
        <v>376</v>
      </c>
      <c r="B96" s="6"/>
      <c r="D96" s="6"/>
      <c r="E96" s="7">
        <v>720</v>
      </c>
      <c r="F96" s="6" t="s">
        <v>15</v>
      </c>
      <c r="G96" s="110"/>
      <c r="H96" s="110"/>
      <c r="I96" s="11">
        <f>G96*E96</f>
        <v>0</v>
      </c>
      <c r="J96" s="8">
        <f t="shared" si="22"/>
        <v>0</v>
      </c>
      <c r="K96" s="6"/>
      <c r="L96" s="18"/>
      <c r="M96" s="12"/>
      <c r="O96" s="9"/>
      <c r="P96" s="9"/>
      <c r="Q96" s="10"/>
      <c r="R96" s="10"/>
      <c r="S96" s="10"/>
    </row>
    <row r="97" spans="1:20" s="7" customFormat="1" x14ac:dyDescent="0.2">
      <c r="A97" s="6" t="s">
        <v>377</v>
      </c>
      <c r="B97" s="6"/>
      <c r="D97" s="6"/>
      <c r="E97" s="7">
        <v>250</v>
      </c>
      <c r="F97" s="6" t="s">
        <v>15</v>
      </c>
      <c r="G97" s="110"/>
      <c r="H97" s="110"/>
      <c r="I97" s="11">
        <f t="shared" ref="I97:I102" si="23">G97*E97</f>
        <v>0</v>
      </c>
      <c r="J97" s="11">
        <f t="shared" ref="J97:J102" si="24">H97*E97</f>
        <v>0</v>
      </c>
      <c r="K97" s="6" t="s">
        <v>378</v>
      </c>
      <c r="L97" s="18"/>
      <c r="M97" s="12"/>
      <c r="N97" s="12"/>
      <c r="O97" s="9"/>
      <c r="P97" s="9"/>
      <c r="Q97" s="10"/>
      <c r="R97" s="10"/>
      <c r="S97" s="10"/>
      <c r="T97" s="11"/>
    </row>
    <row r="98" spans="1:20" s="7" customFormat="1" x14ac:dyDescent="0.2">
      <c r="A98" s="6" t="s">
        <v>379</v>
      </c>
      <c r="B98" s="6"/>
      <c r="D98" s="6"/>
      <c r="E98" s="7">
        <v>440</v>
      </c>
      <c r="F98" s="6" t="s">
        <v>15</v>
      </c>
      <c r="G98" s="110"/>
      <c r="H98" s="113"/>
      <c r="I98" s="11">
        <f t="shared" si="23"/>
        <v>0</v>
      </c>
      <c r="J98" s="11">
        <f t="shared" si="24"/>
        <v>0</v>
      </c>
      <c r="K98" s="6" t="s">
        <v>378</v>
      </c>
      <c r="L98" s="18"/>
      <c r="M98" s="12"/>
      <c r="N98" s="12"/>
      <c r="O98" s="9"/>
      <c r="P98" s="9"/>
      <c r="Q98" s="10"/>
      <c r="R98" s="10"/>
      <c r="S98" s="10"/>
      <c r="T98" s="11"/>
    </row>
    <row r="99" spans="1:20" s="7" customFormat="1" x14ac:dyDescent="0.2">
      <c r="A99" s="6" t="s">
        <v>380</v>
      </c>
      <c r="B99" s="6"/>
      <c r="D99" s="6"/>
      <c r="E99" s="50">
        <v>220</v>
      </c>
      <c r="F99" s="6" t="s">
        <v>15</v>
      </c>
      <c r="G99" s="110"/>
      <c r="H99" s="113"/>
      <c r="I99" s="11">
        <f t="shared" si="23"/>
        <v>0</v>
      </c>
      <c r="J99" s="11">
        <f t="shared" si="24"/>
        <v>0</v>
      </c>
      <c r="K99" s="6" t="s">
        <v>381</v>
      </c>
      <c r="L99" s="18"/>
      <c r="M99" s="12"/>
      <c r="N99" s="12"/>
      <c r="O99" s="9"/>
      <c r="P99" s="9"/>
      <c r="Q99" s="10"/>
      <c r="R99" s="10"/>
      <c r="S99" s="10"/>
      <c r="T99" s="11"/>
    </row>
    <row r="100" spans="1:20" s="7" customFormat="1" x14ac:dyDescent="0.2">
      <c r="A100" s="6" t="s">
        <v>382</v>
      </c>
      <c r="B100" s="6"/>
      <c r="D100" s="6"/>
      <c r="E100" s="50">
        <v>1</v>
      </c>
      <c r="F100" s="6" t="s">
        <v>15</v>
      </c>
      <c r="G100" s="110"/>
      <c r="H100" s="113"/>
      <c r="I100" s="11">
        <f t="shared" si="23"/>
        <v>0</v>
      </c>
      <c r="J100" s="11">
        <f t="shared" si="24"/>
        <v>0</v>
      </c>
      <c r="K100" s="6" t="s">
        <v>381</v>
      </c>
      <c r="L100" s="18"/>
      <c r="M100" s="12"/>
      <c r="N100" s="12"/>
      <c r="O100" s="9"/>
      <c r="P100" s="9"/>
      <c r="Q100" s="10"/>
      <c r="R100" s="10"/>
      <c r="S100" s="10"/>
      <c r="T100" s="11"/>
    </row>
    <row r="101" spans="1:20" s="7" customFormat="1" x14ac:dyDescent="0.2">
      <c r="A101" s="6" t="s">
        <v>383</v>
      </c>
      <c r="B101" s="6"/>
      <c r="D101" s="6"/>
      <c r="E101" s="50">
        <v>50</v>
      </c>
      <c r="F101" s="6" t="s">
        <v>15</v>
      </c>
      <c r="G101" s="110"/>
      <c r="H101" s="113"/>
      <c r="I101" s="11">
        <f t="shared" si="23"/>
        <v>0</v>
      </c>
      <c r="J101" s="11">
        <f t="shared" si="24"/>
        <v>0</v>
      </c>
      <c r="K101" s="6" t="s">
        <v>381</v>
      </c>
      <c r="L101" s="18"/>
      <c r="M101" s="12"/>
      <c r="N101" s="12"/>
      <c r="O101" s="9"/>
      <c r="P101" s="9"/>
      <c r="Q101" s="10"/>
      <c r="R101" s="10"/>
      <c r="S101" s="10"/>
      <c r="T101" s="11"/>
    </row>
    <row r="102" spans="1:20" s="7" customFormat="1" x14ac:dyDescent="0.2">
      <c r="A102" s="6" t="s">
        <v>384</v>
      </c>
      <c r="B102" s="6"/>
      <c r="D102" s="6"/>
      <c r="E102" s="50">
        <v>40</v>
      </c>
      <c r="F102" s="6" t="s">
        <v>15</v>
      </c>
      <c r="G102" s="110"/>
      <c r="H102" s="113"/>
      <c r="I102" s="11">
        <f t="shared" si="23"/>
        <v>0</v>
      </c>
      <c r="J102" s="11">
        <f t="shared" si="24"/>
        <v>0</v>
      </c>
      <c r="K102" s="6" t="s">
        <v>381</v>
      </c>
      <c r="L102" s="18"/>
      <c r="M102" s="12"/>
      <c r="N102" s="12"/>
      <c r="O102" s="9"/>
      <c r="P102" s="9"/>
      <c r="Q102" s="10"/>
      <c r="R102" s="10"/>
      <c r="S102" s="10"/>
      <c r="T102" s="11"/>
    </row>
    <row r="103" spans="1:20" s="7" customFormat="1" x14ac:dyDescent="0.2">
      <c r="A103" s="19" t="s">
        <v>392</v>
      </c>
      <c r="B103" s="6" t="s">
        <v>1111</v>
      </c>
      <c r="C103" s="19" t="s">
        <v>393</v>
      </c>
      <c r="D103" s="6"/>
      <c r="E103" s="50">
        <v>1</v>
      </c>
      <c r="F103" s="6" t="s">
        <v>15</v>
      </c>
      <c r="G103" s="110"/>
      <c r="H103" s="110"/>
      <c r="I103" s="11">
        <f>G103*E103</f>
        <v>0</v>
      </c>
      <c r="J103" s="11">
        <f>H103*E103</f>
        <v>0</v>
      </c>
      <c r="L103" s="28"/>
      <c r="M103" s="12"/>
      <c r="O103" s="9"/>
      <c r="P103" s="9"/>
      <c r="Q103" s="10"/>
      <c r="R103" s="10"/>
      <c r="S103" s="10"/>
    </row>
    <row r="104" spans="1:20" s="7" customFormat="1" x14ac:dyDescent="0.2">
      <c r="A104" s="19" t="s">
        <v>394</v>
      </c>
      <c r="B104" s="19" t="s">
        <v>1068</v>
      </c>
      <c r="C104" s="19"/>
      <c r="D104" s="6"/>
      <c r="E104" s="50">
        <v>1</v>
      </c>
      <c r="F104" s="6" t="s">
        <v>15</v>
      </c>
      <c r="G104" s="110"/>
      <c r="H104" s="110"/>
      <c r="I104" s="11">
        <f>G104*E104</f>
        <v>0</v>
      </c>
      <c r="J104" s="11">
        <f>H104*E104</f>
        <v>0</v>
      </c>
      <c r="L104" s="28"/>
      <c r="M104" s="12"/>
      <c r="O104" s="9"/>
      <c r="P104" s="9"/>
      <c r="Q104" s="10"/>
      <c r="R104" s="10"/>
      <c r="S104" s="10"/>
    </row>
    <row r="105" spans="1:20" s="7" customFormat="1" x14ac:dyDescent="0.2">
      <c r="A105" s="19" t="s">
        <v>395</v>
      </c>
      <c r="B105" s="19"/>
      <c r="C105" s="50"/>
      <c r="D105" s="19"/>
      <c r="E105" s="50">
        <v>17</v>
      </c>
      <c r="F105" s="19" t="s">
        <v>15</v>
      </c>
      <c r="G105" s="110"/>
      <c r="H105" s="110"/>
      <c r="I105" s="11">
        <f>G105*E105</f>
        <v>0</v>
      </c>
      <c r="J105" s="11">
        <f>H105*E105</f>
        <v>0</v>
      </c>
      <c r="K105" s="19"/>
      <c r="L105" s="28"/>
      <c r="M105" s="12"/>
      <c r="O105" s="9"/>
      <c r="P105" s="9"/>
    </row>
    <row r="106" spans="1:20" s="7" customFormat="1" x14ac:dyDescent="0.2">
      <c r="A106" s="27" t="s">
        <v>283</v>
      </c>
      <c r="B106" s="6"/>
      <c r="C106" s="6"/>
      <c r="D106" s="6"/>
      <c r="E106" s="22"/>
      <c r="F106" s="26"/>
      <c r="G106" s="11"/>
      <c r="H106" s="11"/>
      <c r="I106" s="11"/>
      <c r="J106" s="11"/>
      <c r="K106" s="6"/>
      <c r="L106" s="18"/>
      <c r="M106" s="12"/>
      <c r="N106" s="19"/>
    </row>
    <row r="107" spans="1:20" s="7" customFormat="1" x14ac:dyDescent="0.2">
      <c r="A107" s="6" t="s">
        <v>270</v>
      </c>
      <c r="B107" s="28" t="s">
        <v>271</v>
      </c>
      <c r="C107" s="6" t="s">
        <v>339</v>
      </c>
      <c r="D107" s="6"/>
      <c r="E107" s="7">
        <v>33</v>
      </c>
      <c r="F107" s="6" t="s">
        <v>15</v>
      </c>
      <c r="G107" s="109"/>
      <c r="H107" s="109"/>
      <c r="I107" s="11">
        <f t="shared" ref="I107" si="25">G107*E107</f>
        <v>0</v>
      </c>
      <c r="J107" s="11">
        <f>H107*E107</f>
        <v>0</v>
      </c>
      <c r="K107" s="6"/>
      <c r="L107" s="23"/>
      <c r="M107" s="6"/>
      <c r="N107" s="9"/>
      <c r="O107" s="9"/>
      <c r="P107"/>
      <c r="Q107"/>
    </row>
    <row r="108" spans="1:20" s="7" customFormat="1" x14ac:dyDescent="0.2">
      <c r="A108" s="6" t="s">
        <v>272</v>
      </c>
      <c r="C108" s="6"/>
      <c r="D108" s="6"/>
      <c r="E108" s="7">
        <v>14</v>
      </c>
      <c r="F108" s="6" t="s">
        <v>15</v>
      </c>
      <c r="G108" s="109"/>
      <c r="H108" s="109"/>
      <c r="I108" s="11">
        <f t="shared" ref="I108:I152" si="26">G108*E108</f>
        <v>0</v>
      </c>
      <c r="J108" s="11">
        <f t="shared" ref="J108:J152" si="27">H108*E108</f>
        <v>0</v>
      </c>
      <c r="K108" s="6"/>
      <c r="L108" s="23"/>
      <c r="M108" s="6"/>
      <c r="N108" s="9"/>
      <c r="O108" s="9"/>
      <c r="P108"/>
      <c r="Q108"/>
    </row>
    <row r="109" spans="1:20" s="7" customFormat="1" x14ac:dyDescent="0.2">
      <c r="A109" s="7" t="s">
        <v>273</v>
      </c>
      <c r="B109" s="6"/>
      <c r="C109" s="6"/>
      <c r="D109" s="6"/>
      <c r="E109" s="7">
        <v>13</v>
      </c>
      <c r="F109" s="6" t="s">
        <v>15</v>
      </c>
      <c r="G109" s="109"/>
      <c r="H109" s="109"/>
      <c r="I109" s="11">
        <f t="shared" si="26"/>
        <v>0</v>
      </c>
      <c r="J109" s="11">
        <f t="shared" si="27"/>
        <v>0</v>
      </c>
      <c r="K109" s="6"/>
      <c r="L109" s="12"/>
      <c r="M109" s="12"/>
      <c r="N109" s="9"/>
      <c r="O109" s="9"/>
      <c r="P109"/>
      <c r="Q109"/>
    </row>
    <row r="110" spans="1:20" s="7" customFormat="1" x14ac:dyDescent="0.2">
      <c r="A110" s="7" t="s">
        <v>1047</v>
      </c>
      <c r="B110" s="28"/>
      <c r="D110" s="6"/>
      <c r="E110" s="24">
        <v>4</v>
      </c>
      <c r="F110" s="6" t="s">
        <v>15</v>
      </c>
      <c r="G110" s="109"/>
      <c r="H110" s="109"/>
      <c r="I110" s="11">
        <f t="shared" ref="I110" si="28">G110*E110</f>
        <v>0</v>
      </c>
      <c r="J110" s="11">
        <f t="shared" ref="J110" si="29">H110*E110</f>
        <v>0</v>
      </c>
      <c r="K110" s="6"/>
      <c r="L110" s="12"/>
      <c r="M110" s="12"/>
      <c r="N110" s="9"/>
      <c r="O110" s="9"/>
      <c r="P110"/>
      <c r="Q110"/>
    </row>
    <row r="111" spans="1:20" s="7" customFormat="1" x14ac:dyDescent="0.2">
      <c r="A111" s="7" t="s">
        <v>274</v>
      </c>
      <c r="B111" s="28" t="s">
        <v>271</v>
      </c>
      <c r="D111" s="6"/>
      <c r="E111" s="24">
        <v>8</v>
      </c>
      <c r="F111" s="6" t="s">
        <v>15</v>
      </c>
      <c r="G111" s="109"/>
      <c r="H111" s="109"/>
      <c r="I111" s="11">
        <f t="shared" si="26"/>
        <v>0</v>
      </c>
      <c r="J111" s="11">
        <f t="shared" si="27"/>
        <v>0</v>
      </c>
      <c r="K111" s="6"/>
      <c r="L111" s="12"/>
      <c r="M111" s="12"/>
      <c r="N111" s="9"/>
      <c r="O111" s="9"/>
      <c r="P111"/>
      <c r="Q111"/>
    </row>
    <row r="112" spans="1:20" s="7" customFormat="1" x14ac:dyDescent="0.2">
      <c r="A112" s="122" t="s">
        <v>1113</v>
      </c>
      <c r="D112" s="6"/>
      <c r="E112" s="24">
        <v>1</v>
      </c>
      <c r="F112" s="6" t="s">
        <v>15</v>
      </c>
      <c r="G112" s="109"/>
      <c r="H112" s="109"/>
      <c r="I112" s="11">
        <f t="shared" si="26"/>
        <v>0</v>
      </c>
      <c r="J112" s="11">
        <f t="shared" si="27"/>
        <v>0</v>
      </c>
      <c r="K112" s="6"/>
      <c r="L112" s="12"/>
      <c r="M112" s="12"/>
      <c r="N112" s="9"/>
      <c r="O112" s="9"/>
      <c r="P112"/>
      <c r="Q112"/>
    </row>
    <row r="113" spans="1:17" s="7" customFormat="1" x14ac:dyDescent="0.2">
      <c r="A113" s="122" t="s">
        <v>1114</v>
      </c>
      <c r="D113" s="6"/>
      <c r="E113" s="24">
        <v>6</v>
      </c>
      <c r="F113" s="6" t="s">
        <v>15</v>
      </c>
      <c r="G113" s="109"/>
      <c r="H113" s="109"/>
      <c r="I113" s="11">
        <f t="shared" si="26"/>
        <v>0</v>
      </c>
      <c r="J113" s="11">
        <f t="shared" si="27"/>
        <v>0</v>
      </c>
      <c r="K113" s="6"/>
      <c r="L113" s="12"/>
      <c r="M113" s="12"/>
      <c r="N113" s="9"/>
      <c r="O113" s="9"/>
      <c r="P113"/>
      <c r="Q113"/>
    </row>
    <row r="114" spans="1:17" s="7" customFormat="1" x14ac:dyDescent="0.2">
      <c r="A114" s="7" t="s">
        <v>275</v>
      </c>
      <c r="D114" s="6"/>
      <c r="E114" s="24">
        <v>18</v>
      </c>
      <c r="F114" s="6" t="s">
        <v>15</v>
      </c>
      <c r="G114" s="109"/>
      <c r="H114" s="109"/>
      <c r="I114" s="11">
        <f t="shared" si="26"/>
        <v>0</v>
      </c>
      <c r="J114" s="11">
        <f t="shared" si="27"/>
        <v>0</v>
      </c>
      <c r="K114" s="6"/>
      <c r="L114" s="12"/>
      <c r="M114" s="12"/>
      <c r="N114" s="9"/>
      <c r="O114" s="9"/>
      <c r="P114"/>
      <c r="Q114"/>
    </row>
    <row r="115" spans="1:17" s="7" customFormat="1" x14ac:dyDescent="0.2">
      <c r="A115" s="7" t="s">
        <v>276</v>
      </c>
      <c r="B115" s="28" t="s">
        <v>271</v>
      </c>
      <c r="D115" s="6"/>
      <c r="E115" s="24">
        <v>17</v>
      </c>
      <c r="F115" s="6" t="s">
        <v>15</v>
      </c>
      <c r="G115" s="109"/>
      <c r="H115" s="109"/>
      <c r="I115" s="11">
        <f t="shared" si="26"/>
        <v>0</v>
      </c>
      <c r="J115" s="11">
        <f t="shared" si="27"/>
        <v>0</v>
      </c>
      <c r="K115" s="6"/>
      <c r="L115" s="12"/>
      <c r="M115" s="12"/>
      <c r="N115" s="9"/>
      <c r="O115" s="9"/>
      <c r="P115"/>
      <c r="Q115"/>
    </row>
    <row r="116" spans="1:17" s="7" customFormat="1" x14ac:dyDescent="0.2">
      <c r="A116" s="7" t="s">
        <v>277</v>
      </c>
      <c r="B116" s="28" t="s">
        <v>271</v>
      </c>
      <c r="D116" s="6"/>
      <c r="E116" s="24">
        <v>2</v>
      </c>
      <c r="F116" s="6" t="s">
        <v>15</v>
      </c>
      <c r="G116" s="109"/>
      <c r="H116" s="109"/>
      <c r="I116" s="11">
        <f t="shared" si="26"/>
        <v>0</v>
      </c>
      <c r="J116" s="11">
        <f t="shared" si="27"/>
        <v>0</v>
      </c>
      <c r="K116" s="6"/>
      <c r="L116" s="12"/>
      <c r="M116" s="12"/>
      <c r="N116" s="9"/>
      <c r="O116" s="9"/>
      <c r="P116"/>
      <c r="Q116"/>
    </row>
    <row r="117" spans="1:17" s="7" customFormat="1" x14ac:dyDescent="0.2">
      <c r="A117" s="7" t="s">
        <v>278</v>
      </c>
      <c r="D117" s="6"/>
      <c r="E117" s="24">
        <v>15</v>
      </c>
      <c r="F117" s="6" t="s">
        <v>15</v>
      </c>
      <c r="G117" s="109"/>
      <c r="H117" s="109"/>
      <c r="I117" s="11">
        <f t="shared" si="26"/>
        <v>0</v>
      </c>
      <c r="J117" s="11">
        <f t="shared" si="27"/>
        <v>0</v>
      </c>
      <c r="K117" s="6"/>
      <c r="L117" s="12"/>
      <c r="M117" s="12"/>
      <c r="N117" s="9"/>
      <c r="O117" s="9"/>
      <c r="P117"/>
      <c r="Q117"/>
    </row>
    <row r="118" spans="1:17" s="7" customFormat="1" x14ac:dyDescent="0.2">
      <c r="A118" s="7" t="s">
        <v>279</v>
      </c>
      <c r="D118" s="6"/>
      <c r="E118" s="24">
        <v>4</v>
      </c>
      <c r="F118" s="6" t="s">
        <v>15</v>
      </c>
      <c r="G118" s="109"/>
      <c r="H118" s="109"/>
      <c r="I118" s="11">
        <f t="shared" si="26"/>
        <v>0</v>
      </c>
      <c r="J118" s="11">
        <f t="shared" si="27"/>
        <v>0</v>
      </c>
      <c r="K118" s="6"/>
      <c r="L118" s="12"/>
      <c r="M118" s="12"/>
      <c r="N118" s="9"/>
      <c r="O118" s="9"/>
      <c r="P118"/>
      <c r="Q118"/>
    </row>
    <row r="119" spans="1:17" s="7" customFormat="1" x14ac:dyDescent="0.2">
      <c r="A119" s="7" t="s">
        <v>280</v>
      </c>
      <c r="D119" s="6"/>
      <c r="E119" s="24">
        <v>5</v>
      </c>
      <c r="F119" s="6" t="s">
        <v>15</v>
      </c>
      <c r="G119" s="109"/>
      <c r="H119" s="109"/>
      <c r="I119" s="11">
        <f t="shared" si="26"/>
        <v>0</v>
      </c>
      <c r="J119" s="11">
        <f t="shared" si="27"/>
        <v>0</v>
      </c>
      <c r="K119" s="6"/>
      <c r="L119" s="12"/>
      <c r="M119" s="12"/>
      <c r="N119" s="9"/>
      <c r="O119" s="9"/>
      <c r="P119"/>
      <c r="Q119"/>
    </row>
    <row r="120" spans="1:17" s="7" customFormat="1" x14ac:dyDescent="0.2">
      <c r="A120" s="7" t="s">
        <v>281</v>
      </c>
      <c r="D120" s="6"/>
      <c r="E120" s="123">
        <v>15</v>
      </c>
      <c r="F120" s="6" t="s">
        <v>15</v>
      </c>
      <c r="G120" s="109"/>
      <c r="H120" s="109"/>
      <c r="I120" s="11">
        <f t="shared" si="26"/>
        <v>0</v>
      </c>
      <c r="J120" s="11">
        <f t="shared" si="27"/>
        <v>0</v>
      </c>
      <c r="K120" s="6"/>
      <c r="L120" s="12"/>
      <c r="M120" s="12"/>
      <c r="N120" s="9"/>
      <c r="O120" s="9"/>
      <c r="P120"/>
      <c r="Q120"/>
    </row>
    <row r="121" spans="1:17" s="7" customFormat="1" x14ac:dyDescent="0.2">
      <c r="A121" s="7" t="s">
        <v>282</v>
      </c>
      <c r="D121" s="6"/>
      <c r="E121" s="24">
        <v>16</v>
      </c>
      <c r="F121" s="6" t="s">
        <v>15</v>
      </c>
      <c r="G121" s="109"/>
      <c r="H121" s="109"/>
      <c r="I121" s="11">
        <f t="shared" si="26"/>
        <v>0</v>
      </c>
      <c r="J121" s="11">
        <f t="shared" si="27"/>
        <v>0</v>
      </c>
      <c r="K121" s="6"/>
      <c r="L121" s="12"/>
      <c r="M121" s="12"/>
      <c r="N121" s="9"/>
      <c r="O121" s="9"/>
      <c r="P121"/>
      <c r="Q121"/>
    </row>
    <row r="122" spans="1:17" s="7" customFormat="1" x14ac:dyDescent="0.2">
      <c r="A122" s="7" t="s">
        <v>284</v>
      </c>
      <c r="B122" s="28" t="s">
        <v>271</v>
      </c>
      <c r="D122" s="6"/>
      <c r="E122" s="24">
        <v>17</v>
      </c>
      <c r="F122" s="6" t="s">
        <v>15</v>
      </c>
      <c r="G122" s="109"/>
      <c r="H122" s="109"/>
      <c r="I122" s="11">
        <f t="shared" si="26"/>
        <v>0</v>
      </c>
      <c r="J122" s="11">
        <f t="shared" si="27"/>
        <v>0</v>
      </c>
      <c r="K122" s="6"/>
      <c r="L122" s="12"/>
      <c r="M122" s="12"/>
      <c r="N122" s="9"/>
      <c r="O122" s="9"/>
      <c r="P122"/>
      <c r="Q122"/>
    </row>
    <row r="123" spans="1:17" s="7" customFormat="1" x14ac:dyDescent="0.2">
      <c r="A123" s="7" t="s">
        <v>285</v>
      </c>
      <c r="D123" s="6"/>
      <c r="E123" s="24">
        <f>8</f>
        <v>8</v>
      </c>
      <c r="F123" s="6" t="s">
        <v>15</v>
      </c>
      <c r="G123" s="109"/>
      <c r="H123" s="109"/>
      <c r="I123" s="11">
        <f t="shared" si="26"/>
        <v>0</v>
      </c>
      <c r="J123" s="11">
        <f t="shared" si="27"/>
        <v>0</v>
      </c>
      <c r="K123" s="6"/>
      <c r="L123" s="12"/>
      <c r="M123" s="12"/>
      <c r="N123" s="9"/>
      <c r="O123" s="9"/>
      <c r="P123"/>
      <c r="Q123"/>
    </row>
    <row r="124" spans="1:17" s="7" customFormat="1" x14ac:dyDescent="0.2">
      <c r="A124" s="7" t="s">
        <v>286</v>
      </c>
      <c r="B124" s="28" t="s">
        <v>271</v>
      </c>
      <c r="D124" s="6"/>
      <c r="E124" s="24">
        <v>1</v>
      </c>
      <c r="F124" s="6" t="s">
        <v>15</v>
      </c>
      <c r="G124" s="109"/>
      <c r="H124" s="109"/>
      <c r="I124" s="11">
        <f t="shared" si="26"/>
        <v>0</v>
      </c>
      <c r="J124" s="11">
        <f t="shared" si="27"/>
        <v>0</v>
      </c>
      <c r="K124" s="6"/>
      <c r="L124" s="12"/>
      <c r="M124" s="12"/>
      <c r="N124" s="9"/>
      <c r="O124" s="9"/>
      <c r="P124"/>
      <c r="Q124"/>
    </row>
    <row r="125" spans="1:17" s="7" customFormat="1" x14ac:dyDescent="0.2">
      <c r="A125" s="7" t="s">
        <v>287</v>
      </c>
      <c r="D125" s="6"/>
      <c r="E125" s="124">
        <v>41</v>
      </c>
      <c r="F125" s="6" t="s">
        <v>15</v>
      </c>
      <c r="G125" s="109"/>
      <c r="H125" s="109"/>
      <c r="I125" s="11">
        <f t="shared" si="26"/>
        <v>0</v>
      </c>
      <c r="J125" s="11">
        <f t="shared" si="27"/>
        <v>0</v>
      </c>
      <c r="K125" s="6"/>
      <c r="L125" s="12"/>
      <c r="M125" s="12"/>
      <c r="N125" s="9"/>
      <c r="O125" s="9"/>
      <c r="P125"/>
      <c r="Q125"/>
    </row>
    <row r="126" spans="1:17" s="7" customFormat="1" x14ac:dyDescent="0.2">
      <c r="A126" s="7" t="s">
        <v>288</v>
      </c>
      <c r="B126" s="28" t="s">
        <v>271</v>
      </c>
      <c r="D126" s="6"/>
      <c r="E126" s="24">
        <v>29</v>
      </c>
      <c r="F126" s="6" t="s">
        <v>15</v>
      </c>
      <c r="G126" s="109"/>
      <c r="H126" s="109"/>
      <c r="I126" s="11">
        <f t="shared" si="26"/>
        <v>0</v>
      </c>
      <c r="J126" s="11">
        <f t="shared" si="27"/>
        <v>0</v>
      </c>
      <c r="K126" s="6"/>
      <c r="L126" s="12"/>
      <c r="M126" s="12"/>
      <c r="N126" s="9"/>
      <c r="O126" s="9"/>
      <c r="P126"/>
      <c r="Q126"/>
    </row>
    <row r="127" spans="1:17" s="7" customFormat="1" x14ac:dyDescent="0.2">
      <c r="A127" s="7" t="s">
        <v>289</v>
      </c>
      <c r="D127" s="6"/>
      <c r="E127" s="24">
        <v>20</v>
      </c>
      <c r="F127" s="6" t="s">
        <v>15</v>
      </c>
      <c r="G127" s="109"/>
      <c r="H127" s="109"/>
      <c r="I127" s="11">
        <f t="shared" si="26"/>
        <v>0</v>
      </c>
      <c r="J127" s="11">
        <f t="shared" si="27"/>
        <v>0</v>
      </c>
      <c r="K127" s="6"/>
      <c r="L127" s="12"/>
      <c r="M127" s="12"/>
      <c r="N127" s="9"/>
      <c r="O127" s="9"/>
      <c r="P127"/>
      <c r="Q127"/>
    </row>
    <row r="128" spans="1:17" s="7" customFormat="1" x14ac:dyDescent="0.2">
      <c r="A128" s="7" t="s">
        <v>290</v>
      </c>
      <c r="D128" s="6"/>
      <c r="E128" s="24">
        <v>4</v>
      </c>
      <c r="F128" s="6" t="s">
        <v>15</v>
      </c>
      <c r="G128" s="109"/>
      <c r="H128" s="109"/>
      <c r="I128" s="11">
        <f t="shared" si="26"/>
        <v>0</v>
      </c>
      <c r="J128" s="11">
        <f t="shared" si="27"/>
        <v>0</v>
      </c>
      <c r="K128" s="6"/>
      <c r="L128" s="12"/>
      <c r="M128" s="12"/>
      <c r="N128" s="9"/>
      <c r="O128" s="9"/>
      <c r="P128"/>
      <c r="Q128"/>
    </row>
    <row r="129" spans="1:17" s="7" customFormat="1" x14ac:dyDescent="0.2">
      <c r="A129" s="7" t="s">
        <v>291</v>
      </c>
      <c r="D129" s="6"/>
      <c r="E129" s="24">
        <v>9</v>
      </c>
      <c r="F129" s="6" t="s">
        <v>15</v>
      </c>
      <c r="G129" s="109"/>
      <c r="H129" s="109"/>
      <c r="I129" s="11">
        <f t="shared" si="26"/>
        <v>0</v>
      </c>
      <c r="J129" s="11">
        <f t="shared" si="27"/>
        <v>0</v>
      </c>
      <c r="K129" s="6"/>
      <c r="L129" s="12"/>
      <c r="M129" s="12"/>
      <c r="N129" s="9"/>
      <c r="O129" s="9"/>
      <c r="P129"/>
      <c r="Q129"/>
    </row>
    <row r="130" spans="1:17" s="7" customFormat="1" x14ac:dyDescent="0.2">
      <c r="A130" s="7" t="s">
        <v>292</v>
      </c>
      <c r="B130" s="28" t="s">
        <v>271</v>
      </c>
      <c r="D130" s="6"/>
      <c r="E130" s="24">
        <v>12</v>
      </c>
      <c r="F130" s="6" t="s">
        <v>15</v>
      </c>
      <c r="G130" s="109"/>
      <c r="H130" s="109"/>
      <c r="I130" s="11">
        <f t="shared" si="26"/>
        <v>0</v>
      </c>
      <c r="J130" s="11">
        <f t="shared" si="27"/>
        <v>0</v>
      </c>
      <c r="K130" s="6"/>
      <c r="L130" s="12"/>
      <c r="M130" s="12"/>
      <c r="N130" s="9"/>
      <c r="O130" s="9"/>
      <c r="P130"/>
      <c r="Q130"/>
    </row>
    <row r="131" spans="1:17" s="7" customFormat="1" x14ac:dyDescent="0.2">
      <c r="A131" s="7" t="s">
        <v>293</v>
      </c>
      <c r="D131" s="6"/>
      <c r="E131" s="24">
        <v>8</v>
      </c>
      <c r="F131" s="6" t="s">
        <v>15</v>
      </c>
      <c r="G131" s="109"/>
      <c r="H131" s="109"/>
      <c r="I131" s="11">
        <f t="shared" si="26"/>
        <v>0</v>
      </c>
      <c r="J131" s="11">
        <f t="shared" si="27"/>
        <v>0</v>
      </c>
      <c r="K131" s="6"/>
      <c r="L131" s="12"/>
      <c r="M131" s="12"/>
      <c r="N131" s="9"/>
      <c r="O131" s="9"/>
      <c r="P131"/>
      <c r="Q131"/>
    </row>
    <row r="132" spans="1:17" s="7" customFormat="1" x14ac:dyDescent="0.2">
      <c r="A132" s="7" t="s">
        <v>294</v>
      </c>
      <c r="D132" s="6"/>
      <c r="E132" s="24">
        <v>6</v>
      </c>
      <c r="F132" s="6" t="s">
        <v>15</v>
      </c>
      <c r="G132" s="109"/>
      <c r="H132" s="109"/>
      <c r="I132" s="11">
        <f t="shared" si="26"/>
        <v>0</v>
      </c>
      <c r="J132" s="11">
        <f t="shared" si="27"/>
        <v>0</v>
      </c>
      <c r="K132" s="6"/>
      <c r="L132" s="12"/>
      <c r="M132" s="12"/>
      <c r="N132" s="9"/>
      <c r="O132" s="9"/>
      <c r="P132"/>
      <c r="Q132"/>
    </row>
    <row r="133" spans="1:17" s="7" customFormat="1" x14ac:dyDescent="0.2">
      <c r="A133" s="7" t="s">
        <v>295</v>
      </c>
      <c r="D133" s="6"/>
      <c r="E133" s="24">
        <v>5</v>
      </c>
      <c r="F133" s="6" t="s">
        <v>15</v>
      </c>
      <c r="G133" s="109"/>
      <c r="H133" s="109"/>
      <c r="I133" s="11">
        <f t="shared" si="26"/>
        <v>0</v>
      </c>
      <c r="J133" s="11">
        <f t="shared" si="27"/>
        <v>0</v>
      </c>
      <c r="K133" s="6"/>
      <c r="L133" s="12"/>
      <c r="M133" s="12"/>
      <c r="N133" s="9"/>
      <c r="O133" s="9"/>
      <c r="P133"/>
      <c r="Q133"/>
    </row>
    <row r="134" spans="1:17" s="7" customFormat="1" x14ac:dyDescent="0.2">
      <c r="A134" s="7" t="s">
        <v>296</v>
      </c>
      <c r="B134" s="28" t="s">
        <v>271</v>
      </c>
      <c r="D134" s="6"/>
      <c r="E134" s="24">
        <v>28</v>
      </c>
      <c r="F134" s="6" t="s">
        <v>15</v>
      </c>
      <c r="G134" s="109"/>
      <c r="H134" s="109"/>
      <c r="I134" s="11">
        <f t="shared" si="26"/>
        <v>0</v>
      </c>
      <c r="J134" s="11">
        <f t="shared" si="27"/>
        <v>0</v>
      </c>
      <c r="K134" s="6"/>
      <c r="L134" s="12"/>
      <c r="M134" s="12"/>
      <c r="N134" s="9"/>
      <c r="O134" s="9"/>
      <c r="P134"/>
      <c r="Q134"/>
    </row>
    <row r="135" spans="1:17" s="7" customFormat="1" x14ac:dyDescent="0.2">
      <c r="A135" s="7" t="s">
        <v>336</v>
      </c>
      <c r="D135" s="6"/>
      <c r="E135" s="24">
        <v>2</v>
      </c>
      <c r="F135" s="6" t="s">
        <v>15</v>
      </c>
      <c r="G135" s="109"/>
      <c r="H135" s="109"/>
      <c r="I135" s="11">
        <f t="shared" si="26"/>
        <v>0</v>
      </c>
      <c r="J135" s="11">
        <f t="shared" si="27"/>
        <v>0</v>
      </c>
      <c r="K135" s="6"/>
      <c r="L135" s="12"/>
      <c r="M135" s="12"/>
      <c r="N135" s="9"/>
      <c r="O135" s="9"/>
      <c r="P135"/>
      <c r="Q135"/>
    </row>
    <row r="136" spans="1:17" s="7" customFormat="1" x14ac:dyDescent="0.2">
      <c r="A136" s="7" t="s">
        <v>297</v>
      </c>
      <c r="D136" s="6"/>
      <c r="E136" s="24">
        <v>9</v>
      </c>
      <c r="F136" s="6" t="s">
        <v>15</v>
      </c>
      <c r="G136" s="109"/>
      <c r="H136" s="109"/>
      <c r="I136" s="11">
        <f t="shared" si="26"/>
        <v>0</v>
      </c>
      <c r="J136" s="11">
        <f t="shared" si="27"/>
        <v>0</v>
      </c>
      <c r="K136" s="6"/>
      <c r="L136" s="12"/>
      <c r="M136" s="12"/>
      <c r="N136" s="9"/>
      <c r="O136" s="9"/>
      <c r="P136"/>
      <c r="Q136"/>
    </row>
    <row r="137" spans="1:17" s="7" customFormat="1" x14ac:dyDescent="0.2">
      <c r="A137" s="7" t="s">
        <v>298</v>
      </c>
      <c r="B137" s="6"/>
      <c r="C137" s="6"/>
      <c r="D137" s="6"/>
      <c r="E137" s="7">
        <v>6</v>
      </c>
      <c r="F137" s="6" t="s">
        <v>15</v>
      </c>
      <c r="G137" s="109"/>
      <c r="H137" s="109"/>
      <c r="I137" s="11">
        <f t="shared" si="26"/>
        <v>0</v>
      </c>
      <c r="J137" s="11">
        <f t="shared" si="27"/>
        <v>0</v>
      </c>
      <c r="K137" s="6"/>
      <c r="L137" s="12"/>
      <c r="M137" s="12"/>
      <c r="N137" s="9"/>
      <c r="O137" s="9"/>
      <c r="P137"/>
      <c r="Q137"/>
    </row>
    <row r="138" spans="1:17" s="7" customFormat="1" x14ac:dyDescent="0.2">
      <c r="A138" s="107" t="s">
        <v>299</v>
      </c>
      <c r="B138" s="6"/>
      <c r="C138" s="6"/>
      <c r="D138" s="6"/>
      <c r="E138" s="7">
        <v>3</v>
      </c>
      <c r="F138" s="6" t="s">
        <v>15</v>
      </c>
      <c r="G138" s="109"/>
      <c r="H138" s="109"/>
      <c r="I138" s="11">
        <f t="shared" si="26"/>
        <v>0</v>
      </c>
      <c r="J138" s="11">
        <f t="shared" si="27"/>
        <v>0</v>
      </c>
      <c r="K138" s="6"/>
      <c r="L138" s="12"/>
      <c r="M138" s="12"/>
      <c r="N138" s="9"/>
      <c r="O138" s="9"/>
      <c r="P138"/>
      <c r="Q138"/>
    </row>
    <row r="139" spans="1:17" s="7" customFormat="1" x14ac:dyDescent="0.2">
      <c r="A139" s="7" t="s">
        <v>300</v>
      </c>
      <c r="B139" s="6"/>
      <c r="C139" s="6"/>
      <c r="D139" s="6"/>
      <c r="E139" s="7">
        <v>2</v>
      </c>
      <c r="F139" s="6" t="s">
        <v>15</v>
      </c>
      <c r="G139" s="109"/>
      <c r="H139" s="109"/>
      <c r="I139" s="11">
        <f t="shared" si="26"/>
        <v>0</v>
      </c>
      <c r="J139" s="11">
        <f t="shared" si="27"/>
        <v>0</v>
      </c>
      <c r="K139" s="6"/>
      <c r="L139" s="12"/>
      <c r="M139" s="12"/>
      <c r="N139" s="9"/>
      <c r="O139" s="9"/>
      <c r="P139"/>
      <c r="Q139"/>
    </row>
    <row r="140" spans="1:17" s="7" customFormat="1" x14ac:dyDescent="0.2">
      <c r="A140" s="7" t="s">
        <v>301</v>
      </c>
      <c r="B140" s="28" t="s">
        <v>271</v>
      </c>
      <c r="C140" s="6"/>
      <c r="D140" s="6"/>
      <c r="E140" s="7">
        <v>6</v>
      </c>
      <c r="F140" s="6" t="s">
        <v>15</v>
      </c>
      <c r="G140" s="109"/>
      <c r="H140" s="109"/>
      <c r="I140" s="11">
        <f t="shared" si="26"/>
        <v>0</v>
      </c>
      <c r="J140" s="11">
        <f t="shared" si="27"/>
        <v>0</v>
      </c>
      <c r="K140" s="6"/>
      <c r="L140" s="12"/>
      <c r="M140" s="12"/>
      <c r="N140" s="9"/>
      <c r="O140" s="9"/>
      <c r="P140"/>
      <c r="Q140"/>
    </row>
    <row r="141" spans="1:17" s="7" customFormat="1" x14ac:dyDescent="0.2">
      <c r="A141" s="7" t="s">
        <v>302</v>
      </c>
      <c r="B141" s="28" t="s">
        <v>271</v>
      </c>
      <c r="C141" s="6"/>
      <c r="D141" s="6"/>
      <c r="E141" s="7">
        <v>5</v>
      </c>
      <c r="F141" s="6" t="s">
        <v>15</v>
      </c>
      <c r="G141" s="109"/>
      <c r="H141" s="109"/>
      <c r="I141" s="11">
        <f t="shared" si="26"/>
        <v>0</v>
      </c>
      <c r="J141" s="11">
        <f t="shared" si="27"/>
        <v>0</v>
      </c>
      <c r="K141" s="6"/>
      <c r="L141" s="12"/>
      <c r="M141" s="12"/>
      <c r="N141" s="9"/>
      <c r="O141" s="9"/>
      <c r="P141"/>
      <c r="Q141"/>
    </row>
    <row r="142" spans="1:17" s="7" customFormat="1" x14ac:dyDescent="0.2">
      <c r="A142" s="7" t="s">
        <v>303</v>
      </c>
      <c r="B142" s="6"/>
      <c r="C142" s="6"/>
      <c r="D142" s="6"/>
      <c r="E142" s="7">
        <v>32</v>
      </c>
      <c r="F142" s="6" t="s">
        <v>15</v>
      </c>
      <c r="G142" s="109"/>
      <c r="H142" s="109"/>
      <c r="I142" s="11">
        <f t="shared" si="26"/>
        <v>0</v>
      </c>
      <c r="J142" s="11">
        <f t="shared" si="27"/>
        <v>0</v>
      </c>
      <c r="K142" s="6"/>
      <c r="L142" s="12"/>
      <c r="M142" s="12"/>
      <c r="N142" s="9"/>
      <c r="O142" s="9"/>
      <c r="P142"/>
      <c r="Q142"/>
    </row>
    <row r="143" spans="1:17" s="7" customFormat="1" x14ac:dyDescent="0.2">
      <c r="A143" s="7" t="s">
        <v>304</v>
      </c>
      <c r="B143" s="28" t="s">
        <v>271</v>
      </c>
      <c r="C143" s="6"/>
      <c r="D143" s="6"/>
      <c r="E143" s="7">
        <v>1</v>
      </c>
      <c r="F143" s="6" t="s">
        <v>15</v>
      </c>
      <c r="G143" s="109"/>
      <c r="H143" s="109"/>
      <c r="I143" s="11">
        <f t="shared" si="26"/>
        <v>0</v>
      </c>
      <c r="J143" s="11">
        <f t="shared" si="27"/>
        <v>0</v>
      </c>
      <c r="K143" s="6"/>
      <c r="L143" s="12"/>
      <c r="M143" s="12"/>
      <c r="N143" s="9"/>
      <c r="O143" s="9"/>
      <c r="P143"/>
      <c r="Q143"/>
    </row>
    <row r="144" spans="1:17" s="7" customFormat="1" x14ac:dyDescent="0.2">
      <c r="A144" s="7" t="s">
        <v>305</v>
      </c>
      <c r="B144" s="28" t="s">
        <v>271</v>
      </c>
      <c r="C144" s="6"/>
      <c r="D144" s="6"/>
      <c r="E144" s="7">
        <v>4</v>
      </c>
      <c r="F144" s="6" t="s">
        <v>15</v>
      </c>
      <c r="G144" s="109"/>
      <c r="H144" s="109"/>
      <c r="I144" s="11">
        <f t="shared" si="26"/>
        <v>0</v>
      </c>
      <c r="J144" s="11">
        <f t="shared" si="27"/>
        <v>0</v>
      </c>
      <c r="K144" s="6"/>
      <c r="L144" s="12"/>
      <c r="M144" s="12"/>
      <c r="N144" s="9"/>
      <c r="O144" s="9"/>
      <c r="P144"/>
      <c r="Q144"/>
    </row>
    <row r="145" spans="1:17" s="7" customFormat="1" x14ac:dyDescent="0.2">
      <c r="A145" s="7" t="s">
        <v>306</v>
      </c>
      <c r="B145" s="6"/>
      <c r="C145" s="6"/>
      <c r="D145" s="6"/>
      <c r="E145" s="122">
        <v>19</v>
      </c>
      <c r="F145" s="6" t="s">
        <v>15</v>
      </c>
      <c r="G145" s="109"/>
      <c r="H145" s="109"/>
      <c r="I145" s="11">
        <f t="shared" si="26"/>
        <v>0</v>
      </c>
      <c r="J145" s="11">
        <f t="shared" si="27"/>
        <v>0</v>
      </c>
      <c r="K145" s="6"/>
      <c r="L145" s="12"/>
      <c r="M145" s="12"/>
      <c r="N145" s="9"/>
      <c r="O145" s="9"/>
      <c r="P145"/>
      <c r="Q145"/>
    </row>
    <row r="146" spans="1:17" s="7" customFormat="1" x14ac:dyDescent="0.2">
      <c r="A146" s="7" t="s">
        <v>307</v>
      </c>
      <c r="B146" s="6"/>
      <c r="C146" s="6"/>
      <c r="D146" s="6"/>
      <c r="E146" s="7">
        <v>2</v>
      </c>
      <c r="F146" s="6" t="s">
        <v>15</v>
      </c>
      <c r="G146" s="109"/>
      <c r="H146" s="109"/>
      <c r="I146" s="11">
        <f t="shared" si="26"/>
        <v>0</v>
      </c>
      <c r="J146" s="11">
        <f t="shared" si="27"/>
        <v>0</v>
      </c>
      <c r="K146" s="6"/>
      <c r="L146" s="12"/>
      <c r="M146" s="12"/>
      <c r="N146" s="9"/>
      <c r="O146" s="9"/>
      <c r="P146"/>
      <c r="Q146"/>
    </row>
    <row r="147" spans="1:17" s="7" customFormat="1" x14ac:dyDescent="0.2">
      <c r="A147" s="125" t="s">
        <v>308</v>
      </c>
      <c r="B147" s="126"/>
      <c r="C147" s="126"/>
      <c r="D147" s="126"/>
      <c r="E147" s="122">
        <v>0</v>
      </c>
      <c r="F147" s="6" t="s">
        <v>15</v>
      </c>
      <c r="G147" s="109"/>
      <c r="H147" s="109"/>
      <c r="I147" s="11">
        <f t="shared" si="26"/>
        <v>0</v>
      </c>
      <c r="J147" s="11">
        <f t="shared" si="27"/>
        <v>0</v>
      </c>
      <c r="K147" s="6"/>
      <c r="L147" s="12"/>
      <c r="M147" s="12"/>
      <c r="N147" s="9"/>
      <c r="O147" s="9"/>
      <c r="P147"/>
      <c r="Q147"/>
    </row>
    <row r="148" spans="1:17" s="7" customFormat="1" x14ac:dyDescent="0.2">
      <c r="A148" s="7" t="s">
        <v>309</v>
      </c>
      <c r="B148" s="6"/>
      <c r="C148" s="6"/>
      <c r="D148" s="6"/>
      <c r="E148" s="122">
        <v>7</v>
      </c>
      <c r="F148" s="6" t="s">
        <v>15</v>
      </c>
      <c r="G148" s="109"/>
      <c r="H148" s="109"/>
      <c r="I148" s="11">
        <f t="shared" si="26"/>
        <v>0</v>
      </c>
      <c r="J148" s="11">
        <f t="shared" si="27"/>
        <v>0</v>
      </c>
      <c r="K148" s="6"/>
      <c r="L148" s="12"/>
      <c r="M148" s="12"/>
      <c r="N148" s="9"/>
      <c r="O148" s="9"/>
      <c r="P148"/>
      <c r="Q148"/>
    </row>
    <row r="149" spans="1:17" s="7" customFormat="1" x14ac:dyDescent="0.2">
      <c r="A149" s="7" t="s">
        <v>310</v>
      </c>
      <c r="B149" s="6"/>
      <c r="C149" s="6"/>
      <c r="D149" s="6"/>
      <c r="E149" s="7">
        <v>6</v>
      </c>
      <c r="F149" s="6" t="s">
        <v>15</v>
      </c>
      <c r="G149" s="109"/>
      <c r="H149" s="109"/>
      <c r="I149" s="11">
        <f t="shared" si="26"/>
        <v>0</v>
      </c>
      <c r="J149" s="11">
        <f t="shared" si="27"/>
        <v>0</v>
      </c>
      <c r="K149" s="6"/>
      <c r="L149" s="12"/>
      <c r="M149" s="12"/>
      <c r="N149" s="9"/>
      <c r="O149" s="9"/>
      <c r="P149"/>
      <c r="Q149"/>
    </row>
    <row r="150" spans="1:17" s="7" customFormat="1" x14ac:dyDescent="0.2">
      <c r="A150" s="7" t="s">
        <v>311</v>
      </c>
      <c r="B150" s="6"/>
      <c r="C150" s="6"/>
      <c r="D150" s="6"/>
      <c r="E150" s="7">
        <v>90</v>
      </c>
      <c r="F150" s="6" t="s">
        <v>15</v>
      </c>
      <c r="G150" s="109"/>
      <c r="H150" s="109"/>
      <c r="I150" s="11">
        <f t="shared" si="26"/>
        <v>0</v>
      </c>
      <c r="J150" s="11">
        <f t="shared" si="27"/>
        <v>0</v>
      </c>
      <c r="K150" s="6"/>
      <c r="L150" s="12"/>
      <c r="M150" s="12"/>
      <c r="N150" s="9"/>
      <c r="O150" s="9"/>
      <c r="P150"/>
      <c r="Q150"/>
    </row>
    <row r="151" spans="1:17" s="7" customFormat="1" x14ac:dyDescent="0.2">
      <c r="A151" s="7" t="s">
        <v>312</v>
      </c>
      <c r="B151" s="6"/>
      <c r="C151" s="6"/>
      <c r="D151" s="6"/>
      <c r="E151" s="122">
        <v>6</v>
      </c>
      <c r="F151" s="6" t="s">
        <v>15</v>
      </c>
      <c r="G151" s="109"/>
      <c r="H151" s="109"/>
      <c r="I151" s="11">
        <f t="shared" si="26"/>
        <v>0</v>
      </c>
      <c r="J151" s="11">
        <f t="shared" si="27"/>
        <v>0</v>
      </c>
      <c r="K151" s="6"/>
      <c r="L151" s="12"/>
      <c r="M151" s="12"/>
      <c r="N151" s="9"/>
      <c r="O151" s="9"/>
      <c r="P151"/>
      <c r="Q151"/>
    </row>
    <row r="152" spans="1:17" s="7" customFormat="1" x14ac:dyDescent="0.2">
      <c r="A152" s="7" t="s">
        <v>313</v>
      </c>
      <c r="B152" s="6"/>
      <c r="C152" s="6"/>
      <c r="D152" s="6"/>
      <c r="E152" s="7">
        <v>7</v>
      </c>
      <c r="F152" s="6" t="s">
        <v>15</v>
      </c>
      <c r="G152" s="109"/>
      <c r="H152" s="109"/>
      <c r="I152" s="11">
        <f t="shared" si="26"/>
        <v>0</v>
      </c>
      <c r="J152" s="11">
        <f t="shared" si="27"/>
        <v>0</v>
      </c>
      <c r="K152" s="6"/>
      <c r="L152" s="12"/>
      <c r="M152" s="12"/>
      <c r="N152" s="9"/>
      <c r="O152" s="9"/>
      <c r="P152"/>
      <c r="Q152"/>
    </row>
    <row r="153" spans="1:17" s="7" customFormat="1" x14ac:dyDescent="0.2">
      <c r="A153" s="7" t="s">
        <v>1048</v>
      </c>
      <c r="B153" s="6" t="s">
        <v>1049</v>
      </c>
      <c r="C153" s="6"/>
      <c r="D153" s="6"/>
      <c r="E153" s="7">
        <v>4</v>
      </c>
      <c r="F153" s="6" t="s">
        <v>15</v>
      </c>
      <c r="G153" s="109"/>
      <c r="H153" s="109"/>
      <c r="I153" s="11">
        <f t="shared" ref="I153" si="30">G153*E153</f>
        <v>0</v>
      </c>
      <c r="J153" s="11">
        <f t="shared" ref="J153" si="31">H153*E153</f>
        <v>0</v>
      </c>
      <c r="K153" s="6"/>
      <c r="L153" s="12"/>
      <c r="M153" s="12"/>
      <c r="N153" s="9"/>
      <c r="O153" s="9"/>
      <c r="P153"/>
      <c r="Q153"/>
    </row>
    <row r="154" spans="1:17" s="7" customFormat="1" x14ac:dyDescent="0.2">
      <c r="A154" s="7" t="s">
        <v>1050</v>
      </c>
      <c r="B154" s="6" t="s">
        <v>1051</v>
      </c>
      <c r="C154" s="6"/>
      <c r="D154" s="6"/>
      <c r="E154" s="7">
        <v>1</v>
      </c>
      <c r="F154" s="6" t="s">
        <v>15</v>
      </c>
      <c r="G154" s="109"/>
      <c r="H154" s="109"/>
      <c r="I154" s="11">
        <f t="shared" ref="I154:I155" si="32">G154*E154</f>
        <v>0</v>
      </c>
      <c r="J154" s="11">
        <f t="shared" ref="J154:J155" si="33">H154*E154</f>
        <v>0</v>
      </c>
      <c r="K154" s="6"/>
      <c r="L154" s="12"/>
      <c r="M154" s="12"/>
      <c r="N154" s="9"/>
      <c r="O154" s="9"/>
      <c r="P154"/>
      <c r="Q154"/>
    </row>
    <row r="155" spans="1:17" s="7" customFormat="1" x14ac:dyDescent="0.2">
      <c r="A155" s="7" t="s">
        <v>1052</v>
      </c>
      <c r="B155" s="6" t="s">
        <v>1053</v>
      </c>
      <c r="C155" s="6"/>
      <c r="D155" s="6"/>
      <c r="E155" s="7">
        <v>3</v>
      </c>
      <c r="F155" s="6" t="s">
        <v>15</v>
      </c>
      <c r="G155" s="109"/>
      <c r="H155" s="109"/>
      <c r="I155" s="11">
        <f t="shared" si="32"/>
        <v>0</v>
      </c>
      <c r="J155" s="11">
        <f t="shared" si="33"/>
        <v>0</v>
      </c>
      <c r="K155" s="6"/>
      <c r="L155" s="12"/>
      <c r="M155" s="12"/>
      <c r="N155" s="9"/>
      <c r="O155" s="9"/>
      <c r="P155"/>
      <c r="Q155"/>
    </row>
    <row r="156" spans="1:17" s="7" customFormat="1" x14ac:dyDescent="0.2">
      <c r="A156" s="7" t="s">
        <v>315</v>
      </c>
      <c r="B156" s="6" t="s">
        <v>314</v>
      </c>
      <c r="C156" s="6"/>
      <c r="D156" s="6"/>
      <c r="E156" s="7">
        <v>13</v>
      </c>
      <c r="F156" s="6" t="s">
        <v>15</v>
      </c>
      <c r="G156" s="109"/>
      <c r="H156" s="109"/>
      <c r="I156" s="11">
        <f t="shared" ref="I156" si="34">G156*E156</f>
        <v>0</v>
      </c>
      <c r="J156" s="11">
        <f t="shared" ref="J156" si="35">H156*E156</f>
        <v>0</v>
      </c>
      <c r="K156" s="6"/>
      <c r="L156" s="12"/>
      <c r="M156" s="12"/>
      <c r="N156" s="9"/>
      <c r="O156" s="9"/>
      <c r="P156"/>
      <c r="Q156"/>
    </row>
    <row r="157" spans="1:17" s="7" customFormat="1" x14ac:dyDescent="0.2">
      <c r="A157" s="7" t="s">
        <v>316</v>
      </c>
      <c r="B157" s="6" t="s">
        <v>314</v>
      </c>
      <c r="C157" s="6"/>
      <c r="D157" s="6"/>
      <c r="E157" s="7">
        <v>6</v>
      </c>
      <c r="F157" s="6" t="s">
        <v>15</v>
      </c>
      <c r="G157" s="109"/>
      <c r="H157" s="109"/>
      <c r="I157" s="11">
        <f t="shared" ref="I157:I176" si="36">G157*E157</f>
        <v>0</v>
      </c>
      <c r="J157" s="11">
        <f t="shared" ref="J157:J176" si="37">H157*E157</f>
        <v>0</v>
      </c>
      <c r="K157" s="6"/>
      <c r="L157" s="12"/>
      <c r="M157" s="12"/>
      <c r="N157" s="9"/>
      <c r="O157" s="9"/>
      <c r="P157"/>
      <c r="Q157"/>
    </row>
    <row r="158" spans="1:17" s="7" customFormat="1" x14ac:dyDescent="0.2">
      <c r="A158" s="7" t="s">
        <v>317</v>
      </c>
      <c r="B158" s="6" t="s">
        <v>314</v>
      </c>
      <c r="C158" s="6"/>
      <c r="D158" s="6"/>
      <c r="E158" s="7">
        <v>13</v>
      </c>
      <c r="F158" s="6" t="s">
        <v>15</v>
      </c>
      <c r="G158" s="109"/>
      <c r="H158" s="109"/>
      <c r="I158" s="11">
        <f t="shared" si="36"/>
        <v>0</v>
      </c>
      <c r="J158" s="11">
        <f t="shared" si="37"/>
        <v>0</v>
      </c>
      <c r="K158" s="6"/>
      <c r="L158" s="12"/>
      <c r="M158" s="12"/>
      <c r="N158" s="9"/>
      <c r="O158" s="9"/>
      <c r="P158"/>
      <c r="Q158"/>
    </row>
    <row r="159" spans="1:17" s="7" customFormat="1" x14ac:dyDescent="0.2">
      <c r="A159" s="7" t="s">
        <v>318</v>
      </c>
      <c r="B159" s="6" t="s">
        <v>314</v>
      </c>
      <c r="C159" s="6"/>
      <c r="D159" s="6"/>
      <c r="E159" s="7">
        <v>35</v>
      </c>
      <c r="F159" s="6" t="s">
        <v>15</v>
      </c>
      <c r="G159" s="109"/>
      <c r="H159" s="109"/>
      <c r="I159" s="11">
        <f t="shared" si="36"/>
        <v>0</v>
      </c>
      <c r="J159" s="11">
        <f t="shared" si="37"/>
        <v>0</v>
      </c>
      <c r="K159" s="6"/>
      <c r="L159" s="12"/>
      <c r="M159" s="12"/>
      <c r="N159" s="9"/>
      <c r="O159" s="9"/>
      <c r="P159"/>
      <c r="Q159"/>
    </row>
    <row r="160" spans="1:17" s="7" customFormat="1" x14ac:dyDescent="0.2">
      <c r="A160" s="7" t="s">
        <v>319</v>
      </c>
      <c r="B160" s="6" t="s">
        <v>314</v>
      </c>
      <c r="C160" s="6"/>
      <c r="D160" s="6"/>
      <c r="E160" s="7">
        <v>8</v>
      </c>
      <c r="F160" s="6" t="s">
        <v>15</v>
      </c>
      <c r="G160" s="109"/>
      <c r="H160" s="109"/>
      <c r="I160" s="11">
        <f t="shared" si="36"/>
        <v>0</v>
      </c>
      <c r="J160" s="11">
        <f t="shared" si="37"/>
        <v>0</v>
      </c>
      <c r="K160" s="6"/>
      <c r="L160" s="12"/>
      <c r="M160" s="12"/>
      <c r="N160" s="9"/>
      <c r="O160" s="9"/>
      <c r="P160"/>
      <c r="Q160"/>
    </row>
    <row r="161" spans="1:17" s="7" customFormat="1" x14ac:dyDescent="0.2">
      <c r="A161" s="7" t="s">
        <v>320</v>
      </c>
      <c r="B161" s="6" t="s">
        <v>314</v>
      </c>
      <c r="C161" s="6"/>
      <c r="D161" s="6"/>
      <c r="E161" s="7">
        <v>10</v>
      </c>
      <c r="F161" s="6" t="s">
        <v>15</v>
      </c>
      <c r="G161" s="109"/>
      <c r="H161" s="109"/>
      <c r="I161" s="11">
        <f t="shared" si="36"/>
        <v>0</v>
      </c>
      <c r="J161" s="11">
        <f t="shared" si="37"/>
        <v>0</v>
      </c>
      <c r="K161" s="6"/>
      <c r="L161" s="12"/>
      <c r="M161" s="12"/>
      <c r="N161" s="9"/>
      <c r="O161" s="9"/>
      <c r="P161"/>
      <c r="Q161"/>
    </row>
    <row r="162" spans="1:17" s="7" customFormat="1" x14ac:dyDescent="0.2">
      <c r="A162" s="7" t="s">
        <v>321</v>
      </c>
      <c r="B162" s="6" t="s">
        <v>314</v>
      </c>
      <c r="C162" s="6"/>
      <c r="D162" s="6"/>
      <c r="E162" s="7">
        <v>6</v>
      </c>
      <c r="F162" s="6" t="s">
        <v>15</v>
      </c>
      <c r="G162" s="109"/>
      <c r="H162" s="109"/>
      <c r="I162" s="11">
        <f t="shared" si="36"/>
        <v>0</v>
      </c>
      <c r="J162" s="11">
        <f t="shared" si="37"/>
        <v>0</v>
      </c>
      <c r="K162" s="6"/>
      <c r="L162" s="12"/>
      <c r="M162" s="12"/>
      <c r="N162" s="9"/>
      <c r="O162" s="9"/>
      <c r="P162"/>
      <c r="Q162"/>
    </row>
    <row r="163" spans="1:17" s="7" customFormat="1" x14ac:dyDescent="0.2">
      <c r="A163" s="7" t="s">
        <v>323</v>
      </c>
      <c r="B163" s="6" t="s">
        <v>314</v>
      </c>
      <c r="C163" s="6"/>
      <c r="D163" s="6"/>
      <c r="E163" s="7">
        <v>5</v>
      </c>
      <c r="F163" s="6" t="s">
        <v>15</v>
      </c>
      <c r="G163" s="109"/>
      <c r="H163" s="109"/>
      <c r="I163" s="11">
        <f t="shared" si="36"/>
        <v>0</v>
      </c>
      <c r="J163" s="11">
        <f t="shared" si="37"/>
        <v>0</v>
      </c>
      <c r="K163" s="6"/>
      <c r="L163" s="12"/>
      <c r="M163" s="12"/>
      <c r="N163" s="9"/>
      <c r="O163" s="9"/>
      <c r="P163"/>
      <c r="Q163"/>
    </row>
    <row r="164" spans="1:17" s="7" customFormat="1" x14ac:dyDescent="0.2">
      <c r="A164" s="7" t="s">
        <v>322</v>
      </c>
      <c r="B164" s="6" t="s">
        <v>314</v>
      </c>
      <c r="C164" s="6"/>
      <c r="D164" s="6"/>
      <c r="E164" s="7">
        <v>3</v>
      </c>
      <c r="F164" s="6" t="s">
        <v>15</v>
      </c>
      <c r="G164" s="109"/>
      <c r="H164" s="109"/>
      <c r="I164" s="11">
        <f t="shared" si="36"/>
        <v>0</v>
      </c>
      <c r="J164" s="11">
        <f t="shared" si="37"/>
        <v>0</v>
      </c>
      <c r="K164" s="6"/>
      <c r="L164" s="12"/>
      <c r="M164" s="12"/>
      <c r="N164" s="9"/>
      <c r="O164" s="9"/>
      <c r="P164"/>
      <c r="Q164"/>
    </row>
    <row r="165" spans="1:17" s="7" customFormat="1" x14ac:dyDescent="0.2">
      <c r="A165" s="7" t="s">
        <v>325</v>
      </c>
      <c r="B165" s="6" t="s">
        <v>314</v>
      </c>
      <c r="C165" s="6"/>
      <c r="D165" s="6"/>
      <c r="E165" s="7">
        <v>5</v>
      </c>
      <c r="F165" s="6" t="s">
        <v>15</v>
      </c>
      <c r="G165" s="109"/>
      <c r="H165" s="109"/>
      <c r="I165" s="11">
        <f t="shared" si="36"/>
        <v>0</v>
      </c>
      <c r="J165" s="11">
        <f t="shared" si="37"/>
        <v>0</v>
      </c>
      <c r="K165" s="6"/>
      <c r="L165" s="12"/>
      <c r="M165" s="12"/>
      <c r="N165" s="9"/>
      <c r="O165" s="9"/>
      <c r="P165"/>
      <c r="Q165"/>
    </row>
    <row r="166" spans="1:17" s="7" customFormat="1" x14ac:dyDescent="0.2">
      <c r="A166" s="7" t="s">
        <v>326</v>
      </c>
      <c r="B166" s="6" t="s">
        <v>314</v>
      </c>
      <c r="C166" s="6"/>
      <c r="D166" s="6"/>
      <c r="E166" s="7">
        <v>3</v>
      </c>
      <c r="F166" s="6" t="s">
        <v>15</v>
      </c>
      <c r="G166" s="109"/>
      <c r="H166" s="109"/>
      <c r="I166" s="11">
        <f t="shared" si="36"/>
        <v>0</v>
      </c>
      <c r="J166" s="11">
        <f t="shared" si="37"/>
        <v>0</v>
      </c>
      <c r="K166" s="6"/>
      <c r="L166" s="12"/>
      <c r="M166" s="12"/>
      <c r="N166" s="9"/>
      <c r="O166" s="9"/>
      <c r="P166"/>
      <c r="Q166"/>
    </row>
    <row r="167" spans="1:17" s="7" customFormat="1" x14ac:dyDescent="0.2">
      <c r="A167" s="7" t="s">
        <v>327</v>
      </c>
      <c r="B167" s="6" t="s">
        <v>314</v>
      </c>
      <c r="C167" s="6"/>
      <c r="D167" s="6"/>
      <c r="E167" s="7">
        <v>41</v>
      </c>
      <c r="F167" s="6" t="s">
        <v>15</v>
      </c>
      <c r="G167" s="109"/>
      <c r="H167" s="109"/>
      <c r="I167" s="11">
        <f t="shared" si="36"/>
        <v>0</v>
      </c>
      <c r="J167" s="11">
        <f t="shared" si="37"/>
        <v>0</v>
      </c>
      <c r="K167" s="6"/>
      <c r="L167" s="12"/>
      <c r="M167" s="12"/>
      <c r="N167" s="9"/>
      <c r="O167" s="9"/>
      <c r="P167"/>
      <c r="Q167"/>
    </row>
    <row r="168" spans="1:17" s="7" customFormat="1" x14ac:dyDescent="0.2">
      <c r="A168" s="7" t="s">
        <v>328</v>
      </c>
      <c r="B168" s="6" t="s">
        <v>314</v>
      </c>
      <c r="C168" s="6"/>
      <c r="D168" s="6"/>
      <c r="E168" s="7">
        <v>1</v>
      </c>
      <c r="F168" s="6" t="s">
        <v>15</v>
      </c>
      <c r="G168" s="109"/>
      <c r="H168" s="109"/>
      <c r="I168" s="11">
        <f t="shared" si="36"/>
        <v>0</v>
      </c>
      <c r="J168" s="11">
        <f t="shared" si="37"/>
        <v>0</v>
      </c>
      <c r="K168" s="6"/>
      <c r="L168" s="12"/>
      <c r="M168" s="12"/>
      <c r="N168" s="9"/>
      <c r="O168" s="9"/>
      <c r="P168"/>
      <c r="Q168"/>
    </row>
    <row r="169" spans="1:17" s="7" customFormat="1" x14ac:dyDescent="0.2">
      <c r="A169" s="7" t="s">
        <v>329</v>
      </c>
      <c r="B169" s="6" t="s">
        <v>314</v>
      </c>
      <c r="C169" s="6"/>
      <c r="D169" s="6"/>
      <c r="E169" s="7">
        <v>6</v>
      </c>
      <c r="F169" s="6" t="s">
        <v>15</v>
      </c>
      <c r="G169" s="109"/>
      <c r="H169" s="109"/>
      <c r="I169" s="11">
        <f t="shared" si="36"/>
        <v>0</v>
      </c>
      <c r="J169" s="11">
        <f t="shared" si="37"/>
        <v>0</v>
      </c>
      <c r="K169" s="6"/>
      <c r="L169" s="12"/>
      <c r="M169" s="12"/>
      <c r="N169" s="9"/>
      <c r="O169" s="9"/>
      <c r="P169"/>
      <c r="Q169"/>
    </row>
    <row r="170" spans="1:17" s="7" customFormat="1" x14ac:dyDescent="0.2">
      <c r="A170" s="7" t="s">
        <v>330</v>
      </c>
      <c r="B170" s="6" t="s">
        <v>314</v>
      </c>
      <c r="C170" s="6"/>
      <c r="D170" s="6"/>
      <c r="E170" s="7">
        <v>6</v>
      </c>
      <c r="F170" s="6" t="s">
        <v>15</v>
      </c>
      <c r="G170" s="109"/>
      <c r="H170" s="109"/>
      <c r="I170" s="11">
        <f t="shared" si="36"/>
        <v>0</v>
      </c>
      <c r="J170" s="11">
        <f t="shared" si="37"/>
        <v>0</v>
      </c>
      <c r="K170" s="6"/>
      <c r="L170" s="12"/>
      <c r="M170" s="12"/>
      <c r="N170" s="9"/>
      <c r="O170" s="9"/>
      <c r="P170"/>
      <c r="Q170"/>
    </row>
    <row r="171" spans="1:17" s="7" customFormat="1" x14ac:dyDescent="0.2">
      <c r="A171" s="7" t="s">
        <v>331</v>
      </c>
      <c r="B171" s="6" t="s">
        <v>314</v>
      </c>
      <c r="C171" s="6"/>
      <c r="D171" s="6"/>
      <c r="E171" s="7">
        <v>8</v>
      </c>
      <c r="F171" s="6" t="s">
        <v>15</v>
      </c>
      <c r="G171" s="109"/>
      <c r="H171" s="109"/>
      <c r="I171" s="11">
        <f t="shared" si="36"/>
        <v>0</v>
      </c>
      <c r="J171" s="11">
        <f t="shared" si="37"/>
        <v>0</v>
      </c>
      <c r="K171" s="6"/>
      <c r="L171" s="12"/>
      <c r="M171" s="12"/>
      <c r="N171" s="9"/>
      <c r="O171" s="9"/>
      <c r="P171"/>
      <c r="Q171"/>
    </row>
    <row r="172" spans="1:17" s="7" customFormat="1" x14ac:dyDescent="0.2">
      <c r="A172" s="7" t="s">
        <v>324</v>
      </c>
      <c r="B172" s="6" t="s">
        <v>314</v>
      </c>
      <c r="C172" s="6"/>
      <c r="D172" s="6"/>
      <c r="E172" s="7">
        <v>5</v>
      </c>
      <c r="F172" s="6" t="s">
        <v>15</v>
      </c>
      <c r="G172" s="109"/>
      <c r="H172" s="109"/>
      <c r="I172" s="11">
        <f t="shared" si="36"/>
        <v>0</v>
      </c>
      <c r="J172" s="11">
        <f t="shared" si="37"/>
        <v>0</v>
      </c>
      <c r="K172" s="6"/>
      <c r="L172" s="12"/>
      <c r="M172" s="12"/>
      <c r="N172" s="9"/>
      <c r="O172" s="9"/>
      <c r="P172"/>
      <c r="Q172"/>
    </row>
    <row r="173" spans="1:17" s="7" customFormat="1" x14ac:dyDescent="0.2">
      <c r="A173" s="7" t="s">
        <v>340</v>
      </c>
      <c r="B173" s="6"/>
      <c r="C173" s="6" t="s">
        <v>271</v>
      </c>
      <c r="D173" s="6"/>
      <c r="E173" s="7">
        <v>13</v>
      </c>
      <c r="F173" s="6" t="s">
        <v>15</v>
      </c>
      <c r="G173" s="109"/>
      <c r="H173" s="109"/>
      <c r="I173" s="11">
        <f t="shared" ref="I173" si="38">G173*E173</f>
        <v>0</v>
      </c>
      <c r="J173" s="11">
        <f t="shared" ref="J173" si="39">H173*E173</f>
        <v>0</v>
      </c>
      <c r="K173" s="6"/>
      <c r="L173" s="12"/>
      <c r="M173" s="12"/>
      <c r="N173" s="9"/>
      <c r="O173" s="9"/>
      <c r="P173"/>
      <c r="Q173"/>
    </row>
    <row r="174" spans="1:17" s="7" customFormat="1" x14ac:dyDescent="0.2">
      <c r="A174" s="7" t="s">
        <v>341</v>
      </c>
      <c r="B174" s="6"/>
      <c r="C174" s="6"/>
      <c r="D174" s="6"/>
      <c r="E174" s="7">
        <v>1</v>
      </c>
      <c r="F174" s="6" t="s">
        <v>15</v>
      </c>
      <c r="G174" s="109"/>
      <c r="H174" s="11"/>
      <c r="I174" s="11">
        <f t="shared" ref="I174" si="40">G174*E174</f>
        <v>0</v>
      </c>
      <c r="J174" s="11"/>
      <c r="K174" s="6"/>
      <c r="L174" s="12"/>
      <c r="M174" s="12"/>
      <c r="N174" s="9"/>
      <c r="O174" s="9"/>
      <c r="P174"/>
      <c r="Q174"/>
    </row>
    <row r="175" spans="1:17" s="7" customFormat="1" x14ac:dyDescent="0.2">
      <c r="A175" s="7" t="s">
        <v>332</v>
      </c>
      <c r="B175" s="6" t="s">
        <v>333</v>
      </c>
      <c r="C175" s="6"/>
      <c r="D175" s="6"/>
      <c r="E175" s="7">
        <v>2</v>
      </c>
      <c r="F175" s="6" t="s">
        <v>15</v>
      </c>
      <c r="G175" s="109"/>
      <c r="H175" s="109"/>
      <c r="I175" s="11">
        <f t="shared" si="36"/>
        <v>0</v>
      </c>
      <c r="J175" s="11">
        <f t="shared" si="37"/>
        <v>0</v>
      </c>
      <c r="K175" s="6"/>
      <c r="L175" s="12"/>
      <c r="M175" s="12"/>
      <c r="N175" s="9"/>
      <c r="O175" s="9"/>
      <c r="P175"/>
      <c r="Q175"/>
    </row>
    <row r="176" spans="1:17" s="7" customFormat="1" x14ac:dyDescent="0.2">
      <c r="A176" s="7" t="s">
        <v>338</v>
      </c>
      <c r="B176" s="6" t="s">
        <v>337</v>
      </c>
      <c r="C176" s="6"/>
      <c r="D176" s="6"/>
      <c r="E176" s="7">
        <v>2</v>
      </c>
      <c r="F176" s="6" t="s">
        <v>15</v>
      </c>
      <c r="G176" s="109"/>
      <c r="H176" s="109"/>
      <c r="I176" s="11">
        <f t="shared" si="36"/>
        <v>0</v>
      </c>
      <c r="J176" s="11">
        <f t="shared" si="37"/>
        <v>0</v>
      </c>
      <c r="K176" s="6"/>
      <c r="L176" s="12"/>
      <c r="M176" s="12"/>
      <c r="N176" s="9"/>
      <c r="O176" s="9"/>
      <c r="P176"/>
      <c r="Q176"/>
    </row>
    <row r="177" spans="1:18" s="7" customFormat="1" x14ac:dyDescent="0.2">
      <c r="A177" s="7" t="s">
        <v>334</v>
      </c>
      <c r="B177" s="6" t="s">
        <v>335</v>
      </c>
      <c r="C177" s="6"/>
      <c r="D177" s="6"/>
      <c r="E177" s="7">
        <v>2</v>
      </c>
      <c r="F177" s="6" t="s">
        <v>15</v>
      </c>
      <c r="G177" s="109"/>
      <c r="H177" s="109"/>
      <c r="I177" s="11">
        <f t="shared" ref="I177:I178" si="41">G177*E177</f>
        <v>0</v>
      </c>
      <c r="J177" s="11">
        <f t="shared" ref="J177:J178" si="42">H177*E177</f>
        <v>0</v>
      </c>
      <c r="K177" s="6"/>
      <c r="L177" s="12"/>
      <c r="M177" s="12"/>
      <c r="N177" s="9"/>
      <c r="O177" s="9"/>
      <c r="P177"/>
      <c r="Q177"/>
    </row>
    <row r="178" spans="1:18" s="7" customFormat="1" x14ac:dyDescent="0.2">
      <c r="A178" s="7" t="s">
        <v>343</v>
      </c>
      <c r="B178" s="6" t="s">
        <v>337</v>
      </c>
      <c r="C178" s="6"/>
      <c r="D178" s="6"/>
      <c r="E178" s="7">
        <v>2</v>
      </c>
      <c r="F178" s="6" t="s">
        <v>15</v>
      </c>
      <c r="G178" s="109"/>
      <c r="H178" s="109"/>
      <c r="I178" s="11">
        <f t="shared" si="41"/>
        <v>0</v>
      </c>
      <c r="J178" s="11">
        <f t="shared" si="42"/>
        <v>0</v>
      </c>
      <c r="K178" s="6"/>
      <c r="L178" s="12"/>
      <c r="M178" s="12"/>
      <c r="N178" s="9"/>
      <c r="O178" s="9"/>
      <c r="P178"/>
      <c r="Q178"/>
    </row>
    <row r="179" spans="1:18" s="7" customFormat="1" x14ac:dyDescent="0.2">
      <c r="A179" s="7" t="s">
        <v>344</v>
      </c>
      <c r="B179" s="6" t="s">
        <v>342</v>
      </c>
      <c r="C179" s="6"/>
      <c r="D179" s="6"/>
      <c r="E179" s="7">
        <v>3</v>
      </c>
      <c r="F179" s="6" t="s">
        <v>15</v>
      </c>
      <c r="G179" s="109"/>
      <c r="H179" s="109"/>
      <c r="I179" s="11">
        <f t="shared" ref="I179" si="43">G179*E179</f>
        <v>0</v>
      </c>
      <c r="J179" s="11">
        <f t="shared" ref="J179" si="44">H179*E179</f>
        <v>0</v>
      </c>
      <c r="K179" s="6"/>
      <c r="L179" s="12"/>
      <c r="M179" s="12"/>
      <c r="N179" s="9"/>
      <c r="O179" s="9"/>
      <c r="P179"/>
      <c r="Q179"/>
    </row>
    <row r="180" spans="1:18" s="7" customFormat="1" x14ac:dyDescent="0.2">
      <c r="A180" s="7" t="s">
        <v>345</v>
      </c>
      <c r="B180" s="6" t="s">
        <v>346</v>
      </c>
      <c r="C180" s="6"/>
      <c r="D180" s="6"/>
      <c r="E180" s="7">
        <v>1</v>
      </c>
      <c r="F180" s="6" t="s">
        <v>15</v>
      </c>
      <c r="G180" s="109"/>
      <c r="H180" s="109"/>
      <c r="I180" s="11">
        <f t="shared" ref="I180" si="45">G180*E180</f>
        <v>0</v>
      </c>
      <c r="J180" s="11">
        <f t="shared" ref="J180" si="46">H180*E180</f>
        <v>0</v>
      </c>
      <c r="K180" s="6"/>
      <c r="L180" s="12"/>
      <c r="M180" s="12"/>
      <c r="N180" s="9"/>
      <c r="O180" s="9"/>
      <c r="P180"/>
      <c r="Q180"/>
    </row>
    <row r="181" spans="1:18" s="7" customFormat="1" x14ac:dyDescent="0.2">
      <c r="A181" s="7" t="s">
        <v>349</v>
      </c>
      <c r="B181" s="6"/>
      <c r="C181" s="6" t="s">
        <v>271</v>
      </c>
      <c r="D181" s="6"/>
      <c r="E181" s="7">
        <v>1</v>
      </c>
      <c r="F181" s="6" t="s">
        <v>15</v>
      </c>
      <c r="G181" s="109"/>
      <c r="H181" s="109"/>
      <c r="I181" s="11">
        <f t="shared" ref="I181" si="47">G181*E181</f>
        <v>0</v>
      </c>
      <c r="J181" s="11">
        <f t="shared" ref="J181" si="48">H181*E181</f>
        <v>0</v>
      </c>
      <c r="K181" s="6"/>
      <c r="L181" s="12"/>
      <c r="M181" s="12"/>
      <c r="N181" s="9"/>
      <c r="O181" s="9"/>
      <c r="P181"/>
      <c r="Q181"/>
    </row>
    <row r="182" spans="1:18" s="7" customFormat="1" x14ac:dyDescent="0.2">
      <c r="A182" s="7" t="s">
        <v>354</v>
      </c>
      <c r="B182" s="6" t="s">
        <v>355</v>
      </c>
      <c r="C182" s="6" t="s">
        <v>271</v>
      </c>
      <c r="D182" s="6"/>
      <c r="E182" s="7">
        <v>1</v>
      </c>
      <c r="F182" s="6" t="s">
        <v>15</v>
      </c>
      <c r="G182" s="109"/>
      <c r="H182" s="109"/>
      <c r="I182" s="11">
        <f t="shared" ref="I182:I183" si="49">G182*E182</f>
        <v>0</v>
      </c>
      <c r="J182" s="11">
        <f t="shared" ref="J182:J183" si="50">H182*E182</f>
        <v>0</v>
      </c>
      <c r="K182" s="6"/>
      <c r="L182" s="12"/>
      <c r="M182" s="12"/>
      <c r="N182" s="9"/>
      <c r="O182" s="9"/>
      <c r="P182"/>
      <c r="Q182"/>
    </row>
    <row r="183" spans="1:18" s="7" customFormat="1" x14ac:dyDescent="0.2">
      <c r="A183" s="7" t="s">
        <v>357</v>
      </c>
      <c r="B183" s="6"/>
      <c r="C183" s="6" t="s">
        <v>271</v>
      </c>
      <c r="D183" s="6"/>
      <c r="E183" s="7">
        <v>1</v>
      </c>
      <c r="F183" s="6" t="s">
        <v>15</v>
      </c>
      <c r="G183" s="109"/>
      <c r="H183" s="109"/>
      <c r="I183" s="11">
        <f t="shared" si="49"/>
        <v>0</v>
      </c>
      <c r="J183" s="11">
        <f t="shared" si="50"/>
        <v>0</v>
      </c>
      <c r="K183" s="6"/>
      <c r="L183" s="12"/>
      <c r="M183" s="12"/>
      <c r="N183" s="9"/>
      <c r="O183" s="9"/>
      <c r="P183"/>
      <c r="Q183"/>
    </row>
    <row r="184" spans="1:18" s="7" customFormat="1" x14ac:dyDescent="0.2">
      <c r="A184" s="7" t="s">
        <v>351</v>
      </c>
      <c r="B184" s="6"/>
      <c r="C184" s="6" t="s">
        <v>271</v>
      </c>
      <c r="D184" s="6"/>
      <c r="E184" s="7">
        <v>1</v>
      </c>
      <c r="F184" s="6" t="s">
        <v>15</v>
      </c>
      <c r="G184" s="109"/>
      <c r="H184" s="109"/>
      <c r="I184" s="11">
        <f t="shared" ref="I184" si="51">G184*E184</f>
        <v>0</v>
      </c>
      <c r="J184" s="11">
        <f t="shared" ref="J184" si="52">H184*E184</f>
        <v>0</v>
      </c>
      <c r="K184" s="6"/>
      <c r="L184" s="12"/>
      <c r="M184" s="12"/>
      <c r="N184" s="9"/>
      <c r="O184" s="9"/>
      <c r="P184"/>
      <c r="Q184"/>
    </row>
    <row r="185" spans="1:18" s="7" customFormat="1" x14ac:dyDescent="0.2">
      <c r="A185" s="7" t="s">
        <v>352</v>
      </c>
      <c r="B185" s="6" t="s">
        <v>353</v>
      </c>
      <c r="C185" s="6" t="s">
        <v>271</v>
      </c>
      <c r="D185" s="6"/>
      <c r="E185" s="7">
        <v>1</v>
      </c>
      <c r="F185" s="6" t="s">
        <v>15</v>
      </c>
      <c r="G185" s="109"/>
      <c r="H185" s="109"/>
      <c r="I185" s="11">
        <f t="shared" ref="I185:I186" si="53">G185*E185</f>
        <v>0</v>
      </c>
      <c r="J185" s="11">
        <f t="shared" ref="J185:J186" si="54">H185*E185</f>
        <v>0</v>
      </c>
      <c r="K185" s="6"/>
      <c r="L185" s="12"/>
      <c r="M185" s="12"/>
      <c r="N185" s="9"/>
      <c r="O185" s="9"/>
      <c r="P185"/>
      <c r="Q185"/>
    </row>
    <row r="186" spans="1:18" s="7" customFormat="1" x14ac:dyDescent="0.2">
      <c r="A186" s="7" t="s">
        <v>356</v>
      </c>
      <c r="B186" s="6"/>
      <c r="C186" s="6" t="s">
        <v>271</v>
      </c>
      <c r="D186" s="6"/>
      <c r="E186" s="7">
        <v>1</v>
      </c>
      <c r="F186" s="6" t="s">
        <v>15</v>
      </c>
      <c r="G186" s="109"/>
      <c r="H186" s="109"/>
      <c r="I186" s="11">
        <f t="shared" si="53"/>
        <v>0</v>
      </c>
      <c r="J186" s="11">
        <f t="shared" si="54"/>
        <v>0</v>
      </c>
      <c r="K186" s="6"/>
      <c r="L186" s="12"/>
      <c r="M186" s="12"/>
      <c r="N186" s="9"/>
      <c r="O186" s="9"/>
      <c r="P186"/>
      <c r="Q186"/>
    </row>
    <row r="187" spans="1:18" s="7" customFormat="1" x14ac:dyDescent="0.2">
      <c r="A187" s="7" t="s">
        <v>350</v>
      </c>
      <c r="B187" s="6"/>
      <c r="C187" s="6"/>
      <c r="D187" s="6"/>
      <c r="E187" s="7">
        <v>13</v>
      </c>
      <c r="F187" s="6" t="s">
        <v>15</v>
      </c>
      <c r="G187" s="109"/>
      <c r="H187" s="109"/>
      <c r="I187" s="11">
        <f t="shared" ref="I187" si="55">G187*E187</f>
        <v>0</v>
      </c>
      <c r="J187" s="11">
        <f t="shared" ref="J187" si="56">H187*E187</f>
        <v>0</v>
      </c>
      <c r="K187" s="6"/>
      <c r="L187" s="12"/>
      <c r="M187" s="12"/>
      <c r="N187" s="9"/>
      <c r="O187" s="9"/>
      <c r="P187"/>
      <c r="Q187"/>
    </row>
    <row r="188" spans="1:18" s="7" customFormat="1" x14ac:dyDescent="0.2">
      <c r="A188" s="7" t="s">
        <v>347</v>
      </c>
      <c r="B188" s="6" t="s">
        <v>348</v>
      </c>
      <c r="C188" s="6"/>
      <c r="D188" s="6"/>
      <c r="E188" s="7">
        <v>1</v>
      </c>
      <c r="F188" s="6" t="s">
        <v>15</v>
      </c>
      <c r="G188" s="109"/>
      <c r="H188" s="109"/>
      <c r="I188" s="11">
        <f t="shared" ref="I188" si="57">G188*E188</f>
        <v>0</v>
      </c>
      <c r="J188" s="11">
        <f t="shared" ref="J188" si="58">H188*E188</f>
        <v>0</v>
      </c>
      <c r="K188" s="6"/>
      <c r="L188" s="12"/>
      <c r="M188" s="12"/>
      <c r="N188" s="9"/>
      <c r="O188" s="9"/>
      <c r="P188"/>
      <c r="Q188"/>
    </row>
    <row r="189" spans="1:18" s="7" customFormat="1" x14ac:dyDescent="0.2">
      <c r="A189" s="7" t="s">
        <v>1045</v>
      </c>
      <c r="B189" s="6" t="s">
        <v>1046</v>
      </c>
      <c r="C189" s="6" t="s">
        <v>271</v>
      </c>
      <c r="D189" s="6"/>
      <c r="E189" s="7">
        <v>1</v>
      </c>
      <c r="F189" s="6" t="s">
        <v>15</v>
      </c>
      <c r="G189" s="109"/>
      <c r="H189" s="109"/>
      <c r="I189" s="11">
        <f t="shared" ref="I189" si="59">G189*E189</f>
        <v>0</v>
      </c>
      <c r="J189" s="11">
        <f t="shared" ref="J189" si="60">H189*E189</f>
        <v>0</v>
      </c>
      <c r="K189" s="6"/>
      <c r="L189" s="12"/>
      <c r="M189" s="12"/>
      <c r="N189" s="9"/>
      <c r="O189" s="9"/>
      <c r="P189"/>
      <c r="Q189"/>
    </row>
    <row r="190" spans="1:18" s="7" customFormat="1" x14ac:dyDescent="0.2">
      <c r="A190" s="6"/>
      <c r="B190" s="6"/>
      <c r="C190" s="6"/>
      <c r="D190" s="6"/>
      <c r="F190" s="6"/>
      <c r="G190" s="11"/>
      <c r="J190" s="11"/>
      <c r="K190" s="6"/>
      <c r="L190" s="29"/>
      <c r="M190" s="12"/>
      <c r="N190" s="9"/>
      <c r="O190" s="9"/>
    </row>
    <row r="191" spans="1:18" s="7" customFormat="1" x14ac:dyDescent="0.2">
      <c r="A191" s="1" t="s">
        <v>29</v>
      </c>
      <c r="B191" s="6"/>
      <c r="D191" s="6"/>
      <c r="F191" s="6"/>
      <c r="G191" s="8"/>
      <c r="H191" s="8"/>
      <c r="I191" s="5">
        <f>SUM(I41:I190)</f>
        <v>0</v>
      </c>
      <c r="K191" s="12"/>
      <c r="L191" s="28"/>
      <c r="N191" s="9"/>
      <c r="O191" s="9"/>
      <c r="P191" s="10"/>
      <c r="Q191" s="10"/>
      <c r="R191" s="10"/>
    </row>
    <row r="192" spans="1:18" x14ac:dyDescent="0.2">
      <c r="A192" s="1" t="s">
        <v>28</v>
      </c>
      <c r="B192" s="1"/>
      <c r="C192" s="1"/>
      <c r="D192" s="1"/>
      <c r="E192" s="1"/>
      <c r="F192" s="1"/>
      <c r="G192" s="1"/>
      <c r="H192" s="1"/>
      <c r="J192" s="5">
        <f>SUM(J41:J190)</f>
        <v>0</v>
      </c>
    </row>
    <row r="193" spans="1:20" x14ac:dyDescent="0.2">
      <c r="J193"/>
    </row>
    <row r="194" spans="1:20" x14ac:dyDescent="0.2">
      <c r="A194" s="1" t="s">
        <v>38</v>
      </c>
      <c r="J194"/>
    </row>
    <row r="195" spans="1:20" s="7" customFormat="1" x14ac:dyDescent="0.2">
      <c r="A195" s="6" t="s">
        <v>34</v>
      </c>
      <c r="E195" s="20" t="s">
        <v>35</v>
      </c>
      <c r="F195" s="6" t="s">
        <v>13</v>
      </c>
      <c r="G195" s="11" t="s">
        <v>30</v>
      </c>
      <c r="H195" s="11" t="s">
        <v>31</v>
      </c>
      <c r="I195" s="11" t="s">
        <v>32</v>
      </c>
      <c r="J195" s="11" t="s">
        <v>33</v>
      </c>
      <c r="K195" s="6" t="s">
        <v>16</v>
      </c>
      <c r="L195" s="18"/>
    </row>
    <row r="196" spans="1:20" s="7" customFormat="1" x14ac:dyDescent="0.2">
      <c r="A196" s="7" t="s">
        <v>1069</v>
      </c>
      <c r="B196" s="6" t="s">
        <v>488</v>
      </c>
      <c r="C196" s="7" t="s">
        <v>79</v>
      </c>
      <c r="E196" s="7">
        <v>2155</v>
      </c>
      <c r="F196" s="6" t="s">
        <v>17</v>
      </c>
      <c r="G196" s="109"/>
      <c r="H196" s="109"/>
      <c r="I196" s="11">
        <f t="shared" ref="I196:I207" si="61">G196*E196</f>
        <v>0</v>
      </c>
      <c r="J196" s="11">
        <f t="shared" ref="J196:J207" si="62">H196*E196</f>
        <v>0</v>
      </c>
      <c r="K196" s="6">
        <v>210800101</v>
      </c>
      <c r="L196" s="29" t="s">
        <v>496</v>
      </c>
      <c r="M196" s="12"/>
      <c r="N196" s="12"/>
      <c r="O196" s="9"/>
      <c r="P196" s="9"/>
      <c r="T196" s="11"/>
    </row>
    <row r="197" spans="1:20" s="7" customFormat="1" x14ac:dyDescent="0.2">
      <c r="A197" s="7" t="s">
        <v>1069</v>
      </c>
      <c r="B197" s="6" t="s">
        <v>25</v>
      </c>
      <c r="C197" s="7" t="s">
        <v>79</v>
      </c>
      <c r="E197" s="7">
        <v>2461</v>
      </c>
      <c r="F197" s="6" t="s">
        <v>17</v>
      </c>
      <c r="G197" s="109"/>
      <c r="H197" s="109"/>
      <c r="I197" s="11">
        <f t="shared" si="61"/>
        <v>0</v>
      </c>
      <c r="J197" s="11">
        <f t="shared" si="62"/>
        <v>0</v>
      </c>
      <c r="K197" s="6">
        <v>210800105</v>
      </c>
      <c r="L197" s="29" t="s">
        <v>496</v>
      </c>
      <c r="M197" s="12"/>
      <c r="N197" s="12"/>
      <c r="O197" s="9"/>
      <c r="P197" s="9"/>
      <c r="T197" s="11"/>
    </row>
    <row r="198" spans="1:20" s="7" customFormat="1" x14ac:dyDescent="0.2">
      <c r="A198" s="7" t="s">
        <v>1069</v>
      </c>
      <c r="B198" s="6" t="s">
        <v>56</v>
      </c>
      <c r="C198" s="7" t="s">
        <v>79</v>
      </c>
      <c r="E198" s="7">
        <v>1922</v>
      </c>
      <c r="F198" s="6" t="s">
        <v>17</v>
      </c>
      <c r="G198" s="109"/>
      <c r="H198" s="109"/>
      <c r="I198" s="11">
        <f t="shared" si="61"/>
        <v>0</v>
      </c>
      <c r="J198" s="11">
        <f t="shared" si="62"/>
        <v>0</v>
      </c>
      <c r="K198" s="6">
        <v>210800106</v>
      </c>
      <c r="L198" s="29" t="s">
        <v>496</v>
      </c>
      <c r="M198" s="12"/>
      <c r="N198" s="12"/>
      <c r="O198" s="9"/>
      <c r="P198" s="9"/>
      <c r="T198" s="11"/>
    </row>
    <row r="199" spans="1:20" s="7" customFormat="1" x14ac:dyDescent="0.2">
      <c r="A199" s="7" t="s">
        <v>1069</v>
      </c>
      <c r="B199" s="6" t="s">
        <v>489</v>
      </c>
      <c r="C199" s="7" t="s">
        <v>79</v>
      </c>
      <c r="E199" s="7">
        <v>75</v>
      </c>
      <c r="F199" s="6" t="s">
        <v>17</v>
      </c>
      <c r="G199" s="109"/>
      <c r="H199" s="109"/>
      <c r="I199" s="11">
        <f t="shared" si="61"/>
        <v>0</v>
      </c>
      <c r="J199" s="11">
        <f t="shared" si="62"/>
        <v>0</v>
      </c>
      <c r="K199" s="6">
        <v>210800109</v>
      </c>
      <c r="L199" s="29" t="s">
        <v>496</v>
      </c>
      <c r="M199" s="12"/>
      <c r="N199" s="12"/>
      <c r="O199" s="9"/>
      <c r="P199" s="9"/>
      <c r="T199" s="11"/>
    </row>
    <row r="200" spans="1:20" s="7" customFormat="1" x14ac:dyDescent="0.2">
      <c r="A200" s="7" t="s">
        <v>1069</v>
      </c>
      <c r="B200" s="6" t="s">
        <v>57</v>
      </c>
      <c r="C200" s="7" t="s">
        <v>79</v>
      </c>
      <c r="E200" s="7">
        <v>20</v>
      </c>
      <c r="F200" s="6" t="s">
        <v>17</v>
      </c>
      <c r="G200" s="109"/>
      <c r="H200" s="109"/>
      <c r="I200" s="11">
        <f t="shared" si="61"/>
        <v>0</v>
      </c>
      <c r="J200" s="11">
        <f t="shared" si="62"/>
        <v>0</v>
      </c>
      <c r="K200" s="6">
        <v>210800191</v>
      </c>
      <c r="L200" s="29" t="s">
        <v>496</v>
      </c>
      <c r="M200" s="12"/>
      <c r="N200" s="12"/>
      <c r="O200" s="9"/>
      <c r="P200" s="9"/>
      <c r="T200" s="11"/>
    </row>
    <row r="201" spans="1:20" s="7" customFormat="1" x14ac:dyDescent="0.2">
      <c r="A201" s="7" t="s">
        <v>1069</v>
      </c>
      <c r="B201" s="6" t="s">
        <v>58</v>
      </c>
      <c r="C201" s="7" t="s">
        <v>79</v>
      </c>
      <c r="E201" s="7">
        <v>74</v>
      </c>
      <c r="F201" s="6" t="s">
        <v>17</v>
      </c>
      <c r="G201" s="109"/>
      <c r="H201" s="109"/>
      <c r="I201" s="11">
        <f t="shared" si="61"/>
        <v>0</v>
      </c>
      <c r="J201" s="11">
        <f t="shared" si="62"/>
        <v>0</v>
      </c>
      <c r="K201" s="6">
        <v>210800191</v>
      </c>
      <c r="L201" s="29" t="s">
        <v>496</v>
      </c>
      <c r="M201" s="12"/>
      <c r="N201" s="12"/>
      <c r="O201" s="9"/>
      <c r="P201" s="9"/>
      <c r="T201" s="11"/>
    </row>
    <row r="202" spans="1:20" s="7" customFormat="1" x14ac:dyDescent="0.2">
      <c r="A202" s="7" t="s">
        <v>1069</v>
      </c>
      <c r="B202" s="6" t="s">
        <v>490</v>
      </c>
      <c r="C202" s="7" t="s">
        <v>79</v>
      </c>
      <c r="E202" s="7">
        <v>150</v>
      </c>
      <c r="F202" s="6" t="s">
        <v>17</v>
      </c>
      <c r="G202" s="109"/>
      <c r="H202" s="109"/>
      <c r="I202" s="11">
        <f t="shared" si="61"/>
        <v>0</v>
      </c>
      <c r="J202" s="11">
        <f t="shared" si="62"/>
        <v>0</v>
      </c>
      <c r="K202" s="6">
        <v>210800191</v>
      </c>
      <c r="L202" s="29" t="s">
        <v>496</v>
      </c>
      <c r="M202" s="12"/>
      <c r="N202" s="12"/>
      <c r="O202" s="9"/>
      <c r="P202" s="9"/>
      <c r="T202" s="11"/>
    </row>
    <row r="203" spans="1:20" s="7" customFormat="1" x14ac:dyDescent="0.2">
      <c r="A203" s="7" t="s">
        <v>1069</v>
      </c>
      <c r="B203" s="6" t="s">
        <v>491</v>
      </c>
      <c r="C203" s="7" t="s">
        <v>79</v>
      </c>
      <c r="E203" s="7">
        <v>95</v>
      </c>
      <c r="F203" s="6" t="s">
        <v>17</v>
      </c>
      <c r="G203" s="109"/>
      <c r="H203" s="109"/>
      <c r="I203" s="11">
        <f t="shared" si="61"/>
        <v>0</v>
      </c>
      <c r="J203" s="11">
        <f t="shared" si="62"/>
        <v>0</v>
      </c>
      <c r="K203" s="6">
        <v>210800118</v>
      </c>
      <c r="L203" s="29" t="s">
        <v>496</v>
      </c>
      <c r="M203" s="12"/>
      <c r="N203" s="12"/>
      <c r="O203" s="9"/>
      <c r="P203" s="9"/>
      <c r="T203" s="11"/>
    </row>
    <row r="204" spans="1:20" s="7" customFormat="1" x14ac:dyDescent="0.2">
      <c r="A204" s="7" t="s">
        <v>1069</v>
      </c>
      <c r="B204" s="6" t="s">
        <v>25</v>
      </c>
      <c r="C204" s="7" t="s">
        <v>80</v>
      </c>
      <c r="E204" s="7">
        <v>2230</v>
      </c>
      <c r="F204" s="6" t="s">
        <v>17</v>
      </c>
      <c r="G204" s="109"/>
      <c r="H204" s="109"/>
      <c r="I204" s="11">
        <f t="shared" si="61"/>
        <v>0</v>
      </c>
      <c r="J204" s="11">
        <f t="shared" si="62"/>
        <v>0</v>
      </c>
      <c r="K204" s="6">
        <v>210800105</v>
      </c>
      <c r="L204" s="29" t="s">
        <v>497</v>
      </c>
      <c r="M204" s="12"/>
      <c r="N204" s="12"/>
      <c r="O204" s="9"/>
      <c r="P204" s="9"/>
      <c r="T204" s="11"/>
    </row>
    <row r="205" spans="1:20" s="7" customFormat="1" x14ac:dyDescent="0.2">
      <c r="A205" s="7" t="s">
        <v>1069</v>
      </c>
      <c r="B205" s="6" t="s">
        <v>492</v>
      </c>
      <c r="C205" s="7" t="s">
        <v>80</v>
      </c>
      <c r="E205" s="7">
        <v>25</v>
      </c>
      <c r="F205" s="6" t="s">
        <v>17</v>
      </c>
      <c r="G205" s="109"/>
      <c r="H205" s="109"/>
      <c r="I205" s="11">
        <f t="shared" si="61"/>
        <v>0</v>
      </c>
      <c r="J205" s="11">
        <f t="shared" si="62"/>
        <v>0</v>
      </c>
      <c r="K205" s="6">
        <v>210800107</v>
      </c>
      <c r="L205" s="29" t="s">
        <v>497</v>
      </c>
      <c r="M205" s="12"/>
      <c r="N205" s="12"/>
      <c r="O205" s="9"/>
      <c r="P205" s="9"/>
      <c r="T205" s="11"/>
    </row>
    <row r="206" spans="1:20" s="7" customFormat="1" x14ac:dyDescent="0.2">
      <c r="A206" s="6" t="s">
        <v>1070</v>
      </c>
      <c r="B206" s="6" t="s">
        <v>491</v>
      </c>
      <c r="C206" s="6"/>
      <c r="D206" s="6"/>
      <c r="E206" s="7">
        <v>10</v>
      </c>
      <c r="F206" s="6" t="s">
        <v>17</v>
      </c>
      <c r="G206" s="109"/>
      <c r="H206" s="109"/>
      <c r="I206" s="11">
        <f t="shared" si="61"/>
        <v>0</v>
      </c>
      <c r="J206" s="8">
        <f t="shared" si="62"/>
        <v>0</v>
      </c>
      <c r="K206" s="6" t="s">
        <v>82</v>
      </c>
      <c r="L206" s="18"/>
      <c r="M206" s="12"/>
      <c r="N206" s="6"/>
      <c r="O206" s="9"/>
      <c r="P206" s="9"/>
      <c r="T206" s="11"/>
    </row>
    <row r="207" spans="1:20" s="7" customFormat="1" x14ac:dyDescent="0.2">
      <c r="A207" s="6" t="s">
        <v>51</v>
      </c>
      <c r="B207" s="6" t="s">
        <v>73</v>
      </c>
      <c r="D207" s="6"/>
      <c r="E207" s="7">
        <v>70</v>
      </c>
      <c r="F207" s="6" t="s">
        <v>17</v>
      </c>
      <c r="G207" s="109"/>
      <c r="H207" s="109"/>
      <c r="I207" s="11">
        <f t="shared" si="61"/>
        <v>0</v>
      </c>
      <c r="J207" s="11">
        <f t="shared" si="62"/>
        <v>0</v>
      </c>
      <c r="K207" s="6" t="s">
        <v>83</v>
      </c>
      <c r="L207" s="29" t="s">
        <v>511</v>
      </c>
      <c r="M207" s="12"/>
      <c r="N207" s="6"/>
      <c r="O207" s="9"/>
      <c r="P207" s="9"/>
      <c r="T207" s="11"/>
    </row>
    <row r="208" spans="1:20" s="7" customFormat="1" x14ac:dyDescent="0.2">
      <c r="A208" s="6" t="s">
        <v>51</v>
      </c>
      <c r="B208" s="6" t="s">
        <v>509</v>
      </c>
      <c r="D208" s="6"/>
      <c r="E208" s="7">
        <v>10</v>
      </c>
      <c r="F208" s="6" t="s">
        <v>17</v>
      </c>
      <c r="G208" s="109"/>
      <c r="H208" s="109"/>
      <c r="I208" s="11">
        <f t="shared" ref="I208:I210" si="63">G208*E208</f>
        <v>0</v>
      </c>
      <c r="J208" s="11">
        <f t="shared" ref="J208:J210" si="64">H208*E208</f>
        <v>0</v>
      </c>
      <c r="K208" s="6" t="s">
        <v>510</v>
      </c>
      <c r="L208" s="29" t="s">
        <v>511</v>
      </c>
      <c r="M208" s="12"/>
      <c r="N208" s="6"/>
      <c r="O208" s="9"/>
      <c r="P208" s="9"/>
      <c r="T208" s="11"/>
    </row>
    <row r="209" spans="1:20" s="7" customFormat="1" x14ac:dyDescent="0.2">
      <c r="A209" s="6" t="s">
        <v>51</v>
      </c>
      <c r="B209" s="6" t="s">
        <v>52</v>
      </c>
      <c r="D209" s="6"/>
      <c r="E209" s="7">
        <v>744</v>
      </c>
      <c r="F209" s="6" t="s">
        <v>17</v>
      </c>
      <c r="G209" s="109"/>
      <c r="H209" s="109"/>
      <c r="I209" s="11">
        <f t="shared" si="63"/>
        <v>0</v>
      </c>
      <c r="J209" s="11">
        <f t="shared" si="64"/>
        <v>0</v>
      </c>
      <c r="K209" s="6" t="s">
        <v>53</v>
      </c>
      <c r="L209" s="29" t="s">
        <v>511</v>
      </c>
      <c r="M209" s="12"/>
      <c r="N209" s="6"/>
      <c r="O209" s="9"/>
      <c r="P209" s="9"/>
      <c r="T209" s="11"/>
    </row>
    <row r="210" spans="1:20" s="7" customFormat="1" x14ac:dyDescent="0.2">
      <c r="A210" s="6" t="s">
        <v>51</v>
      </c>
      <c r="B210" s="6" t="s">
        <v>173</v>
      </c>
      <c r="D210" s="6"/>
      <c r="E210" s="7">
        <v>550</v>
      </c>
      <c r="F210" s="6" t="s">
        <v>17</v>
      </c>
      <c r="G210" s="109"/>
      <c r="H210" s="109"/>
      <c r="I210" s="11">
        <f t="shared" si="63"/>
        <v>0</v>
      </c>
      <c r="J210" s="11">
        <f t="shared" si="64"/>
        <v>0</v>
      </c>
      <c r="K210" s="6" t="s">
        <v>512</v>
      </c>
      <c r="L210" s="29" t="s">
        <v>511</v>
      </c>
      <c r="M210" s="12"/>
      <c r="N210" s="6"/>
      <c r="O210" s="9"/>
      <c r="P210" s="9"/>
      <c r="T210" s="11"/>
    </row>
    <row r="211" spans="1:20" s="7" customFormat="1" x14ac:dyDescent="0.2">
      <c r="A211" s="6" t="s">
        <v>498</v>
      </c>
      <c r="B211" s="6" t="s">
        <v>488</v>
      </c>
      <c r="C211" s="6" t="s">
        <v>24</v>
      </c>
      <c r="D211" s="6"/>
      <c r="E211" s="7">
        <v>534</v>
      </c>
      <c r="F211" s="6" t="s">
        <v>17</v>
      </c>
      <c r="G211" s="109"/>
      <c r="H211" s="109"/>
      <c r="I211" s="11">
        <f>G211*E211</f>
        <v>0</v>
      </c>
      <c r="J211" s="11">
        <f>H211*E211</f>
        <v>0</v>
      </c>
      <c r="K211" s="6">
        <v>210800101</v>
      </c>
      <c r="L211" s="29" t="s">
        <v>499</v>
      </c>
      <c r="M211" s="12"/>
      <c r="N211" s="12"/>
      <c r="O211" s="9"/>
      <c r="P211" s="9"/>
      <c r="T211" s="11"/>
    </row>
    <row r="212" spans="1:20" s="7" customFormat="1" x14ac:dyDescent="0.2">
      <c r="A212" s="6" t="s">
        <v>498</v>
      </c>
      <c r="B212" s="6" t="s">
        <v>493</v>
      </c>
      <c r="C212" s="6" t="s">
        <v>24</v>
      </c>
      <c r="D212" s="6"/>
      <c r="E212" s="7">
        <v>20</v>
      </c>
      <c r="F212" s="6" t="s">
        <v>17</v>
      </c>
      <c r="G212" s="109"/>
      <c r="H212" s="109"/>
      <c r="I212" s="11">
        <f>G212*E212</f>
        <v>0</v>
      </c>
      <c r="J212" s="11">
        <f>H212*E212</f>
        <v>0</v>
      </c>
      <c r="K212" s="6">
        <v>210800103</v>
      </c>
      <c r="L212" s="29" t="s">
        <v>499</v>
      </c>
      <c r="M212" s="12"/>
      <c r="N212" s="12"/>
      <c r="O212" s="9"/>
      <c r="P212" s="9"/>
      <c r="T212" s="11"/>
    </row>
    <row r="213" spans="1:20" s="7" customFormat="1" x14ac:dyDescent="0.2">
      <c r="A213" s="6" t="s">
        <v>500</v>
      </c>
      <c r="B213" s="6" t="s">
        <v>25</v>
      </c>
      <c r="C213" s="6" t="s">
        <v>24</v>
      </c>
      <c r="D213" s="6"/>
      <c r="E213" s="7">
        <f>4056+50</f>
        <v>4106</v>
      </c>
      <c r="F213" s="6" t="s">
        <v>17</v>
      </c>
      <c r="G213" s="109"/>
      <c r="H213" s="109"/>
      <c r="I213" s="11">
        <f t="shared" ref="I213:I215" si="65">G213*E213</f>
        <v>0</v>
      </c>
      <c r="J213" s="11">
        <f t="shared" ref="J213:J215" si="66">H213*E213</f>
        <v>0</v>
      </c>
      <c r="K213" s="6">
        <v>210800105</v>
      </c>
      <c r="L213" s="29" t="s">
        <v>499</v>
      </c>
      <c r="M213" s="12"/>
      <c r="N213" s="12"/>
      <c r="O213" s="9"/>
      <c r="P213" s="9"/>
      <c r="T213" s="11"/>
    </row>
    <row r="214" spans="1:20" s="7" customFormat="1" x14ac:dyDescent="0.2">
      <c r="A214" s="6" t="s">
        <v>500</v>
      </c>
      <c r="B214" s="6" t="s">
        <v>56</v>
      </c>
      <c r="C214" s="6" t="s">
        <v>24</v>
      </c>
      <c r="D214" s="6"/>
      <c r="E214" s="7">
        <v>2931</v>
      </c>
      <c r="F214" s="6" t="s">
        <v>17</v>
      </c>
      <c r="G214" s="109"/>
      <c r="H214" s="109"/>
      <c r="I214" s="11">
        <f t="shared" si="65"/>
        <v>0</v>
      </c>
      <c r="J214" s="11">
        <f t="shared" si="66"/>
        <v>0</v>
      </c>
      <c r="K214" s="6">
        <v>210800106</v>
      </c>
      <c r="L214" s="29" t="s">
        <v>499</v>
      </c>
      <c r="M214" s="12"/>
      <c r="N214" s="12"/>
      <c r="O214" s="9"/>
      <c r="P214" s="9"/>
      <c r="T214" s="11"/>
    </row>
    <row r="215" spans="1:20" s="7" customFormat="1" x14ac:dyDescent="0.2">
      <c r="A215" s="6" t="s">
        <v>500</v>
      </c>
      <c r="B215" s="6" t="s">
        <v>81</v>
      </c>
      <c r="C215" s="6" t="s">
        <v>24</v>
      </c>
      <c r="D215" s="6"/>
      <c r="E215" s="7">
        <v>871</v>
      </c>
      <c r="F215" s="6" t="s">
        <v>17</v>
      </c>
      <c r="G215" s="109"/>
      <c r="H215" s="109"/>
      <c r="I215" s="11">
        <f t="shared" si="65"/>
        <v>0</v>
      </c>
      <c r="J215" s="11">
        <f t="shared" si="66"/>
        <v>0</v>
      </c>
      <c r="K215" s="6">
        <v>210800115</v>
      </c>
      <c r="L215" s="29" t="s">
        <v>499</v>
      </c>
      <c r="M215" s="12"/>
      <c r="N215" s="12"/>
      <c r="O215" s="9"/>
      <c r="P215" s="9"/>
      <c r="T215" s="11"/>
    </row>
    <row r="216" spans="1:20" s="7" customFormat="1" x14ac:dyDescent="0.2">
      <c r="A216" s="6" t="s">
        <v>500</v>
      </c>
      <c r="B216" s="6" t="s">
        <v>57</v>
      </c>
      <c r="C216" s="6" t="s">
        <v>24</v>
      </c>
      <c r="D216" s="6"/>
      <c r="E216" s="7">
        <v>59</v>
      </c>
      <c r="F216" s="6" t="s">
        <v>17</v>
      </c>
      <c r="G216" s="109"/>
      <c r="H216" s="109"/>
      <c r="I216" s="11">
        <f>G216*E216</f>
        <v>0</v>
      </c>
      <c r="J216" s="11">
        <f>H216*E216</f>
        <v>0</v>
      </c>
      <c r="K216" s="6">
        <v>210800114</v>
      </c>
      <c r="L216" s="29" t="s">
        <v>499</v>
      </c>
      <c r="M216" s="12"/>
      <c r="N216" s="12"/>
      <c r="O216" s="9"/>
      <c r="P216" s="9"/>
      <c r="T216" s="11"/>
    </row>
    <row r="217" spans="1:20" s="7" customFormat="1" x14ac:dyDescent="0.2">
      <c r="A217" s="6" t="s">
        <v>500</v>
      </c>
      <c r="B217" s="6" t="s">
        <v>58</v>
      </c>
      <c r="C217" s="6" t="s">
        <v>24</v>
      </c>
      <c r="D217" s="6"/>
      <c r="E217" s="7">
        <v>44</v>
      </c>
      <c r="F217" s="6" t="s">
        <v>17</v>
      </c>
      <c r="G217" s="109"/>
      <c r="H217" s="109"/>
      <c r="I217" s="11">
        <f>G217*E217</f>
        <v>0</v>
      </c>
      <c r="J217" s="11">
        <f>H217*E217</f>
        <v>0</v>
      </c>
      <c r="K217" s="6">
        <v>210800114</v>
      </c>
      <c r="L217" s="29" t="s">
        <v>499</v>
      </c>
      <c r="M217" s="12"/>
      <c r="N217" s="12"/>
      <c r="O217" s="9"/>
      <c r="P217" s="9"/>
      <c r="T217" s="11"/>
    </row>
    <row r="218" spans="1:20" s="7" customFormat="1" x14ac:dyDescent="0.2">
      <c r="A218" s="6" t="s">
        <v>500</v>
      </c>
      <c r="B218" s="6" t="s">
        <v>55</v>
      </c>
      <c r="C218" s="6" t="s">
        <v>24</v>
      </c>
      <c r="D218" s="6"/>
      <c r="E218" s="7">
        <v>848</v>
      </c>
      <c r="F218" s="6" t="s">
        <v>17</v>
      </c>
      <c r="G218" s="109"/>
      <c r="H218" s="109"/>
      <c r="I218" s="11">
        <f t="shared" ref="I218" si="67">G218*E218</f>
        <v>0</v>
      </c>
      <c r="J218" s="11">
        <f t="shared" ref="J218" si="68">H218*E218</f>
        <v>0</v>
      </c>
      <c r="K218" s="6">
        <v>210800116</v>
      </c>
      <c r="L218" s="29" t="s">
        <v>499</v>
      </c>
      <c r="M218" s="12"/>
      <c r="N218" s="12"/>
      <c r="O218" s="9"/>
      <c r="P218" s="9"/>
      <c r="T218" s="11"/>
    </row>
    <row r="219" spans="1:20" s="7" customFormat="1" x14ac:dyDescent="0.2">
      <c r="A219" s="6" t="s">
        <v>501</v>
      </c>
      <c r="B219" s="6" t="s">
        <v>490</v>
      </c>
      <c r="C219" s="6"/>
      <c r="D219" s="6"/>
      <c r="E219" s="7">
        <v>203</v>
      </c>
      <c r="F219" s="6" t="s">
        <v>17</v>
      </c>
      <c r="G219" s="109"/>
      <c r="H219" s="109"/>
      <c r="I219" s="11">
        <f>G219*E219</f>
        <v>0</v>
      </c>
      <c r="J219" s="11">
        <f>H219*E219</f>
        <v>0</v>
      </c>
      <c r="K219" s="6">
        <v>210800191</v>
      </c>
      <c r="L219" s="18"/>
      <c r="M219" s="12"/>
      <c r="N219" s="12"/>
      <c r="O219" s="9"/>
      <c r="P219" s="9"/>
      <c r="Q219" s="10"/>
      <c r="R219" s="10"/>
      <c r="T219" s="11"/>
    </row>
    <row r="220" spans="1:20" s="7" customFormat="1" x14ac:dyDescent="0.2">
      <c r="A220" s="6" t="s">
        <v>500</v>
      </c>
      <c r="B220" s="6" t="s">
        <v>494</v>
      </c>
      <c r="C220" s="6" t="s">
        <v>24</v>
      </c>
      <c r="D220" s="6"/>
      <c r="E220" s="7">
        <v>121</v>
      </c>
      <c r="F220" s="6" t="s">
        <v>17</v>
      </c>
      <c r="G220" s="109"/>
      <c r="H220" s="109"/>
      <c r="I220" s="11">
        <f t="shared" ref="I220:I221" si="69">G220*E220</f>
        <v>0</v>
      </c>
      <c r="J220" s="11">
        <f t="shared" ref="J220:J221" si="70">H220*E220</f>
        <v>0</v>
      </c>
      <c r="K220" s="6">
        <v>210800117</v>
      </c>
      <c r="L220" s="29" t="s">
        <v>499</v>
      </c>
      <c r="M220" s="12"/>
      <c r="N220" s="12"/>
      <c r="O220" s="9"/>
      <c r="P220" s="9"/>
      <c r="T220" s="11"/>
    </row>
    <row r="221" spans="1:20" s="7" customFormat="1" x14ac:dyDescent="0.2">
      <c r="A221" s="6" t="s">
        <v>500</v>
      </c>
      <c r="B221" s="6" t="s">
        <v>491</v>
      </c>
      <c r="C221" s="6" t="s">
        <v>24</v>
      </c>
      <c r="D221" s="6"/>
      <c r="E221" s="7">
        <v>78</v>
      </c>
      <c r="F221" s="6" t="s">
        <v>17</v>
      </c>
      <c r="G221" s="109"/>
      <c r="H221" s="109"/>
      <c r="I221" s="11">
        <f t="shared" si="69"/>
        <v>0</v>
      </c>
      <c r="J221" s="11">
        <f t="shared" si="70"/>
        <v>0</v>
      </c>
      <c r="K221" s="6">
        <v>210800118</v>
      </c>
      <c r="L221" s="29" t="s">
        <v>499</v>
      </c>
      <c r="M221" s="12"/>
      <c r="N221" s="12"/>
      <c r="O221" s="9"/>
      <c r="P221" s="9"/>
      <c r="T221" s="11"/>
    </row>
    <row r="222" spans="1:20" s="7" customFormat="1" x14ac:dyDescent="0.2">
      <c r="A222" s="6" t="s">
        <v>498</v>
      </c>
      <c r="B222" s="6" t="s">
        <v>489</v>
      </c>
      <c r="C222" s="6" t="s">
        <v>24</v>
      </c>
      <c r="D222" s="6"/>
      <c r="E222" s="7">
        <v>42</v>
      </c>
      <c r="F222" s="6" t="s">
        <v>17</v>
      </c>
      <c r="G222" s="109"/>
      <c r="H222" s="109"/>
      <c r="I222" s="11">
        <f t="shared" ref="I222:I223" si="71">G222*E222</f>
        <v>0</v>
      </c>
      <c r="J222" s="11">
        <f t="shared" ref="J222:J223" si="72">H222*E222</f>
        <v>0</v>
      </c>
      <c r="K222" s="6">
        <v>210800109</v>
      </c>
      <c r="L222" s="29" t="s">
        <v>499</v>
      </c>
      <c r="M222" s="12"/>
      <c r="N222" s="12"/>
      <c r="O222" s="9"/>
      <c r="P222" s="9"/>
      <c r="T222" s="11"/>
    </row>
    <row r="223" spans="1:20" x14ac:dyDescent="0.2">
      <c r="A223" t="s">
        <v>505</v>
      </c>
      <c r="B223" t="s">
        <v>504</v>
      </c>
      <c r="E223">
        <v>166</v>
      </c>
      <c r="F223" s="6" t="s">
        <v>17</v>
      </c>
      <c r="G223" s="109"/>
      <c r="H223" s="109"/>
      <c r="I223" s="11">
        <f t="shared" si="71"/>
        <v>0</v>
      </c>
      <c r="J223" s="11">
        <f t="shared" si="72"/>
        <v>0</v>
      </c>
    </row>
    <row r="224" spans="1:20" s="7" customFormat="1" x14ac:dyDescent="0.2">
      <c r="A224" s="15" t="s">
        <v>502</v>
      </c>
      <c r="B224" s="15" t="s">
        <v>495</v>
      </c>
      <c r="C224" s="6"/>
      <c r="D224" s="6"/>
      <c r="E224" s="7">
        <v>40</v>
      </c>
      <c r="F224" s="15" t="s">
        <v>17</v>
      </c>
      <c r="G224" s="109"/>
      <c r="H224" s="109"/>
      <c r="I224" s="11">
        <f t="shared" ref="I224:I226" si="73">G224*E224</f>
        <v>0</v>
      </c>
      <c r="J224" s="11">
        <f t="shared" ref="J224:J226" si="74">H224*E224</f>
        <v>0</v>
      </c>
      <c r="K224" s="6" t="s">
        <v>503</v>
      </c>
      <c r="L224" s="29" t="s">
        <v>499</v>
      </c>
      <c r="M224" s="39"/>
      <c r="N224" s="12"/>
      <c r="O224" s="9"/>
      <c r="P224" s="9"/>
      <c r="T224" s="11"/>
    </row>
    <row r="225" spans="1:21" x14ac:dyDescent="0.2">
      <c r="A225" t="s">
        <v>506</v>
      </c>
      <c r="B225" s="6" t="s">
        <v>507</v>
      </c>
      <c r="E225">
        <v>254</v>
      </c>
      <c r="F225" s="6" t="s">
        <v>17</v>
      </c>
      <c r="G225" s="109"/>
      <c r="H225" s="109"/>
      <c r="I225" s="11">
        <f t="shared" si="73"/>
        <v>0</v>
      </c>
      <c r="J225" s="11">
        <f t="shared" si="74"/>
        <v>0</v>
      </c>
    </row>
    <row r="226" spans="1:21" x14ac:dyDescent="0.2">
      <c r="A226" t="s">
        <v>508</v>
      </c>
      <c r="B226" t="s">
        <v>25</v>
      </c>
      <c r="E226">
        <v>54</v>
      </c>
      <c r="F226" s="6" t="s">
        <v>17</v>
      </c>
      <c r="G226" s="109"/>
      <c r="H226" s="109"/>
      <c r="I226" s="11">
        <f t="shared" si="73"/>
        <v>0</v>
      </c>
      <c r="J226" s="11">
        <f t="shared" si="74"/>
        <v>0</v>
      </c>
    </row>
    <row r="227" spans="1:21" s="7" customFormat="1" x14ac:dyDescent="0.2">
      <c r="A227" s="6" t="s">
        <v>465</v>
      </c>
      <c r="B227" s="6" t="s">
        <v>1071</v>
      </c>
      <c r="C227" s="6">
        <v>1220</v>
      </c>
      <c r="D227" s="6"/>
      <c r="E227" s="7">
        <v>120</v>
      </c>
      <c r="F227" s="6" t="s">
        <v>17</v>
      </c>
      <c r="G227" s="109"/>
      <c r="H227" s="109"/>
      <c r="I227" s="11">
        <f t="shared" ref="I227" si="75">G227*E227</f>
        <v>0</v>
      </c>
      <c r="J227" s="11">
        <f t="shared" ref="J227" si="76">H227*E227</f>
        <v>0</v>
      </c>
      <c r="K227" s="6" t="s">
        <v>466</v>
      </c>
      <c r="L227" s="18" t="s">
        <v>467</v>
      </c>
      <c r="M227" s="12"/>
      <c r="N227" s="6"/>
      <c r="O227" s="9"/>
      <c r="P227" s="9"/>
      <c r="T227" s="11"/>
    </row>
    <row r="228" spans="1:21" s="7" customFormat="1" x14ac:dyDescent="0.2">
      <c r="A228" s="6" t="s">
        <v>461</v>
      </c>
      <c r="B228" s="6" t="s">
        <v>462</v>
      </c>
      <c r="C228" s="6">
        <v>1520</v>
      </c>
      <c r="D228" s="6"/>
      <c r="E228" s="7">
        <v>550</v>
      </c>
      <c r="F228" s="6" t="s">
        <v>17</v>
      </c>
      <c r="G228" s="109"/>
      <c r="H228" s="109"/>
      <c r="I228" s="11">
        <f t="shared" ref="I228:I229" si="77">G228*E228</f>
        <v>0</v>
      </c>
      <c r="J228" s="11">
        <f t="shared" ref="J228:J229" si="78">H228*E228</f>
        <v>0</v>
      </c>
      <c r="K228" s="6" t="s">
        <v>463</v>
      </c>
      <c r="L228" s="18" t="s">
        <v>464</v>
      </c>
      <c r="M228" s="12"/>
      <c r="N228" s="6"/>
      <c r="O228" s="9"/>
      <c r="P228" s="9"/>
      <c r="T228" s="11"/>
    </row>
    <row r="229" spans="1:21" s="7" customFormat="1" x14ac:dyDescent="0.2">
      <c r="A229" s="6" t="s">
        <v>461</v>
      </c>
      <c r="B229" s="6" t="s">
        <v>462</v>
      </c>
      <c r="C229" s="6">
        <v>1532</v>
      </c>
      <c r="D229" s="6"/>
      <c r="E229" s="7">
        <v>50</v>
      </c>
      <c r="F229" s="6" t="s">
        <v>17</v>
      </c>
      <c r="G229" s="109"/>
      <c r="H229" s="109"/>
      <c r="I229" s="11">
        <f t="shared" si="77"/>
        <v>0</v>
      </c>
      <c r="J229" s="11">
        <f t="shared" si="78"/>
        <v>0</v>
      </c>
      <c r="K229" s="6" t="s">
        <v>471</v>
      </c>
      <c r="L229" s="18" t="s">
        <v>464</v>
      </c>
      <c r="M229" s="12"/>
      <c r="N229" s="6"/>
      <c r="O229" s="9"/>
      <c r="P229" s="9"/>
      <c r="T229" s="11"/>
    </row>
    <row r="230" spans="1:21" s="7" customFormat="1" x14ac:dyDescent="0.2">
      <c r="A230" s="6" t="s">
        <v>452</v>
      </c>
      <c r="B230" s="6" t="s">
        <v>1072</v>
      </c>
      <c r="C230" s="7" t="s">
        <v>1073</v>
      </c>
      <c r="D230" s="6"/>
      <c r="E230" s="7">
        <v>10</v>
      </c>
      <c r="F230" s="6" t="s">
        <v>17</v>
      </c>
      <c r="G230" s="109"/>
      <c r="H230" s="109"/>
      <c r="I230" s="11">
        <f t="shared" ref="I230:I235" si="79">G230*E230</f>
        <v>0</v>
      </c>
      <c r="J230" s="11">
        <f t="shared" ref="J230:J235" si="80">H230*E230</f>
        <v>0</v>
      </c>
      <c r="K230" s="6" t="s">
        <v>453</v>
      </c>
      <c r="L230" s="18"/>
      <c r="M230" s="12"/>
      <c r="N230" s="12"/>
      <c r="O230" s="9"/>
      <c r="P230" s="9"/>
      <c r="T230" s="11"/>
    </row>
    <row r="231" spans="1:21" s="7" customFormat="1" x14ac:dyDescent="0.2">
      <c r="A231" s="7" t="s">
        <v>399</v>
      </c>
      <c r="B231" s="7" t="s">
        <v>1074</v>
      </c>
      <c r="E231" s="7">
        <f>20+40</f>
        <v>60</v>
      </c>
      <c r="F231" s="7" t="s">
        <v>17</v>
      </c>
      <c r="G231" s="114"/>
      <c r="H231" s="114"/>
      <c r="I231" s="11">
        <f t="shared" si="79"/>
        <v>0</v>
      </c>
      <c r="J231" s="11">
        <f t="shared" si="80"/>
        <v>0</v>
      </c>
      <c r="L231" s="28"/>
      <c r="M231" s="23"/>
      <c r="O231" s="9"/>
      <c r="P231" s="9"/>
      <c r="Q231" s="10"/>
      <c r="R231" s="10"/>
      <c r="S231" s="10"/>
    </row>
    <row r="232" spans="1:21" s="7" customFormat="1" x14ac:dyDescent="0.2">
      <c r="A232" s="6" t="s">
        <v>397</v>
      </c>
      <c r="B232" s="6"/>
      <c r="C232" s="6" t="s">
        <v>398</v>
      </c>
      <c r="D232" s="6"/>
      <c r="E232" s="7">
        <v>20</v>
      </c>
      <c r="F232" s="6" t="s">
        <v>17</v>
      </c>
      <c r="G232" s="115"/>
      <c r="H232" s="109"/>
      <c r="I232" s="11">
        <f t="shared" si="79"/>
        <v>0</v>
      </c>
      <c r="J232" s="11">
        <f t="shared" si="80"/>
        <v>0</v>
      </c>
      <c r="K232" s="6">
        <v>210010124</v>
      </c>
      <c r="L232" s="18"/>
      <c r="M232" s="12"/>
      <c r="N232" s="12"/>
      <c r="O232" s="9"/>
      <c r="P232" s="9"/>
      <c r="Q232" s="10"/>
      <c r="R232" s="10"/>
      <c r="S232" s="10"/>
      <c r="T232" s="11"/>
      <c r="U232" s="52"/>
    </row>
    <row r="233" spans="1:21" s="7" customFormat="1" x14ac:dyDescent="0.2">
      <c r="A233" s="6" t="s">
        <v>385</v>
      </c>
      <c r="B233" s="6" t="s">
        <v>386</v>
      </c>
      <c r="D233" s="6"/>
      <c r="E233" s="50">
        <v>550</v>
      </c>
      <c r="F233" s="6" t="s">
        <v>17</v>
      </c>
      <c r="G233" s="110"/>
      <c r="H233" s="113"/>
      <c r="I233" s="11">
        <f t="shared" si="79"/>
        <v>0</v>
      </c>
      <c r="J233" s="11">
        <f t="shared" si="80"/>
        <v>0</v>
      </c>
      <c r="K233" s="6" t="s">
        <v>387</v>
      </c>
      <c r="L233" s="18"/>
      <c r="M233" s="12"/>
      <c r="N233" s="12"/>
      <c r="O233" s="9"/>
      <c r="P233" s="9"/>
      <c r="Q233" s="10"/>
      <c r="R233" s="10"/>
      <c r="S233" s="10"/>
      <c r="T233" s="11"/>
    </row>
    <row r="234" spans="1:21" s="7" customFormat="1" x14ac:dyDescent="0.2">
      <c r="A234" s="6" t="s">
        <v>388</v>
      </c>
      <c r="B234" s="6" t="s">
        <v>389</v>
      </c>
      <c r="D234" s="6"/>
      <c r="E234" s="50">
        <f>715*1.2+17*20+200</f>
        <v>1398</v>
      </c>
      <c r="F234" s="6" t="s">
        <v>17</v>
      </c>
      <c r="G234" s="110"/>
      <c r="H234" s="109"/>
      <c r="I234" s="11">
        <f t="shared" si="79"/>
        <v>0</v>
      </c>
      <c r="J234" s="11">
        <f t="shared" si="80"/>
        <v>0</v>
      </c>
      <c r="K234" s="6">
        <v>210220101</v>
      </c>
      <c r="L234" s="18"/>
      <c r="M234" s="12"/>
      <c r="N234" s="12"/>
      <c r="O234" s="9"/>
      <c r="P234" s="9"/>
      <c r="Q234" s="10"/>
      <c r="R234" s="10"/>
      <c r="S234" s="10"/>
      <c r="T234" s="11"/>
    </row>
    <row r="235" spans="1:21" s="7" customFormat="1" x14ac:dyDescent="0.2">
      <c r="A235" s="6" t="s">
        <v>388</v>
      </c>
      <c r="B235" s="6" t="s">
        <v>390</v>
      </c>
      <c r="D235" s="6"/>
      <c r="E235" s="50">
        <f>17*3+114+10*10</f>
        <v>265</v>
      </c>
      <c r="F235" s="6" t="s">
        <v>17</v>
      </c>
      <c r="G235" s="110"/>
      <c r="H235" s="109"/>
      <c r="I235" s="11">
        <f t="shared" si="79"/>
        <v>0</v>
      </c>
      <c r="J235" s="11">
        <f t="shared" si="80"/>
        <v>0</v>
      </c>
      <c r="K235" s="6" t="s">
        <v>391</v>
      </c>
      <c r="L235" s="18"/>
      <c r="M235" s="12"/>
      <c r="N235" s="12"/>
      <c r="O235" s="9"/>
      <c r="P235" s="9"/>
      <c r="Q235" s="10"/>
      <c r="R235" s="10"/>
      <c r="S235" s="10"/>
      <c r="T235" s="11"/>
    </row>
    <row r="236" spans="1:21" s="7" customFormat="1" x14ac:dyDescent="0.2">
      <c r="A236" s="7" t="s">
        <v>86</v>
      </c>
      <c r="B236" s="6"/>
      <c r="F236" s="6"/>
      <c r="G236" s="11"/>
      <c r="H236" s="11"/>
      <c r="I236" s="11"/>
      <c r="J236" s="11"/>
      <c r="K236" s="6"/>
      <c r="L236" s="29"/>
      <c r="M236" s="12"/>
      <c r="N236" s="9"/>
      <c r="O236" s="9"/>
    </row>
    <row r="237" spans="1:21" s="7" customFormat="1" x14ac:dyDescent="0.2">
      <c r="A237" s="6"/>
      <c r="B237" s="6"/>
      <c r="D237" s="6"/>
      <c r="F237" s="6"/>
      <c r="G237" s="11"/>
      <c r="H237" s="11"/>
      <c r="I237" s="8"/>
      <c r="J237" s="9"/>
      <c r="K237" s="9"/>
      <c r="L237" s="28"/>
    </row>
    <row r="238" spans="1:21" s="7" customFormat="1" x14ac:dyDescent="0.2">
      <c r="A238" s="1" t="s">
        <v>36</v>
      </c>
      <c r="B238" s="1"/>
      <c r="C238" s="1"/>
      <c r="D238" s="1"/>
      <c r="E238" s="1"/>
      <c r="F238" s="1"/>
      <c r="G238" s="1"/>
      <c r="H238" s="1"/>
      <c r="I238" s="5">
        <f>SUM(I196:I237)</f>
        <v>0</v>
      </c>
      <c r="K238" s="12"/>
      <c r="L238" s="28"/>
      <c r="N238" s="9"/>
      <c r="O238" s="9"/>
    </row>
    <row r="239" spans="1:21" x14ac:dyDescent="0.2">
      <c r="A239" s="1" t="s">
        <v>28</v>
      </c>
      <c r="B239" s="1"/>
      <c r="C239" s="1"/>
      <c r="D239" s="1"/>
      <c r="E239" s="1"/>
      <c r="F239" s="1"/>
      <c r="G239" s="1"/>
      <c r="H239" s="1"/>
      <c r="J239" s="5">
        <f>SUM(J196:J238)</f>
        <v>0</v>
      </c>
    </row>
    <row r="241" spans="1:20" x14ac:dyDescent="0.2">
      <c r="A241" s="1" t="s">
        <v>400</v>
      </c>
    </row>
    <row r="242" spans="1:20" x14ac:dyDescent="0.2">
      <c r="A242" s="6" t="s">
        <v>34</v>
      </c>
      <c r="B242" s="7"/>
      <c r="C242" s="25"/>
      <c r="D242" s="7"/>
      <c r="E242" s="20" t="s">
        <v>35</v>
      </c>
      <c r="F242" s="6" t="s">
        <v>13</v>
      </c>
      <c r="G242" s="11" t="s">
        <v>30</v>
      </c>
      <c r="H242" s="11" t="s">
        <v>31</v>
      </c>
      <c r="I242" s="11" t="s">
        <v>32</v>
      </c>
      <c r="J242" s="11" t="s">
        <v>33</v>
      </c>
      <c r="K242" s="6" t="s">
        <v>61</v>
      </c>
    </row>
    <row r="244" spans="1:20" s="7" customFormat="1" x14ac:dyDescent="0.2">
      <c r="A244" s="6" t="s">
        <v>879</v>
      </c>
      <c r="B244" s="6" t="s">
        <v>880</v>
      </c>
      <c r="C244" s="6" t="s">
        <v>881</v>
      </c>
      <c r="D244" s="7" t="s">
        <v>882</v>
      </c>
      <c r="E244" s="7">
        <f>530+30</f>
        <v>560</v>
      </c>
      <c r="F244" s="6" t="s">
        <v>17</v>
      </c>
      <c r="G244" s="6"/>
      <c r="H244" s="109"/>
      <c r="I244" s="11"/>
      <c r="J244" s="11">
        <f t="shared" ref="J244:J245" si="81">H244*E244</f>
        <v>0</v>
      </c>
      <c r="K244" s="6">
        <v>460200144</v>
      </c>
      <c r="L244" s="6"/>
      <c r="M244" s="12"/>
      <c r="N244" s="31"/>
      <c r="O244" s="68"/>
      <c r="T244" s="69"/>
    </row>
    <row r="245" spans="1:20" s="7" customFormat="1" x14ac:dyDescent="0.2">
      <c r="A245" s="6" t="s">
        <v>883</v>
      </c>
      <c r="B245" s="6" t="s">
        <v>880</v>
      </c>
      <c r="C245" s="6" t="s">
        <v>881</v>
      </c>
      <c r="D245" s="7" t="s">
        <v>882</v>
      </c>
      <c r="E245" s="7">
        <f>530+30</f>
        <v>560</v>
      </c>
      <c r="F245" s="6" t="s">
        <v>17</v>
      </c>
      <c r="G245" s="6"/>
      <c r="H245" s="109"/>
      <c r="I245" s="11"/>
      <c r="J245" s="11">
        <f t="shared" si="81"/>
        <v>0</v>
      </c>
      <c r="K245" s="6">
        <v>460560144</v>
      </c>
      <c r="L245" s="6"/>
      <c r="M245" s="12"/>
      <c r="N245" s="31"/>
      <c r="O245" s="68"/>
      <c r="T245" s="69"/>
    </row>
    <row r="247" spans="1:20" x14ac:dyDescent="0.2">
      <c r="A247" s="1" t="s">
        <v>884</v>
      </c>
      <c r="J247" s="5">
        <f>SUM(J244:J246)</f>
        <v>0</v>
      </c>
    </row>
  </sheetData>
  <pageMargins left="0.62992125984251968" right="0.62992125984251968" top="0.55118110236220474" bottom="0.55118110236220474" header="0.31496062992125984" footer="0.31496062992125984"/>
  <pageSetup paperSize="9" orientation="landscape" horizontalDpi="300" verticalDpi="300" r:id="rId1"/>
  <headerFooter>
    <oddHeader>&amp;L&amp;"Arial,Obyčejné"KRYTÝ BAZÉN ZNOJMO - LOUKA SO 101&amp;R&amp;"Arial,Obyčejné"DPS</oddHeader>
    <oddFooter>Stránka &amp;P z &amp;N</oddFooter>
  </headerFooter>
  <rowBreaks count="2" manualBreakCount="2">
    <brk id="38" max="11" man="1"/>
    <brk id="192" max="11"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dimension ref="A1:P23"/>
  <sheetViews>
    <sheetView workbookViewId="0">
      <selection activeCell="S244" sqref="S244"/>
    </sheetView>
  </sheetViews>
  <sheetFormatPr defaultRowHeight="12.75" x14ac:dyDescent="0.2"/>
  <cols>
    <col min="1" max="1" width="26.83203125" customWidth="1"/>
    <col min="2" max="3" width="13.83203125" customWidth="1"/>
    <col min="4" max="4" width="5.83203125" customWidth="1"/>
    <col min="5" max="5" width="7.83203125" customWidth="1"/>
    <col min="6" max="6" width="3.83203125" customWidth="1"/>
    <col min="7" max="8" width="10.83203125" customWidth="1"/>
    <col min="9" max="9" width="11.83203125" customWidth="1"/>
    <col min="10" max="10" width="11.83203125" style="4" customWidth="1"/>
    <col min="11" max="11" width="11.83203125" customWidth="1"/>
    <col min="12" max="12" width="9.33203125" style="4"/>
  </cols>
  <sheetData>
    <row r="1" spans="1:16" ht="25.5" x14ac:dyDescent="0.35">
      <c r="B1" s="2" t="s">
        <v>206</v>
      </c>
    </row>
    <row r="2" spans="1:16" x14ac:dyDescent="0.2">
      <c r="A2" t="s">
        <v>59</v>
      </c>
      <c r="C2" t="s">
        <v>207</v>
      </c>
      <c r="E2">
        <v>1</v>
      </c>
      <c r="F2" t="s">
        <v>15</v>
      </c>
    </row>
    <row r="4" spans="1:16" x14ac:dyDescent="0.2">
      <c r="A4" t="s">
        <v>60</v>
      </c>
      <c r="C4" t="s">
        <v>208</v>
      </c>
    </row>
    <row r="5" spans="1:16" x14ac:dyDescent="0.2">
      <c r="H5" s="3"/>
    </row>
    <row r="6" spans="1:16" s="7" customFormat="1" x14ac:dyDescent="0.2">
      <c r="A6" s="6" t="s">
        <v>34</v>
      </c>
      <c r="E6" s="20" t="s">
        <v>35</v>
      </c>
      <c r="F6" s="6" t="s">
        <v>13</v>
      </c>
      <c r="G6" s="11" t="s">
        <v>30</v>
      </c>
      <c r="H6" s="11" t="s">
        <v>31</v>
      </c>
      <c r="I6" s="11" t="s">
        <v>32</v>
      </c>
      <c r="J6" s="11" t="s">
        <v>33</v>
      </c>
      <c r="K6" s="6" t="s">
        <v>61</v>
      </c>
      <c r="L6" s="18" t="s">
        <v>269</v>
      </c>
    </row>
    <row r="8" spans="1:16" s="7" customFormat="1" x14ac:dyDescent="0.2">
      <c r="A8" s="6" t="s">
        <v>90</v>
      </c>
      <c r="B8" s="6" t="s">
        <v>1105</v>
      </c>
      <c r="D8" s="6"/>
      <c r="E8" s="40">
        <v>1</v>
      </c>
      <c r="F8" s="6" t="s">
        <v>15</v>
      </c>
      <c r="G8" s="109"/>
      <c r="H8" s="109"/>
      <c r="I8" s="11">
        <f>G8*E8</f>
        <v>0</v>
      </c>
      <c r="J8" s="8">
        <f>H8*E8</f>
        <v>0</v>
      </c>
      <c r="K8" s="6" t="s">
        <v>40</v>
      </c>
      <c r="L8" s="18"/>
      <c r="M8" s="12"/>
      <c r="N8" s="12"/>
      <c r="O8" s="14"/>
      <c r="P8" s="14"/>
    </row>
    <row r="9" spans="1:16" s="7" customFormat="1" x14ac:dyDescent="0.2">
      <c r="A9" s="6" t="s">
        <v>21</v>
      </c>
      <c r="B9" s="6" t="s">
        <v>98</v>
      </c>
      <c r="C9" s="6" t="s">
        <v>64</v>
      </c>
      <c r="D9" s="6"/>
      <c r="E9" s="13">
        <v>1</v>
      </c>
      <c r="F9" s="6" t="s">
        <v>15</v>
      </c>
      <c r="G9" s="109"/>
      <c r="H9" s="109"/>
      <c r="I9" s="11">
        <f t="shared" ref="I9:I17" si="0">G9*E9</f>
        <v>0</v>
      </c>
      <c r="J9" s="8">
        <f t="shared" ref="J9:J17" si="1">H9*E9</f>
        <v>0</v>
      </c>
      <c r="K9" s="6" t="s">
        <v>39</v>
      </c>
      <c r="L9" s="18" t="s">
        <v>95</v>
      </c>
      <c r="M9" s="12"/>
      <c r="N9" s="12"/>
      <c r="O9" s="14"/>
      <c r="P9" s="14"/>
    </row>
    <row r="10" spans="1:16" s="7" customFormat="1" x14ac:dyDescent="0.2">
      <c r="A10" s="6" t="s">
        <v>21</v>
      </c>
      <c r="B10" s="6" t="s">
        <v>98</v>
      </c>
      <c r="C10" s="6" t="s">
        <v>189</v>
      </c>
      <c r="D10" s="6"/>
      <c r="E10" s="13">
        <v>1</v>
      </c>
      <c r="F10" s="6" t="s">
        <v>15</v>
      </c>
      <c r="G10" s="109"/>
      <c r="H10" s="109"/>
      <c r="I10" s="11">
        <f t="shared" si="0"/>
        <v>0</v>
      </c>
      <c r="J10" s="8">
        <f t="shared" si="1"/>
        <v>0</v>
      </c>
      <c r="K10" s="6" t="s">
        <v>39</v>
      </c>
      <c r="L10" s="18" t="s">
        <v>95</v>
      </c>
      <c r="M10" s="12"/>
      <c r="N10" s="12"/>
      <c r="O10" s="14"/>
      <c r="P10" s="14"/>
    </row>
    <row r="11" spans="1:16" s="7" customFormat="1" x14ac:dyDescent="0.2">
      <c r="A11" s="6" t="s">
        <v>21</v>
      </c>
      <c r="B11" s="6" t="s">
        <v>98</v>
      </c>
      <c r="C11" s="6" t="s">
        <v>43</v>
      </c>
      <c r="D11" s="6"/>
      <c r="E11" s="13">
        <v>1</v>
      </c>
      <c r="F11" s="6" t="s">
        <v>15</v>
      </c>
      <c r="G11" s="109"/>
      <c r="H11" s="109"/>
      <c r="I11" s="11">
        <f t="shared" si="0"/>
        <v>0</v>
      </c>
      <c r="J11" s="8">
        <f t="shared" si="1"/>
        <v>0</v>
      </c>
      <c r="K11" s="6" t="s">
        <v>39</v>
      </c>
      <c r="L11" s="18" t="s">
        <v>95</v>
      </c>
      <c r="M11" s="12"/>
      <c r="N11" s="12"/>
      <c r="O11" s="14"/>
      <c r="P11" s="14"/>
    </row>
    <row r="12" spans="1:16" s="7" customFormat="1" x14ac:dyDescent="0.2">
      <c r="A12" s="6" t="s">
        <v>41</v>
      </c>
      <c r="B12" s="6" t="s">
        <v>209</v>
      </c>
      <c r="D12" s="6"/>
      <c r="E12" s="13">
        <v>2</v>
      </c>
      <c r="F12" s="6" t="s">
        <v>15</v>
      </c>
      <c r="G12" s="109"/>
      <c r="H12" s="109"/>
      <c r="I12" s="11">
        <f t="shared" si="0"/>
        <v>0</v>
      </c>
      <c r="J12" s="8">
        <f t="shared" si="1"/>
        <v>0</v>
      </c>
      <c r="K12" s="6" t="s">
        <v>40</v>
      </c>
      <c r="L12" s="18" t="s">
        <v>116</v>
      </c>
      <c r="M12" s="12"/>
      <c r="N12" s="12"/>
      <c r="O12" s="14"/>
      <c r="P12" s="14"/>
    </row>
    <row r="13" spans="1:16" s="7" customFormat="1" x14ac:dyDescent="0.2">
      <c r="A13" s="6" t="s">
        <v>45</v>
      </c>
      <c r="B13" s="6" t="s">
        <v>46</v>
      </c>
      <c r="C13" s="6" t="s">
        <v>210</v>
      </c>
      <c r="D13" s="6"/>
      <c r="E13" s="13">
        <v>3</v>
      </c>
      <c r="F13" s="6" t="s">
        <v>15</v>
      </c>
      <c r="G13" s="109"/>
      <c r="H13" s="109"/>
      <c r="I13" s="11">
        <f t="shared" si="0"/>
        <v>0</v>
      </c>
      <c r="J13" s="8">
        <f t="shared" si="1"/>
        <v>0</v>
      </c>
      <c r="K13" s="6" t="s">
        <v>47</v>
      </c>
      <c r="L13" s="18" t="s">
        <v>117</v>
      </c>
      <c r="M13" s="12"/>
      <c r="N13" s="12"/>
      <c r="O13" s="14"/>
      <c r="P13" s="14"/>
    </row>
    <row r="14" spans="1:16" s="7" customFormat="1" x14ac:dyDescent="0.2">
      <c r="A14" s="6" t="s">
        <v>45</v>
      </c>
      <c r="B14" s="6" t="s">
        <v>46</v>
      </c>
      <c r="C14" s="6" t="s">
        <v>211</v>
      </c>
      <c r="D14" s="6"/>
      <c r="E14" s="13">
        <v>3</v>
      </c>
      <c r="F14" s="6" t="s">
        <v>15</v>
      </c>
      <c r="G14" s="109"/>
      <c r="H14" s="109"/>
      <c r="I14" s="11">
        <f t="shared" si="0"/>
        <v>0</v>
      </c>
      <c r="J14" s="8">
        <f t="shared" si="1"/>
        <v>0</v>
      </c>
      <c r="K14" s="6" t="s">
        <v>47</v>
      </c>
      <c r="L14" s="18" t="s">
        <v>117</v>
      </c>
      <c r="M14" s="12"/>
      <c r="N14" s="12"/>
      <c r="O14" s="14"/>
      <c r="P14" s="14"/>
    </row>
    <row r="15" spans="1:16" s="7" customFormat="1" x14ac:dyDescent="0.2">
      <c r="A15" s="6" t="s">
        <v>1095</v>
      </c>
      <c r="B15" s="6" t="s">
        <v>24</v>
      </c>
      <c r="C15" s="6" t="s">
        <v>212</v>
      </c>
      <c r="D15" s="6"/>
      <c r="E15" s="13">
        <v>1</v>
      </c>
      <c r="F15" s="6" t="s">
        <v>15</v>
      </c>
      <c r="G15" s="117"/>
      <c r="H15" s="109"/>
      <c r="I15" s="11">
        <f t="shared" si="0"/>
        <v>0</v>
      </c>
      <c r="J15" s="8">
        <f t="shared" si="1"/>
        <v>0</v>
      </c>
      <c r="K15" s="6" t="s">
        <v>213</v>
      </c>
      <c r="L15" s="18" t="s">
        <v>148</v>
      </c>
      <c r="M15" s="12"/>
      <c r="N15" s="12"/>
      <c r="O15" s="14"/>
      <c r="P15" s="14"/>
    </row>
    <row r="16" spans="1:16" s="7" customFormat="1" x14ac:dyDescent="0.2">
      <c r="A16" s="6" t="s">
        <v>149</v>
      </c>
      <c r="B16" s="6" t="s">
        <v>214</v>
      </c>
      <c r="D16" s="6"/>
      <c r="E16" s="13">
        <v>1</v>
      </c>
      <c r="F16" s="6" t="s">
        <v>15</v>
      </c>
      <c r="G16" s="109"/>
      <c r="H16" s="109"/>
      <c r="I16" s="11">
        <f t="shared" si="0"/>
        <v>0</v>
      </c>
      <c r="J16" s="8">
        <f t="shared" si="1"/>
        <v>0</v>
      </c>
      <c r="L16" s="28"/>
      <c r="M16" s="12"/>
      <c r="O16" s="14"/>
      <c r="P16" s="14"/>
    </row>
    <row r="17" spans="1:16" s="7" customFormat="1" x14ac:dyDescent="0.2">
      <c r="A17" s="32" t="s">
        <v>123</v>
      </c>
      <c r="B17" s="33" t="s">
        <v>1087</v>
      </c>
      <c r="C17" s="32" t="s">
        <v>1098</v>
      </c>
      <c r="D17" s="32"/>
      <c r="E17" s="34">
        <v>1</v>
      </c>
      <c r="F17" s="6" t="s">
        <v>15</v>
      </c>
      <c r="G17" s="116"/>
      <c r="H17" s="109"/>
      <c r="I17" s="11">
        <f t="shared" si="0"/>
        <v>0</v>
      </c>
      <c r="J17" s="8">
        <f t="shared" si="1"/>
        <v>0</v>
      </c>
      <c r="K17" s="6" t="s">
        <v>40</v>
      </c>
      <c r="L17" s="18"/>
      <c r="M17" s="38"/>
      <c r="N17" s="12"/>
      <c r="O17" s="14"/>
      <c r="P17" s="14"/>
    </row>
    <row r="18" spans="1:16" s="7" customFormat="1" x14ac:dyDescent="0.2">
      <c r="A18" s="6" t="s">
        <v>68</v>
      </c>
      <c r="B18" s="6" t="s">
        <v>1090</v>
      </c>
      <c r="C18" s="6" t="s">
        <v>169</v>
      </c>
      <c r="D18" s="6"/>
      <c r="E18" s="13">
        <v>1</v>
      </c>
      <c r="F18" s="6" t="s">
        <v>15</v>
      </c>
      <c r="G18" s="109"/>
      <c r="H18" s="109"/>
      <c r="I18" s="11">
        <f>G18*E18</f>
        <v>0</v>
      </c>
      <c r="J18" s="8">
        <f>H18*E18</f>
        <v>0</v>
      </c>
      <c r="K18" s="6" t="s">
        <v>40</v>
      </c>
      <c r="L18" s="18" t="s">
        <v>170</v>
      </c>
      <c r="M18" s="12"/>
      <c r="N18" s="12"/>
      <c r="O18" s="14"/>
      <c r="P18" s="14"/>
    </row>
    <row r="19" spans="1:16" s="7" customFormat="1" x14ac:dyDescent="0.2">
      <c r="A19" s="6"/>
      <c r="B19" s="20"/>
      <c r="C19" s="6"/>
      <c r="D19" s="6"/>
      <c r="E19" s="13"/>
      <c r="F19" s="6"/>
      <c r="G19" s="8"/>
      <c r="H19" s="8"/>
      <c r="I19" s="8"/>
      <c r="J19" s="8"/>
      <c r="L19" s="29"/>
      <c r="N19" s="14"/>
      <c r="O19" s="14"/>
    </row>
    <row r="20" spans="1:16" s="7" customFormat="1" x14ac:dyDescent="0.2">
      <c r="A20" s="6" t="s">
        <v>29</v>
      </c>
      <c r="B20" s="20"/>
      <c r="C20" s="6"/>
      <c r="D20" s="6"/>
      <c r="E20" s="13"/>
      <c r="F20" s="6"/>
      <c r="G20" s="8"/>
      <c r="I20" s="8">
        <f>SUM(I8:I19)</f>
        <v>0</v>
      </c>
      <c r="J20" s="8"/>
      <c r="L20" s="29"/>
      <c r="N20" s="14"/>
      <c r="O20" s="14"/>
    </row>
    <row r="21" spans="1:16" x14ac:dyDescent="0.2">
      <c r="A21" s="6" t="s">
        <v>75</v>
      </c>
      <c r="I21" s="3"/>
      <c r="J21" s="3">
        <f>SUM(J8:J20)</f>
        <v>0</v>
      </c>
    </row>
    <row r="22" spans="1:16" x14ac:dyDescent="0.2">
      <c r="A22" s="6"/>
      <c r="I22" s="3"/>
      <c r="J22" s="3"/>
    </row>
    <row r="23" spans="1:16" x14ac:dyDescent="0.2">
      <c r="A23" s="35" t="s">
        <v>76</v>
      </c>
      <c r="B23" s="36"/>
      <c r="C23" s="36"/>
      <c r="D23" s="36"/>
      <c r="E23" s="36"/>
      <c r="F23" s="36"/>
      <c r="G23" s="36"/>
      <c r="I23" s="37"/>
      <c r="J23" s="5">
        <f>J21+I20</f>
        <v>0</v>
      </c>
    </row>
  </sheetData>
  <pageMargins left="0.62992125984251968" right="0.62992125984251968" top="0.55118110236220474" bottom="0.55118110236220474" header="0.31496062992125984" footer="0.31496062992125984"/>
  <pageSetup paperSize="9" orientation="landscape" horizontalDpi="300" verticalDpi="300" r:id="rId1"/>
  <headerFooter>
    <oddHeader>&amp;L&amp;"Arial,Obyčejné"KRYTÝ BAZÉN ZNOJMO - LOUKA SO 101&amp;R&amp;"Arial,Obyčejné"DPS</oddHeader>
    <oddFooter>Stránka &amp;P z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dimension ref="A1:P16"/>
  <sheetViews>
    <sheetView workbookViewId="0">
      <selection activeCell="S244" sqref="S244"/>
    </sheetView>
  </sheetViews>
  <sheetFormatPr defaultRowHeight="12.75" x14ac:dyDescent="0.2"/>
  <cols>
    <col min="1" max="1" width="26.83203125" customWidth="1"/>
    <col min="2" max="3" width="13.83203125" customWidth="1"/>
    <col min="4" max="4" width="5.83203125" customWidth="1"/>
    <col min="5" max="5" width="7.83203125" customWidth="1"/>
    <col min="6" max="6" width="3.83203125" customWidth="1"/>
    <col min="7" max="8" width="10.83203125" customWidth="1"/>
    <col min="9" max="9" width="11.83203125" customWidth="1"/>
    <col min="10" max="10" width="11.83203125" style="4" customWidth="1"/>
    <col min="11" max="11" width="11.83203125" customWidth="1"/>
    <col min="12" max="12" width="9.33203125" style="4"/>
  </cols>
  <sheetData>
    <row r="1" spans="1:16" ht="25.5" x14ac:dyDescent="0.35">
      <c r="B1" s="2" t="s">
        <v>219</v>
      </c>
    </row>
    <row r="2" spans="1:16" x14ac:dyDescent="0.2">
      <c r="A2" t="s">
        <v>59</v>
      </c>
      <c r="C2" t="s">
        <v>220</v>
      </c>
      <c r="E2">
        <v>1</v>
      </c>
      <c r="F2" t="s">
        <v>15</v>
      </c>
    </row>
    <row r="4" spans="1:16" x14ac:dyDescent="0.2">
      <c r="A4" t="s">
        <v>60</v>
      </c>
      <c r="C4" t="s">
        <v>221</v>
      </c>
    </row>
    <row r="5" spans="1:16" x14ac:dyDescent="0.2">
      <c r="H5" s="3"/>
    </row>
    <row r="6" spans="1:16" s="7" customFormat="1" x14ac:dyDescent="0.2">
      <c r="A6" s="6" t="s">
        <v>34</v>
      </c>
      <c r="E6" s="20" t="s">
        <v>35</v>
      </c>
      <c r="F6" s="6" t="s">
        <v>13</v>
      </c>
      <c r="G6" s="11" t="s">
        <v>30</v>
      </c>
      <c r="H6" s="11" t="s">
        <v>31</v>
      </c>
      <c r="I6" s="11" t="s">
        <v>32</v>
      </c>
      <c r="J6" s="11" t="s">
        <v>33</v>
      </c>
      <c r="K6" s="6" t="s">
        <v>61</v>
      </c>
      <c r="L6" s="18" t="s">
        <v>269</v>
      </c>
    </row>
    <row r="8" spans="1:16" s="7" customFormat="1" x14ac:dyDescent="0.2">
      <c r="A8" s="7" t="s">
        <v>215</v>
      </c>
      <c r="B8" s="7" t="s">
        <v>1106</v>
      </c>
      <c r="E8" s="13">
        <v>1</v>
      </c>
      <c r="F8" s="6" t="s">
        <v>15</v>
      </c>
      <c r="G8" s="110"/>
      <c r="H8" s="109"/>
      <c r="I8" s="11">
        <f t="shared" ref="I8" si="0">G8*E8</f>
        <v>0</v>
      </c>
      <c r="J8" s="8">
        <f t="shared" ref="J8" si="1">H8*E8</f>
        <v>0</v>
      </c>
      <c r="L8" s="28" t="s">
        <v>216</v>
      </c>
      <c r="M8" s="12"/>
      <c r="O8" s="14"/>
      <c r="P8" s="14"/>
    </row>
    <row r="9" spans="1:16" s="7" customFormat="1" x14ac:dyDescent="0.2">
      <c r="A9" s="6" t="s">
        <v>217</v>
      </c>
      <c r="B9" s="6" t="s">
        <v>218</v>
      </c>
      <c r="C9" s="6" t="s">
        <v>44</v>
      </c>
      <c r="D9" s="6"/>
      <c r="E9" s="13">
        <v>1</v>
      </c>
      <c r="F9" s="6" t="s">
        <v>15</v>
      </c>
      <c r="G9" s="109"/>
      <c r="H9" s="109"/>
      <c r="I9" s="11">
        <f>G9*E9</f>
        <v>0</v>
      </c>
      <c r="J9" s="8">
        <f>H9*E9</f>
        <v>0</v>
      </c>
      <c r="K9" s="6" t="s">
        <v>39</v>
      </c>
      <c r="L9" s="18"/>
      <c r="M9" s="12"/>
      <c r="N9" s="12"/>
      <c r="O9" s="14"/>
      <c r="P9" s="14"/>
    </row>
    <row r="10" spans="1:16" s="7" customFormat="1" x14ac:dyDescent="0.2">
      <c r="A10" s="6" t="s">
        <v>1095</v>
      </c>
      <c r="B10" s="6" t="s">
        <v>24</v>
      </c>
      <c r="C10" s="6" t="s">
        <v>212</v>
      </c>
      <c r="D10" s="6"/>
      <c r="E10" s="13">
        <v>1</v>
      </c>
      <c r="F10" s="6" t="s">
        <v>15</v>
      </c>
      <c r="G10" s="117"/>
      <c r="H10" s="109"/>
      <c r="I10" s="11">
        <f t="shared" ref="I10:I11" si="2">G10*E10</f>
        <v>0</v>
      </c>
      <c r="J10" s="8">
        <f t="shared" ref="J10:J11" si="3">H10*E10</f>
        <v>0</v>
      </c>
      <c r="K10" s="6" t="s">
        <v>213</v>
      </c>
      <c r="L10" s="18" t="s">
        <v>148</v>
      </c>
      <c r="M10" s="12"/>
      <c r="N10" s="12"/>
      <c r="O10" s="14"/>
      <c r="P10" s="14"/>
    </row>
    <row r="11" spans="1:16" s="7" customFormat="1" x14ac:dyDescent="0.2">
      <c r="A11" s="32" t="s">
        <v>123</v>
      </c>
      <c r="B11" s="33" t="s">
        <v>1087</v>
      </c>
      <c r="C11" s="32" t="s">
        <v>1098</v>
      </c>
      <c r="D11" s="32"/>
      <c r="E11" s="34">
        <v>1</v>
      </c>
      <c r="F11" s="6" t="s">
        <v>15</v>
      </c>
      <c r="G11" s="116"/>
      <c r="H11" s="109"/>
      <c r="I11" s="11">
        <f t="shared" si="2"/>
        <v>0</v>
      </c>
      <c r="J11" s="8">
        <f t="shared" si="3"/>
        <v>0</v>
      </c>
      <c r="K11" s="6" t="s">
        <v>40</v>
      </c>
      <c r="L11" s="18"/>
      <c r="M11" s="38"/>
      <c r="N11" s="12"/>
      <c r="O11" s="14"/>
      <c r="P11" s="14"/>
    </row>
    <row r="12" spans="1:16" s="7" customFormat="1" x14ac:dyDescent="0.2">
      <c r="A12" s="6"/>
      <c r="B12" s="20"/>
      <c r="C12" s="6"/>
      <c r="D12" s="6"/>
      <c r="E12" s="13"/>
      <c r="F12" s="6"/>
      <c r="G12" s="8"/>
      <c r="H12" s="8"/>
      <c r="I12" s="8"/>
      <c r="J12" s="8"/>
      <c r="L12" s="29"/>
      <c r="N12" s="14"/>
      <c r="O12" s="14"/>
    </row>
    <row r="13" spans="1:16" s="7" customFormat="1" x14ac:dyDescent="0.2">
      <c r="A13" s="6" t="s">
        <v>29</v>
      </c>
      <c r="B13" s="20"/>
      <c r="C13" s="6"/>
      <c r="D13" s="6"/>
      <c r="E13" s="13"/>
      <c r="F13" s="6"/>
      <c r="G13" s="8"/>
      <c r="I13" s="8">
        <f>SUM(I8:I12)</f>
        <v>0</v>
      </c>
      <c r="J13" s="8"/>
      <c r="L13" s="29"/>
      <c r="N13" s="14"/>
      <c r="O13" s="14"/>
    </row>
    <row r="14" spans="1:16" x14ac:dyDescent="0.2">
      <c r="A14" s="6" t="s">
        <v>75</v>
      </c>
      <c r="I14" s="3"/>
      <c r="J14" s="3">
        <f>SUM(J8:J13)</f>
        <v>0</v>
      </c>
    </row>
    <row r="15" spans="1:16" x14ac:dyDescent="0.2">
      <c r="A15" s="6"/>
      <c r="I15" s="3"/>
      <c r="J15" s="3"/>
    </row>
    <row r="16" spans="1:16" x14ac:dyDescent="0.2">
      <c r="A16" s="35" t="s">
        <v>76</v>
      </c>
      <c r="B16" s="36"/>
      <c r="C16" s="36"/>
      <c r="D16" s="36"/>
      <c r="E16" s="36"/>
      <c r="F16" s="36"/>
      <c r="G16" s="36"/>
      <c r="I16" s="37"/>
      <c r="J16" s="5">
        <f>J14+I13</f>
        <v>0</v>
      </c>
    </row>
  </sheetData>
  <pageMargins left="0.62992125984251968" right="0.62992125984251968" top="0.55118110236220474" bottom="0.55118110236220474" header="0.31496062992125984" footer="0.31496062992125984"/>
  <pageSetup paperSize="9" orientation="landscape" horizontalDpi="300" verticalDpi="300" r:id="rId1"/>
  <headerFooter>
    <oddHeader>&amp;L&amp;"Arial,Obyčejné"KRYTÝ BAZÉN ZNOJMO - LOUKA SO 101&amp;R&amp;"Arial,Obyčejné"DPS</oddHeader>
    <oddFooter>Stránka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2"/>
  <dimension ref="A1:P20"/>
  <sheetViews>
    <sheetView workbookViewId="0">
      <selection activeCell="S244" sqref="S244"/>
    </sheetView>
  </sheetViews>
  <sheetFormatPr defaultRowHeight="12.75" x14ac:dyDescent="0.2"/>
  <cols>
    <col min="1" max="1" width="26.83203125" customWidth="1"/>
    <col min="2" max="3" width="13.83203125" customWidth="1"/>
    <col min="4" max="4" width="5.83203125" customWidth="1"/>
    <col min="5" max="5" width="7.83203125" customWidth="1"/>
    <col min="6" max="6" width="3.83203125" customWidth="1"/>
    <col min="7" max="8" width="10.83203125" customWidth="1"/>
    <col min="9" max="9" width="11.83203125" customWidth="1"/>
    <col min="10" max="10" width="11.83203125" style="4" customWidth="1"/>
    <col min="11" max="11" width="11.83203125" customWidth="1"/>
    <col min="12" max="12" width="9.33203125" style="4"/>
  </cols>
  <sheetData>
    <row r="1" spans="1:16" ht="25.5" x14ac:dyDescent="0.35">
      <c r="B1" s="2" t="s">
        <v>222</v>
      </c>
    </row>
    <row r="2" spans="1:16" x14ac:dyDescent="0.2">
      <c r="A2" t="s">
        <v>59</v>
      </c>
      <c r="C2" t="s">
        <v>223</v>
      </c>
      <c r="E2">
        <v>1</v>
      </c>
      <c r="F2" t="s">
        <v>15</v>
      </c>
    </row>
    <row r="4" spans="1:16" x14ac:dyDescent="0.2">
      <c r="A4" t="s">
        <v>60</v>
      </c>
      <c r="C4" t="s">
        <v>224</v>
      </c>
    </row>
    <row r="5" spans="1:16" x14ac:dyDescent="0.2">
      <c r="H5" s="3"/>
    </row>
    <row r="6" spans="1:16" s="7" customFormat="1" x14ac:dyDescent="0.2">
      <c r="A6" s="6" t="s">
        <v>34</v>
      </c>
      <c r="E6" s="20" t="s">
        <v>35</v>
      </c>
      <c r="F6" s="6" t="s">
        <v>13</v>
      </c>
      <c r="G6" s="11" t="s">
        <v>30</v>
      </c>
      <c r="H6" s="11" t="s">
        <v>31</v>
      </c>
      <c r="I6" s="11" t="s">
        <v>32</v>
      </c>
      <c r="J6" s="11" t="s">
        <v>33</v>
      </c>
      <c r="K6" s="6" t="s">
        <v>61</v>
      </c>
      <c r="L6" s="18" t="s">
        <v>269</v>
      </c>
    </row>
    <row r="8" spans="1:16" s="7" customFormat="1" x14ac:dyDescent="0.2">
      <c r="A8" s="6" t="s">
        <v>21</v>
      </c>
      <c r="B8" s="6" t="s">
        <v>22</v>
      </c>
      <c r="C8" s="6" t="s">
        <v>64</v>
      </c>
      <c r="D8" s="6" t="s">
        <v>23</v>
      </c>
      <c r="E8" s="13">
        <v>3</v>
      </c>
      <c r="F8" s="6" t="s">
        <v>15</v>
      </c>
      <c r="G8" s="109"/>
      <c r="H8" s="109"/>
      <c r="I8" s="11">
        <f t="shared" ref="I8:I12" si="0">G8*E8</f>
        <v>0</v>
      </c>
      <c r="J8" s="8">
        <f t="shared" ref="J8:J12" si="1">H8*E8</f>
        <v>0</v>
      </c>
      <c r="K8" s="6" t="s">
        <v>39</v>
      </c>
      <c r="L8" s="18" t="s">
        <v>95</v>
      </c>
      <c r="M8" s="12"/>
      <c r="N8" s="12"/>
      <c r="O8" s="14"/>
      <c r="P8" s="14"/>
    </row>
    <row r="9" spans="1:16" s="7" customFormat="1" x14ac:dyDescent="0.2">
      <c r="A9" s="6" t="s">
        <v>21</v>
      </c>
      <c r="B9" s="6" t="s">
        <v>22</v>
      </c>
      <c r="C9" s="6" t="s">
        <v>225</v>
      </c>
      <c r="D9" s="6" t="s">
        <v>23</v>
      </c>
      <c r="E9" s="13">
        <v>6</v>
      </c>
      <c r="F9" s="6" t="s">
        <v>15</v>
      </c>
      <c r="G9" s="109"/>
      <c r="H9" s="109"/>
      <c r="I9" s="11">
        <f t="shared" si="0"/>
        <v>0</v>
      </c>
      <c r="J9" s="8">
        <f t="shared" si="1"/>
        <v>0</v>
      </c>
      <c r="K9" s="6" t="s">
        <v>39</v>
      </c>
      <c r="L9" s="18" t="s">
        <v>95</v>
      </c>
      <c r="M9" s="12"/>
      <c r="N9" s="12"/>
      <c r="O9" s="14"/>
      <c r="P9" s="14"/>
    </row>
    <row r="10" spans="1:16" s="7" customFormat="1" x14ac:dyDescent="0.2">
      <c r="A10" s="6" t="s">
        <v>21</v>
      </c>
      <c r="B10" s="6" t="s">
        <v>22</v>
      </c>
      <c r="C10" s="6" t="s">
        <v>43</v>
      </c>
      <c r="D10" s="6" t="s">
        <v>23</v>
      </c>
      <c r="E10" s="13">
        <v>1</v>
      </c>
      <c r="F10" s="6" t="s">
        <v>15</v>
      </c>
      <c r="G10" s="109"/>
      <c r="H10" s="109"/>
      <c r="I10" s="11">
        <f t="shared" si="0"/>
        <v>0</v>
      </c>
      <c r="J10" s="8">
        <f t="shared" si="1"/>
        <v>0</v>
      </c>
      <c r="K10" s="6" t="s">
        <v>39</v>
      </c>
      <c r="L10" s="18" t="s">
        <v>95</v>
      </c>
      <c r="M10" s="12"/>
      <c r="N10" s="12"/>
      <c r="O10" s="14"/>
      <c r="P10" s="14"/>
    </row>
    <row r="11" spans="1:16" s="7" customFormat="1" x14ac:dyDescent="0.2">
      <c r="A11" s="6" t="s">
        <v>21</v>
      </c>
      <c r="B11" s="6" t="s">
        <v>22</v>
      </c>
      <c r="C11" s="6" t="s">
        <v>226</v>
      </c>
      <c r="D11" s="6" t="s">
        <v>23</v>
      </c>
      <c r="E11" s="13">
        <v>1</v>
      </c>
      <c r="F11" s="6" t="s">
        <v>15</v>
      </c>
      <c r="G11" s="109"/>
      <c r="H11" s="109"/>
      <c r="I11" s="11">
        <f t="shared" si="0"/>
        <v>0</v>
      </c>
      <c r="J11" s="8">
        <f t="shared" si="1"/>
        <v>0</v>
      </c>
      <c r="K11" s="6" t="s">
        <v>39</v>
      </c>
      <c r="L11" s="18" t="s">
        <v>95</v>
      </c>
      <c r="M11" s="12"/>
      <c r="N11" s="12"/>
      <c r="O11" s="14"/>
      <c r="P11" s="14"/>
    </row>
    <row r="12" spans="1:16" s="7" customFormat="1" x14ac:dyDescent="0.2">
      <c r="A12" s="6" t="s">
        <v>21</v>
      </c>
      <c r="B12" s="6" t="s">
        <v>66</v>
      </c>
      <c r="C12" s="6" t="s">
        <v>195</v>
      </c>
      <c r="D12" s="6" t="s">
        <v>23</v>
      </c>
      <c r="E12" s="13">
        <v>1</v>
      </c>
      <c r="F12" s="6" t="s">
        <v>15</v>
      </c>
      <c r="G12" s="109"/>
      <c r="H12" s="109"/>
      <c r="I12" s="11">
        <f t="shared" si="0"/>
        <v>0</v>
      </c>
      <c r="J12" s="8">
        <f t="shared" si="1"/>
        <v>0</v>
      </c>
      <c r="K12" s="6" t="s">
        <v>40</v>
      </c>
      <c r="L12" s="18" t="s">
        <v>95</v>
      </c>
      <c r="M12" s="12"/>
      <c r="N12" s="12"/>
      <c r="O12" s="14"/>
      <c r="P12" s="14"/>
    </row>
    <row r="13" spans="1:16" s="7" customFormat="1" x14ac:dyDescent="0.2">
      <c r="A13" s="6" t="s">
        <v>1107</v>
      </c>
      <c r="B13" s="20" t="s">
        <v>227</v>
      </c>
      <c r="C13" s="6" t="s">
        <v>228</v>
      </c>
      <c r="D13" s="6" t="s">
        <v>138</v>
      </c>
      <c r="E13" s="13">
        <v>1</v>
      </c>
      <c r="F13" s="6" t="s">
        <v>15</v>
      </c>
      <c r="G13" s="110"/>
      <c r="H13" s="109"/>
      <c r="I13" s="11">
        <f>G13*E13</f>
        <v>0</v>
      </c>
      <c r="J13" s="8">
        <f>H13*E13</f>
        <v>0</v>
      </c>
      <c r="K13" s="6" t="s">
        <v>213</v>
      </c>
      <c r="L13" s="18"/>
      <c r="M13" s="12"/>
      <c r="N13" s="12"/>
      <c r="O13" s="14"/>
      <c r="P13" s="14"/>
    </row>
    <row r="14" spans="1:16" s="7" customFormat="1" x14ac:dyDescent="0.2">
      <c r="A14" s="6" t="s">
        <v>1108</v>
      </c>
      <c r="B14" s="20" t="s">
        <v>227</v>
      </c>
      <c r="C14" s="6" t="s">
        <v>228</v>
      </c>
      <c r="D14" s="6" t="s">
        <v>138</v>
      </c>
      <c r="E14" s="13">
        <v>1</v>
      </c>
      <c r="F14" s="6" t="s">
        <v>15</v>
      </c>
      <c r="G14" s="110"/>
      <c r="H14" s="109"/>
      <c r="I14" s="11">
        <f>G14*E14</f>
        <v>0</v>
      </c>
      <c r="J14" s="8">
        <f>H14*E14</f>
        <v>0</v>
      </c>
      <c r="K14" s="6"/>
      <c r="L14" s="18"/>
      <c r="M14" s="12"/>
      <c r="O14" s="14"/>
      <c r="P14" s="14"/>
    </row>
    <row r="15" spans="1:16" s="7" customFormat="1" x14ac:dyDescent="0.2">
      <c r="A15" s="6" t="s">
        <v>68</v>
      </c>
      <c r="B15" s="6" t="s">
        <v>1090</v>
      </c>
      <c r="C15" s="6" t="s">
        <v>185</v>
      </c>
      <c r="D15" s="6" t="s">
        <v>23</v>
      </c>
      <c r="E15" s="13">
        <v>1</v>
      </c>
      <c r="F15" s="6" t="s">
        <v>15</v>
      </c>
      <c r="G15" s="109"/>
      <c r="H15" s="109"/>
      <c r="I15" s="11">
        <f t="shared" ref="I15" si="2">G15*E15</f>
        <v>0</v>
      </c>
      <c r="J15" s="8">
        <f t="shared" ref="J15" si="3">H15*E15</f>
        <v>0</v>
      </c>
      <c r="K15" s="6" t="s">
        <v>40</v>
      </c>
      <c r="L15" s="18" t="s">
        <v>131</v>
      </c>
      <c r="M15" s="12"/>
      <c r="N15" s="12"/>
      <c r="O15" s="14"/>
      <c r="P15" s="14"/>
    </row>
    <row r="16" spans="1:16" s="7" customFormat="1" x14ac:dyDescent="0.2">
      <c r="A16" s="6"/>
      <c r="B16" s="20"/>
      <c r="C16" s="6"/>
      <c r="D16" s="6"/>
      <c r="E16" s="13"/>
      <c r="F16" s="6"/>
      <c r="G16" s="8"/>
      <c r="H16" s="8"/>
      <c r="I16" s="8"/>
      <c r="J16" s="8"/>
      <c r="L16" s="29"/>
      <c r="N16" s="14"/>
      <c r="O16" s="14"/>
    </row>
    <row r="17" spans="1:15" s="7" customFormat="1" x14ac:dyDescent="0.2">
      <c r="A17" s="6" t="s">
        <v>29</v>
      </c>
      <c r="B17" s="20"/>
      <c r="C17" s="6"/>
      <c r="D17" s="6"/>
      <c r="E17" s="13"/>
      <c r="F17" s="6"/>
      <c r="G17" s="8"/>
      <c r="I17" s="8">
        <f>SUM(I8:I16)</f>
        <v>0</v>
      </c>
      <c r="J17" s="8"/>
      <c r="L17" s="29"/>
      <c r="N17" s="14"/>
      <c r="O17" s="14"/>
    </row>
    <row r="18" spans="1:15" x14ac:dyDescent="0.2">
      <c r="A18" s="6" t="s">
        <v>75</v>
      </c>
      <c r="I18" s="3"/>
      <c r="J18" s="3">
        <f>SUM(J8:J17)</f>
        <v>0</v>
      </c>
    </row>
    <row r="19" spans="1:15" x14ac:dyDescent="0.2">
      <c r="A19" s="6"/>
      <c r="I19" s="3"/>
      <c r="J19" s="3"/>
    </row>
    <row r="20" spans="1:15" x14ac:dyDescent="0.2">
      <c r="A20" s="35" t="s">
        <v>76</v>
      </c>
      <c r="B20" s="36"/>
      <c r="C20" s="36"/>
      <c r="D20" s="36"/>
      <c r="E20" s="36"/>
      <c r="F20" s="36"/>
      <c r="G20" s="36"/>
      <c r="I20" s="37"/>
      <c r="J20" s="5">
        <f>J18+I17</f>
        <v>0</v>
      </c>
    </row>
  </sheetData>
  <pageMargins left="0.62992125984251968" right="0.62992125984251968" top="0.55118110236220474" bottom="0.55118110236220474" header="0.31496062992125984" footer="0.31496062992125984"/>
  <pageSetup paperSize="9" orientation="landscape" horizontalDpi="300" verticalDpi="300" r:id="rId1"/>
  <headerFooter>
    <oddHeader>&amp;L&amp;"Arial,Obyčejné"KRYTÝ BAZÉN ZNOJMO - LOUKA SO 101&amp;R&amp;"Arial,Obyčejné"DPS</oddHeader>
    <oddFooter>Stránka &amp;P z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5"/>
  <dimension ref="A1:P13"/>
  <sheetViews>
    <sheetView workbookViewId="0">
      <selection activeCell="S244" sqref="S244"/>
    </sheetView>
  </sheetViews>
  <sheetFormatPr defaultRowHeight="12.75" x14ac:dyDescent="0.2"/>
  <cols>
    <col min="1" max="1" width="26.83203125" customWidth="1"/>
    <col min="2" max="3" width="13.83203125" customWidth="1"/>
    <col min="4" max="4" width="5.83203125" customWidth="1"/>
    <col min="5" max="5" width="7.83203125" customWidth="1"/>
    <col min="6" max="6" width="3.83203125" customWidth="1"/>
    <col min="7" max="8" width="10.83203125" customWidth="1"/>
    <col min="9" max="9" width="11.83203125" customWidth="1"/>
    <col min="10" max="10" width="11.83203125" style="4" customWidth="1"/>
    <col min="11" max="11" width="11.83203125" customWidth="1"/>
    <col min="12" max="12" width="9.33203125" style="4"/>
  </cols>
  <sheetData>
    <row r="1" spans="1:16" ht="25.5" x14ac:dyDescent="0.35">
      <c r="B1" s="2" t="s">
        <v>230</v>
      </c>
    </row>
    <row r="2" spans="1:16" x14ac:dyDescent="0.2">
      <c r="A2" t="s">
        <v>59</v>
      </c>
      <c r="C2" t="s">
        <v>264</v>
      </c>
      <c r="E2">
        <v>2</v>
      </c>
      <c r="F2" t="s">
        <v>15</v>
      </c>
    </row>
    <row r="4" spans="1:16" x14ac:dyDescent="0.2">
      <c r="A4" t="s">
        <v>60</v>
      </c>
    </row>
    <row r="5" spans="1:16" x14ac:dyDescent="0.2">
      <c r="H5" s="3"/>
    </row>
    <row r="6" spans="1:16" s="7" customFormat="1" x14ac:dyDescent="0.2">
      <c r="A6" s="6" t="s">
        <v>34</v>
      </c>
      <c r="E6" s="20" t="s">
        <v>35</v>
      </c>
      <c r="F6" s="6" t="s">
        <v>13</v>
      </c>
      <c r="G6" s="11" t="s">
        <v>30</v>
      </c>
      <c r="H6" s="11" t="s">
        <v>31</v>
      </c>
      <c r="I6" s="11" t="s">
        <v>32</v>
      </c>
      <c r="J6" s="11" t="s">
        <v>33</v>
      </c>
      <c r="K6" s="6" t="s">
        <v>61</v>
      </c>
      <c r="L6" s="18" t="s">
        <v>269</v>
      </c>
    </row>
    <row r="8" spans="1:16" s="7" customFormat="1" ht="24.95" customHeight="1" x14ac:dyDescent="0.2">
      <c r="A8" s="119" t="s">
        <v>265</v>
      </c>
      <c r="B8" s="120"/>
      <c r="C8" s="120"/>
      <c r="D8" s="120"/>
      <c r="E8" s="13"/>
      <c r="F8" s="6"/>
      <c r="G8" s="11"/>
      <c r="H8" s="11"/>
      <c r="I8" s="11"/>
      <c r="J8" s="8"/>
      <c r="K8" s="6"/>
      <c r="L8" s="18" t="s">
        <v>180</v>
      </c>
      <c r="M8" s="12"/>
      <c r="N8" s="12"/>
      <c r="O8" s="14"/>
      <c r="P8" s="14"/>
    </row>
    <row r="9" spans="1:16" s="7" customFormat="1" x14ac:dyDescent="0.2">
      <c r="A9" s="6"/>
      <c r="B9" s="20"/>
      <c r="C9" s="6"/>
      <c r="D9" s="6"/>
      <c r="E9" s="13"/>
      <c r="F9" s="6"/>
      <c r="G9" s="8"/>
      <c r="H9" s="8"/>
      <c r="I9" s="8"/>
      <c r="J9" s="8"/>
      <c r="L9" s="29"/>
      <c r="N9" s="14"/>
      <c r="O9" s="14"/>
    </row>
    <row r="10" spans="1:16" s="7" customFormat="1" x14ac:dyDescent="0.2">
      <c r="A10" s="6" t="s">
        <v>29</v>
      </c>
      <c r="B10" s="20"/>
      <c r="C10" s="6"/>
      <c r="D10" s="6"/>
      <c r="E10" s="13"/>
      <c r="F10" s="6"/>
      <c r="G10" s="8"/>
      <c r="I10" s="110"/>
      <c r="J10" s="8"/>
      <c r="L10" s="29"/>
      <c r="N10" s="14"/>
      <c r="O10" s="14"/>
    </row>
    <row r="11" spans="1:16" x14ac:dyDescent="0.2">
      <c r="A11" s="6" t="s">
        <v>75</v>
      </c>
      <c r="I11" s="3"/>
      <c r="J11" s="118"/>
    </row>
    <row r="12" spans="1:16" x14ac:dyDescent="0.2">
      <c r="A12" s="6"/>
      <c r="I12" s="3"/>
      <c r="J12" s="3"/>
    </row>
    <row r="13" spans="1:16" x14ac:dyDescent="0.2">
      <c r="A13" s="35" t="s">
        <v>76</v>
      </c>
      <c r="B13" s="36"/>
      <c r="C13" s="36"/>
      <c r="D13" s="36"/>
      <c r="E13" s="36"/>
      <c r="F13" s="36"/>
      <c r="G13" s="36"/>
      <c r="I13" s="37"/>
      <c r="J13" s="5">
        <f>J11+I10</f>
        <v>0</v>
      </c>
    </row>
  </sheetData>
  <mergeCells count="1">
    <mergeCell ref="A8:D8"/>
  </mergeCells>
  <pageMargins left="0.62992125984251968" right="0.62992125984251968" top="0.55118110236220474" bottom="0.55118110236220474" header="0.31496062992125984" footer="0.31496062992125984"/>
  <pageSetup paperSize="9" orientation="landscape" horizontalDpi="300" verticalDpi="300" r:id="rId1"/>
  <headerFooter>
    <oddHeader>&amp;L&amp;"Arial,Obyčejné"KRYTÝ BAZÉN ZNOJMO - LOUKA SO 101&amp;R&amp;"Arial,Obyčejné"DPS</oddHeader>
    <oddFooter>Stránka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workbookViewId="0">
      <selection activeCell="S244" sqref="S244"/>
    </sheetView>
  </sheetViews>
  <sheetFormatPr defaultRowHeight="12.75" x14ac:dyDescent="0.2"/>
  <cols>
    <col min="1" max="1" width="26.83203125" customWidth="1"/>
    <col min="2" max="3" width="13.83203125" customWidth="1"/>
    <col min="4" max="4" width="5.83203125" customWidth="1"/>
    <col min="5" max="5" width="7.83203125" customWidth="1"/>
    <col min="6" max="6" width="3.83203125" customWidth="1"/>
    <col min="7" max="8" width="10.83203125" customWidth="1"/>
    <col min="9" max="9" width="11.83203125" customWidth="1"/>
    <col min="10" max="10" width="11.83203125" style="4" customWidth="1"/>
    <col min="11" max="11" width="11.83203125" customWidth="1"/>
    <col min="12" max="12" width="9.33203125" style="4"/>
  </cols>
  <sheetData>
    <row r="1" spans="1:15" ht="25.5" x14ac:dyDescent="0.35">
      <c r="B1" s="2" t="s">
        <v>231</v>
      </c>
    </row>
    <row r="2" spans="1:15" x14ac:dyDescent="0.2">
      <c r="A2" t="s">
        <v>59</v>
      </c>
      <c r="C2" t="s">
        <v>360</v>
      </c>
      <c r="E2">
        <v>1</v>
      </c>
      <c r="F2" t="s">
        <v>15</v>
      </c>
    </row>
    <row r="4" spans="1:15" x14ac:dyDescent="0.2">
      <c r="A4" t="s">
        <v>60</v>
      </c>
      <c r="C4" t="s">
        <v>229</v>
      </c>
    </row>
    <row r="5" spans="1:15" x14ac:dyDescent="0.2">
      <c r="H5" s="3"/>
    </row>
    <row r="6" spans="1:15" s="7" customFormat="1" x14ac:dyDescent="0.2">
      <c r="A6" s="6" t="s">
        <v>34</v>
      </c>
      <c r="E6" s="20" t="s">
        <v>35</v>
      </c>
      <c r="F6" s="6" t="s">
        <v>13</v>
      </c>
      <c r="G6" s="11" t="s">
        <v>30</v>
      </c>
      <c r="H6" s="11" t="s">
        <v>31</v>
      </c>
      <c r="I6" s="11" t="s">
        <v>32</v>
      </c>
      <c r="J6" s="11" t="s">
        <v>33</v>
      </c>
      <c r="K6" s="6" t="s">
        <v>61</v>
      </c>
      <c r="L6" s="18"/>
    </row>
    <row r="8" spans="1:15" s="7" customFormat="1" ht="24.95" customHeight="1" x14ac:dyDescent="0.2">
      <c r="A8" s="119" t="s">
        <v>359</v>
      </c>
      <c r="B8" s="121"/>
      <c r="C8" s="121"/>
      <c r="D8" s="121"/>
      <c r="E8" s="121"/>
      <c r="F8" s="6"/>
      <c r="G8" s="11"/>
      <c r="H8" s="11"/>
      <c r="I8" s="11"/>
      <c r="J8" s="8"/>
      <c r="K8" s="6"/>
      <c r="L8" s="12"/>
      <c r="M8" s="12"/>
      <c r="N8" s="14"/>
      <c r="O8" s="14"/>
    </row>
    <row r="9" spans="1:15" s="7" customFormat="1" x14ac:dyDescent="0.2">
      <c r="A9" s="6"/>
      <c r="B9" s="6"/>
      <c r="C9" s="6"/>
      <c r="D9" s="6"/>
      <c r="E9" s="13"/>
      <c r="F9" s="6"/>
      <c r="G9" s="11"/>
      <c r="H9" s="11"/>
      <c r="I9" s="11"/>
      <c r="J9" s="8"/>
      <c r="K9" s="6"/>
      <c r="L9" s="12"/>
      <c r="M9" s="12"/>
      <c r="N9" s="14"/>
      <c r="O9" s="14"/>
    </row>
    <row r="10" spans="1:15" s="7" customFormat="1" x14ac:dyDescent="0.2">
      <c r="A10" s="6" t="s">
        <v>29</v>
      </c>
      <c r="B10" s="20"/>
      <c r="C10" s="6"/>
      <c r="D10" s="6"/>
      <c r="E10" s="13"/>
      <c r="F10" s="6"/>
      <c r="G10" s="8"/>
      <c r="I10" s="110"/>
      <c r="J10" s="8"/>
      <c r="L10" s="29"/>
      <c r="N10" s="14"/>
      <c r="O10" s="14"/>
    </row>
    <row r="11" spans="1:15" x14ac:dyDescent="0.2">
      <c r="A11" s="6" t="s">
        <v>75</v>
      </c>
      <c r="I11" s="3"/>
      <c r="J11" s="110"/>
    </row>
    <row r="12" spans="1:15" x14ac:dyDescent="0.2">
      <c r="A12" s="6"/>
      <c r="I12" s="3"/>
      <c r="J12" s="3"/>
    </row>
    <row r="13" spans="1:15" x14ac:dyDescent="0.2">
      <c r="A13" s="35" t="s">
        <v>76</v>
      </c>
      <c r="B13" s="36"/>
      <c r="C13" s="36"/>
      <c r="D13" s="36"/>
      <c r="E13" s="36"/>
      <c r="F13" s="36"/>
      <c r="G13" s="36"/>
      <c r="I13" s="37"/>
      <c r="J13" s="5">
        <f>J11+I10</f>
        <v>0</v>
      </c>
    </row>
  </sheetData>
  <mergeCells count="1">
    <mergeCell ref="A8:E8"/>
  </mergeCells>
  <pageMargins left="0.62992125984251968" right="0.62992125984251968" top="0.55118110236220474" bottom="0.55118110236220474" header="0.31496062992125984" footer="0.31496062992125984"/>
  <pageSetup paperSize="9" orientation="landscape" horizontalDpi="300" verticalDpi="300" r:id="rId1"/>
  <headerFooter>
    <oddHeader>&amp;L&amp;"Arial,Obyčejné"KRYTÝ BAZÉN ZNOJMO - LOUKA SO 101&amp;R&amp;"Arial,Obyčejné"DPS</oddHeader>
    <oddFooter>Stránka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O13"/>
  <sheetViews>
    <sheetView topLeftCell="A6" workbookViewId="0">
      <selection activeCell="S244" sqref="S244"/>
    </sheetView>
  </sheetViews>
  <sheetFormatPr defaultRowHeight="12.75" x14ac:dyDescent="0.2"/>
  <cols>
    <col min="1" max="1" width="26.83203125" customWidth="1"/>
    <col min="2" max="3" width="13.83203125" customWidth="1"/>
    <col min="4" max="4" width="5.83203125" customWidth="1"/>
    <col min="5" max="5" width="7.83203125" customWidth="1"/>
    <col min="6" max="6" width="3.83203125" customWidth="1"/>
    <col min="7" max="8" width="10.83203125" customWidth="1"/>
    <col min="9" max="9" width="11.83203125" customWidth="1"/>
    <col min="10" max="10" width="11.83203125" style="4" customWidth="1"/>
    <col min="11" max="11" width="11.83203125" customWidth="1"/>
    <col min="12" max="12" width="9.33203125" style="4"/>
  </cols>
  <sheetData>
    <row r="1" spans="1:15" ht="25.5" x14ac:dyDescent="0.35">
      <c r="B1" s="2" t="s">
        <v>266</v>
      </c>
    </row>
    <row r="2" spans="1:15" x14ac:dyDescent="0.2">
      <c r="A2" t="s">
        <v>59</v>
      </c>
      <c r="C2" t="s">
        <v>85</v>
      </c>
      <c r="E2">
        <v>1</v>
      </c>
      <c r="F2" t="s">
        <v>15</v>
      </c>
    </row>
    <row r="4" spans="1:15" x14ac:dyDescent="0.2">
      <c r="A4" t="s">
        <v>60</v>
      </c>
      <c r="C4" t="s">
        <v>229</v>
      </c>
    </row>
    <row r="5" spans="1:15" x14ac:dyDescent="0.2">
      <c r="H5" s="3"/>
    </row>
    <row r="6" spans="1:15" s="7" customFormat="1" x14ac:dyDescent="0.2">
      <c r="A6" s="6" t="s">
        <v>34</v>
      </c>
      <c r="E6" s="20" t="s">
        <v>35</v>
      </c>
      <c r="F6" s="6" t="s">
        <v>13</v>
      </c>
      <c r="G6" s="11" t="s">
        <v>30</v>
      </c>
      <c r="H6" s="11" t="s">
        <v>31</v>
      </c>
      <c r="I6" s="11" t="s">
        <v>32</v>
      </c>
      <c r="J6" s="11" t="s">
        <v>33</v>
      </c>
      <c r="K6" s="6" t="s">
        <v>61</v>
      </c>
      <c r="L6" s="18"/>
    </row>
    <row r="8" spans="1:15" s="7" customFormat="1" ht="129.94999999999999" customHeight="1" x14ac:dyDescent="0.2">
      <c r="A8" s="119" t="s">
        <v>234</v>
      </c>
      <c r="B8" s="121"/>
      <c r="C8" s="121"/>
      <c r="D8" s="121"/>
      <c r="E8" s="121"/>
      <c r="F8" s="6"/>
      <c r="G8" s="11"/>
      <c r="H8" s="11"/>
      <c r="I8" s="11"/>
      <c r="J8" s="8"/>
      <c r="K8" s="6"/>
      <c r="L8" s="12"/>
      <c r="M8" s="12"/>
      <c r="N8" s="14"/>
      <c r="O8" s="14"/>
    </row>
    <row r="9" spans="1:15" s="7" customFormat="1" x14ac:dyDescent="0.2">
      <c r="A9" s="6"/>
      <c r="B9" s="6"/>
      <c r="C9" s="6"/>
      <c r="D9" s="6"/>
      <c r="E9" s="13"/>
      <c r="F9" s="6"/>
      <c r="G9" s="11"/>
      <c r="H9" s="11"/>
      <c r="I9" s="11"/>
      <c r="J9" s="8"/>
      <c r="K9" s="6"/>
      <c r="L9" s="12"/>
      <c r="M9" s="12"/>
      <c r="N9" s="14"/>
      <c r="O9" s="14"/>
    </row>
    <row r="10" spans="1:15" s="7" customFormat="1" x14ac:dyDescent="0.2">
      <c r="A10" s="6" t="s">
        <v>29</v>
      </c>
      <c r="B10" s="20"/>
      <c r="C10" s="6"/>
      <c r="D10" s="6"/>
      <c r="E10" s="13"/>
      <c r="F10" s="6"/>
      <c r="G10" s="8"/>
      <c r="I10" s="110"/>
      <c r="J10" s="8"/>
      <c r="L10" s="29"/>
      <c r="N10" s="14"/>
      <c r="O10" s="14"/>
    </row>
    <row r="11" spans="1:15" x14ac:dyDescent="0.2">
      <c r="A11" s="6" t="s">
        <v>75</v>
      </c>
      <c r="I11" s="3"/>
      <c r="J11" s="110"/>
    </row>
    <row r="12" spans="1:15" x14ac:dyDescent="0.2">
      <c r="A12" s="6"/>
      <c r="I12" s="3"/>
      <c r="J12" s="3"/>
    </row>
    <row r="13" spans="1:15" x14ac:dyDescent="0.2">
      <c r="A13" s="35" t="s">
        <v>76</v>
      </c>
      <c r="B13" s="36"/>
      <c r="C13" s="36"/>
      <c r="D13" s="36"/>
      <c r="E13" s="36"/>
      <c r="F13" s="36"/>
      <c r="G13" s="36"/>
      <c r="I13" s="37"/>
      <c r="J13" s="5">
        <f>J11+I10</f>
        <v>0</v>
      </c>
    </row>
  </sheetData>
  <mergeCells count="1">
    <mergeCell ref="A8:E8"/>
  </mergeCells>
  <pageMargins left="0.62992125984251968" right="0.62992125984251968" top="0.55118110236220474" bottom="0.55118110236220474" header="0.31496062992125984" footer="0.31496062992125984"/>
  <pageSetup paperSize="9" orientation="landscape" horizontalDpi="300" verticalDpi="300" r:id="rId1"/>
  <headerFooter>
    <oddHeader>&amp;L&amp;"Arial,Obyčejné"KRYTÝ BAZÉN ZNOJMO - LOUKA SO 101&amp;R&amp;"Arial,Obyčejné"DPS</oddHeader>
    <oddFooter>Stránka &amp;P z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3"/>
  <dimension ref="A1:O13"/>
  <sheetViews>
    <sheetView workbookViewId="0">
      <selection activeCell="S244" sqref="S244"/>
    </sheetView>
  </sheetViews>
  <sheetFormatPr defaultRowHeight="12.75" x14ac:dyDescent="0.2"/>
  <cols>
    <col min="1" max="1" width="26.83203125" customWidth="1"/>
    <col min="2" max="3" width="13.83203125" customWidth="1"/>
    <col min="4" max="4" width="5.83203125" customWidth="1"/>
    <col min="5" max="5" width="7.83203125" customWidth="1"/>
    <col min="6" max="6" width="3.83203125" customWidth="1"/>
    <col min="7" max="8" width="10.83203125" customWidth="1"/>
    <col min="9" max="9" width="11.83203125" customWidth="1"/>
    <col min="10" max="10" width="11.83203125" style="4" customWidth="1"/>
    <col min="11" max="11" width="11.83203125" customWidth="1"/>
    <col min="12" max="12" width="9.33203125" style="4"/>
  </cols>
  <sheetData>
    <row r="1" spans="1:15" ht="25.5" x14ac:dyDescent="0.35">
      <c r="B1" s="2" t="s">
        <v>358</v>
      </c>
    </row>
    <row r="2" spans="1:15" x14ac:dyDescent="0.2">
      <c r="A2" t="s">
        <v>59</v>
      </c>
      <c r="C2" t="s">
        <v>232</v>
      </c>
      <c r="E2">
        <v>1</v>
      </c>
      <c r="F2" t="s">
        <v>15</v>
      </c>
    </row>
    <row r="4" spans="1:15" x14ac:dyDescent="0.2">
      <c r="A4" t="s">
        <v>60</v>
      </c>
      <c r="C4" t="s">
        <v>229</v>
      </c>
    </row>
    <row r="5" spans="1:15" x14ac:dyDescent="0.2">
      <c r="H5" s="3"/>
    </row>
    <row r="6" spans="1:15" s="7" customFormat="1" x14ac:dyDescent="0.2">
      <c r="A6" s="6" t="s">
        <v>34</v>
      </c>
      <c r="E6" s="20" t="s">
        <v>35</v>
      </c>
      <c r="F6" s="6" t="s">
        <v>13</v>
      </c>
      <c r="G6" s="11" t="s">
        <v>30</v>
      </c>
      <c r="H6" s="11" t="s">
        <v>31</v>
      </c>
      <c r="I6" s="11" t="s">
        <v>32</v>
      </c>
      <c r="J6" s="11" t="s">
        <v>33</v>
      </c>
      <c r="K6" s="6" t="s">
        <v>61</v>
      </c>
      <c r="L6" s="18"/>
    </row>
    <row r="8" spans="1:15" s="7" customFormat="1" ht="69.95" customHeight="1" x14ac:dyDescent="0.2">
      <c r="A8" s="119" t="s">
        <v>233</v>
      </c>
      <c r="B8" s="121"/>
      <c r="C8" s="121"/>
      <c r="D8" s="121"/>
      <c r="E8" s="121"/>
      <c r="F8" s="6"/>
      <c r="G8" s="11"/>
      <c r="H8" s="11"/>
      <c r="I8" s="11"/>
      <c r="J8" s="8"/>
      <c r="K8" s="6"/>
      <c r="L8" s="12"/>
      <c r="M8" s="12"/>
      <c r="N8" s="14"/>
      <c r="O8" s="14"/>
    </row>
    <row r="9" spans="1:15" s="7" customFormat="1" x14ac:dyDescent="0.2">
      <c r="A9" s="6"/>
      <c r="B9" s="6"/>
      <c r="C9" s="6"/>
      <c r="D9" s="6"/>
      <c r="E9" s="13"/>
      <c r="F9" s="6"/>
      <c r="G9" s="11"/>
      <c r="H9" s="11"/>
      <c r="I9" s="11"/>
      <c r="J9" s="8"/>
      <c r="K9" s="6"/>
      <c r="L9" s="12"/>
      <c r="M9" s="12"/>
      <c r="N9" s="14"/>
      <c r="O9" s="14"/>
    </row>
    <row r="10" spans="1:15" s="7" customFormat="1" x14ac:dyDescent="0.2">
      <c r="A10" s="6" t="s">
        <v>29</v>
      </c>
      <c r="B10" s="20"/>
      <c r="C10" s="6"/>
      <c r="D10" s="6"/>
      <c r="E10" s="13"/>
      <c r="F10" s="6"/>
      <c r="G10" s="8"/>
      <c r="I10" s="110"/>
      <c r="J10" s="8"/>
      <c r="L10" s="29"/>
      <c r="N10" s="14"/>
      <c r="O10" s="14"/>
    </row>
    <row r="11" spans="1:15" x14ac:dyDescent="0.2">
      <c r="A11" s="6" t="s">
        <v>75</v>
      </c>
      <c r="I11" s="3"/>
      <c r="J11" s="118"/>
    </row>
    <row r="12" spans="1:15" x14ac:dyDescent="0.2">
      <c r="A12" s="6"/>
      <c r="I12" s="3"/>
      <c r="J12" s="3"/>
    </row>
    <row r="13" spans="1:15" x14ac:dyDescent="0.2">
      <c r="A13" s="35" t="s">
        <v>76</v>
      </c>
      <c r="B13" s="36"/>
      <c r="C13" s="36"/>
      <c r="D13" s="36"/>
      <c r="E13" s="36"/>
      <c r="F13" s="36"/>
      <c r="G13" s="36"/>
      <c r="I13" s="37"/>
      <c r="J13" s="5">
        <f>J11+I10</f>
        <v>0</v>
      </c>
    </row>
  </sheetData>
  <mergeCells count="1">
    <mergeCell ref="A8:E8"/>
  </mergeCells>
  <pageMargins left="0.62992125984251968" right="0.62992125984251968" top="0.55118110236220474" bottom="0.55118110236220474" header="0.31496062992125984" footer="0.31496062992125984"/>
  <pageSetup paperSize="9" orientation="landscape" horizontalDpi="300" verticalDpi="300" r:id="rId1"/>
  <headerFooter>
    <oddHeader>&amp;L&amp;"Arial,Obyčejné"KRYTÝ BAZÉN ZNOJMO - LOUKA SO 101&amp;R&amp;"Arial,Obyčejné"DPS</oddHeader>
    <oddFooter>Stránka &amp;P z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1"/>
  <sheetViews>
    <sheetView topLeftCell="A147" workbookViewId="0">
      <selection activeCell="S244" sqref="S244"/>
    </sheetView>
  </sheetViews>
  <sheetFormatPr defaultRowHeight="12.75" x14ac:dyDescent="0.2"/>
  <cols>
    <col min="1" max="1" width="7.83203125" customWidth="1"/>
    <col min="2" max="2" width="7.33203125" customWidth="1"/>
    <col min="3" max="3" width="19.33203125" customWidth="1"/>
    <col min="4" max="4" width="25.33203125" customWidth="1"/>
    <col min="5" max="5" width="16.6640625" customWidth="1"/>
    <col min="6" max="6" width="12" customWidth="1"/>
    <col min="7" max="7" width="7.1640625" customWidth="1"/>
    <col min="8" max="8" width="11.83203125" customWidth="1"/>
    <col min="9" max="9" width="11.83203125" style="4" customWidth="1"/>
    <col min="10" max="10" width="11.83203125" customWidth="1"/>
    <col min="11" max="11" width="9.33203125" style="4"/>
  </cols>
  <sheetData>
    <row r="1" spans="1:7" ht="25.5" x14ac:dyDescent="0.35">
      <c r="B1" s="2" t="s">
        <v>514</v>
      </c>
    </row>
    <row r="2" spans="1:7" x14ac:dyDescent="0.2">
      <c r="A2" s="10"/>
      <c r="B2" s="10"/>
      <c r="C2" s="10"/>
      <c r="D2" s="63" t="s">
        <v>515</v>
      </c>
      <c r="E2" s="10"/>
      <c r="F2" s="10"/>
      <c r="G2" s="62"/>
    </row>
    <row r="3" spans="1:7" x14ac:dyDescent="0.2">
      <c r="A3" s="9" t="s">
        <v>516</v>
      </c>
      <c r="B3" s="9" t="s">
        <v>517</v>
      </c>
      <c r="C3" s="9" t="s">
        <v>518</v>
      </c>
      <c r="D3" s="9" t="s">
        <v>519</v>
      </c>
      <c r="E3" s="9" t="s">
        <v>520</v>
      </c>
      <c r="F3" s="9" t="s">
        <v>521</v>
      </c>
      <c r="G3" s="62">
        <v>0</v>
      </c>
    </row>
    <row r="4" spans="1:7" x14ac:dyDescent="0.2">
      <c r="A4" s="9" t="s">
        <v>522</v>
      </c>
      <c r="B4" s="9" t="s">
        <v>517</v>
      </c>
      <c r="C4" s="10"/>
      <c r="D4" s="9" t="s">
        <v>523</v>
      </c>
      <c r="E4" s="9" t="s">
        <v>524</v>
      </c>
      <c r="F4" s="9" t="s">
        <v>25</v>
      </c>
      <c r="G4" s="62">
        <v>41</v>
      </c>
    </row>
    <row r="5" spans="1:7" x14ac:dyDescent="0.2">
      <c r="A5" s="9" t="s">
        <v>516</v>
      </c>
      <c r="B5" s="9" t="s">
        <v>525</v>
      </c>
      <c r="C5" s="9" t="s">
        <v>526</v>
      </c>
      <c r="D5" s="9" t="s">
        <v>527</v>
      </c>
      <c r="E5" s="9" t="s">
        <v>524</v>
      </c>
      <c r="F5" s="9" t="s">
        <v>25</v>
      </c>
      <c r="G5" s="62">
        <f>83+7*3+47+5*3</f>
        <v>166</v>
      </c>
    </row>
    <row r="6" spans="1:7" x14ac:dyDescent="0.2">
      <c r="A6" s="9" t="s">
        <v>516</v>
      </c>
      <c r="B6" s="9" t="s">
        <v>528</v>
      </c>
      <c r="C6" s="9" t="s">
        <v>360</v>
      </c>
      <c r="D6" s="9" t="s">
        <v>529</v>
      </c>
      <c r="E6" s="9" t="s">
        <v>524</v>
      </c>
      <c r="F6" s="9" t="s">
        <v>492</v>
      </c>
      <c r="G6" s="62">
        <v>25</v>
      </c>
    </row>
    <row r="7" spans="1:7" x14ac:dyDescent="0.2">
      <c r="A7" s="9" t="s">
        <v>522</v>
      </c>
      <c r="B7" s="9" t="s">
        <v>530</v>
      </c>
      <c r="C7" s="10"/>
      <c r="D7" s="9" t="s">
        <v>531</v>
      </c>
      <c r="E7" s="9" t="s">
        <v>524</v>
      </c>
      <c r="F7" s="9" t="s">
        <v>25</v>
      </c>
      <c r="G7" s="62">
        <v>41</v>
      </c>
    </row>
    <row r="8" spans="1:7" x14ac:dyDescent="0.2">
      <c r="A8" s="9" t="s">
        <v>516</v>
      </c>
      <c r="B8" s="9" t="s">
        <v>532</v>
      </c>
      <c r="C8" s="10"/>
      <c r="D8" s="9" t="s">
        <v>533</v>
      </c>
      <c r="E8" s="9" t="s">
        <v>534</v>
      </c>
      <c r="F8" s="10"/>
      <c r="G8" s="62">
        <v>10</v>
      </c>
    </row>
    <row r="9" spans="1:7" x14ac:dyDescent="0.2">
      <c r="A9" s="9" t="s">
        <v>522</v>
      </c>
      <c r="B9" s="9" t="s">
        <v>532</v>
      </c>
      <c r="C9" s="9" t="s">
        <v>535</v>
      </c>
      <c r="D9" s="9" t="s">
        <v>536</v>
      </c>
      <c r="E9" s="9" t="s">
        <v>537</v>
      </c>
      <c r="F9" s="9" t="s">
        <v>488</v>
      </c>
      <c r="G9" s="62">
        <v>40</v>
      </c>
    </row>
    <row r="10" spans="1:7" x14ac:dyDescent="0.2">
      <c r="A10" s="9" t="s">
        <v>522</v>
      </c>
      <c r="B10" s="9" t="s">
        <v>538</v>
      </c>
      <c r="C10" s="9" t="s">
        <v>535</v>
      </c>
      <c r="D10" s="9" t="s">
        <v>536</v>
      </c>
      <c r="E10" s="9" t="s">
        <v>539</v>
      </c>
      <c r="F10" s="9" t="s">
        <v>495</v>
      </c>
      <c r="G10" s="62">
        <v>40</v>
      </c>
    </row>
    <row r="11" spans="1:7" x14ac:dyDescent="0.2">
      <c r="A11" s="9" t="s">
        <v>522</v>
      </c>
      <c r="B11" s="9" t="s">
        <v>540</v>
      </c>
      <c r="C11" s="10" t="s">
        <v>360</v>
      </c>
      <c r="D11" s="9" t="s">
        <v>529</v>
      </c>
      <c r="E11" s="9" t="s">
        <v>541</v>
      </c>
      <c r="F11" s="10"/>
      <c r="G11" s="62">
        <v>25</v>
      </c>
    </row>
    <row r="12" spans="1:7" x14ac:dyDescent="0.2">
      <c r="A12" s="9" t="s">
        <v>522</v>
      </c>
      <c r="B12" s="9" t="s">
        <v>542</v>
      </c>
      <c r="C12" s="10" t="s">
        <v>238</v>
      </c>
      <c r="D12" s="9" t="s">
        <v>442</v>
      </c>
      <c r="E12" s="9" t="s">
        <v>541</v>
      </c>
      <c r="F12" s="10"/>
      <c r="G12" s="62">
        <v>47</v>
      </c>
    </row>
    <row r="13" spans="1:7" x14ac:dyDescent="0.2">
      <c r="A13" s="9" t="s">
        <v>516</v>
      </c>
      <c r="B13" s="9" t="s">
        <v>401</v>
      </c>
      <c r="C13" s="9" t="s">
        <v>239</v>
      </c>
      <c r="D13" s="9" t="s">
        <v>543</v>
      </c>
      <c r="E13" s="9" t="s">
        <v>544</v>
      </c>
      <c r="F13" s="9" t="s">
        <v>490</v>
      </c>
      <c r="G13" s="62">
        <v>40</v>
      </c>
    </row>
    <row r="14" spans="1:7" x14ac:dyDescent="0.2">
      <c r="A14" s="9" t="s">
        <v>516</v>
      </c>
      <c r="B14" s="9" t="s">
        <v>545</v>
      </c>
      <c r="C14" s="9" t="s">
        <v>243</v>
      </c>
      <c r="D14" s="9" t="s">
        <v>546</v>
      </c>
      <c r="E14" s="9" t="s">
        <v>544</v>
      </c>
      <c r="F14" s="9" t="s">
        <v>490</v>
      </c>
      <c r="G14" s="62">
        <v>74</v>
      </c>
    </row>
    <row r="15" spans="1:7" x14ac:dyDescent="0.2">
      <c r="A15" s="9" t="s">
        <v>516</v>
      </c>
      <c r="B15" s="9" t="s">
        <v>547</v>
      </c>
      <c r="C15" s="9" t="s">
        <v>244</v>
      </c>
      <c r="D15" s="9" t="s">
        <v>546</v>
      </c>
      <c r="E15" s="9" t="s">
        <v>544</v>
      </c>
      <c r="F15" s="9" t="s">
        <v>490</v>
      </c>
      <c r="G15" s="62">
        <v>36</v>
      </c>
    </row>
    <row r="16" spans="1:7" x14ac:dyDescent="0.2">
      <c r="A16" s="9" t="s">
        <v>516</v>
      </c>
      <c r="B16" s="9" t="s">
        <v>173</v>
      </c>
      <c r="C16" s="9" t="s">
        <v>548</v>
      </c>
      <c r="D16" s="9" t="s">
        <v>549</v>
      </c>
      <c r="E16" s="9" t="s">
        <v>550</v>
      </c>
      <c r="F16" s="9" t="s">
        <v>490</v>
      </c>
      <c r="G16" s="62">
        <v>36</v>
      </c>
    </row>
    <row r="17" spans="1:7" x14ac:dyDescent="0.2">
      <c r="A17" s="9" t="s">
        <v>516</v>
      </c>
      <c r="B17" s="9" t="s">
        <v>405</v>
      </c>
      <c r="C17" s="9" t="s">
        <v>551</v>
      </c>
      <c r="D17" s="9" t="s">
        <v>552</v>
      </c>
      <c r="E17" s="9" t="s">
        <v>550</v>
      </c>
      <c r="F17" s="9" t="s">
        <v>490</v>
      </c>
      <c r="G17" s="62">
        <v>63</v>
      </c>
    </row>
    <row r="18" spans="1:7" x14ac:dyDescent="0.2">
      <c r="A18" s="9" t="s">
        <v>516</v>
      </c>
      <c r="B18" s="9" t="s">
        <v>52</v>
      </c>
      <c r="C18" s="9" t="s">
        <v>553</v>
      </c>
      <c r="D18" s="9" t="s">
        <v>554</v>
      </c>
      <c r="E18" s="9" t="s">
        <v>550</v>
      </c>
      <c r="F18" s="9" t="s">
        <v>490</v>
      </c>
      <c r="G18" s="62">
        <v>40</v>
      </c>
    </row>
    <row r="19" spans="1:7" x14ac:dyDescent="0.2">
      <c r="A19" s="9" t="s">
        <v>516</v>
      </c>
      <c r="B19" s="9" t="s">
        <v>555</v>
      </c>
      <c r="C19" s="9" t="s">
        <v>556</v>
      </c>
      <c r="D19" s="9" t="s">
        <v>557</v>
      </c>
      <c r="E19" s="9" t="s">
        <v>550</v>
      </c>
      <c r="F19" s="9" t="s">
        <v>58</v>
      </c>
      <c r="G19" s="62">
        <v>44</v>
      </c>
    </row>
    <row r="20" spans="1:7" x14ac:dyDescent="0.2">
      <c r="A20" s="9" t="s">
        <v>516</v>
      </c>
      <c r="B20" s="9" t="s">
        <v>558</v>
      </c>
      <c r="C20" s="9" t="s">
        <v>240</v>
      </c>
      <c r="D20" s="9" t="s">
        <v>559</v>
      </c>
      <c r="E20" s="9" t="s">
        <v>544</v>
      </c>
      <c r="F20" s="9" t="s">
        <v>58</v>
      </c>
      <c r="G20" s="62">
        <v>30</v>
      </c>
    </row>
    <row r="21" spans="1:7" x14ac:dyDescent="0.2">
      <c r="A21" s="9" t="s">
        <v>516</v>
      </c>
      <c r="B21" s="9" t="s">
        <v>560</v>
      </c>
      <c r="C21" s="9" t="s">
        <v>242</v>
      </c>
      <c r="D21" s="9" t="s">
        <v>561</v>
      </c>
      <c r="E21" s="9" t="s">
        <v>544</v>
      </c>
      <c r="F21" s="9" t="s">
        <v>58</v>
      </c>
      <c r="G21" s="62">
        <v>44</v>
      </c>
    </row>
    <row r="22" spans="1:7" x14ac:dyDescent="0.2">
      <c r="A22" s="9" t="s">
        <v>516</v>
      </c>
      <c r="B22" s="9" t="s">
        <v>560</v>
      </c>
      <c r="C22" s="9" t="s">
        <v>562</v>
      </c>
      <c r="D22" s="9" t="s">
        <v>563</v>
      </c>
      <c r="E22" s="9" t="s">
        <v>544</v>
      </c>
      <c r="F22" s="9" t="s">
        <v>491</v>
      </c>
      <c r="G22" s="62">
        <v>45</v>
      </c>
    </row>
    <row r="23" spans="1:7" x14ac:dyDescent="0.2">
      <c r="A23" s="9" t="s">
        <v>522</v>
      </c>
      <c r="B23" s="9" t="s">
        <v>564</v>
      </c>
      <c r="C23" s="10" t="s">
        <v>565</v>
      </c>
      <c r="D23" s="9" t="s">
        <v>566</v>
      </c>
      <c r="E23" s="9" t="s">
        <v>524</v>
      </c>
      <c r="F23" s="9" t="s">
        <v>25</v>
      </c>
      <c r="G23" s="62">
        <v>32</v>
      </c>
    </row>
    <row r="24" spans="1:7" x14ac:dyDescent="0.2">
      <c r="A24" s="9" t="s">
        <v>516</v>
      </c>
      <c r="B24" s="9" t="s">
        <v>567</v>
      </c>
      <c r="C24" s="9" t="s">
        <v>568</v>
      </c>
      <c r="D24" s="9" t="s">
        <v>536</v>
      </c>
      <c r="E24" s="9" t="s">
        <v>550</v>
      </c>
      <c r="F24" s="9" t="s">
        <v>490</v>
      </c>
      <c r="G24" s="62">
        <v>33</v>
      </c>
    </row>
    <row r="25" spans="1:7" x14ac:dyDescent="0.2">
      <c r="A25" s="9" t="s">
        <v>516</v>
      </c>
      <c r="B25" s="9" t="s">
        <v>569</v>
      </c>
      <c r="C25" s="9" t="s">
        <v>570</v>
      </c>
      <c r="D25" s="9" t="s">
        <v>536</v>
      </c>
      <c r="E25" s="9" t="s">
        <v>550</v>
      </c>
      <c r="F25" s="9" t="s">
        <v>490</v>
      </c>
      <c r="G25" s="62">
        <v>31</v>
      </c>
    </row>
    <row r="26" spans="1:7" x14ac:dyDescent="0.2">
      <c r="A26" s="9" t="s">
        <v>516</v>
      </c>
      <c r="B26" s="9" t="s">
        <v>73</v>
      </c>
      <c r="C26" s="9" t="s">
        <v>571</v>
      </c>
      <c r="D26" s="9" t="s">
        <v>536</v>
      </c>
      <c r="E26" s="9" t="s">
        <v>550</v>
      </c>
      <c r="F26" s="9" t="s">
        <v>57</v>
      </c>
      <c r="G26" s="62">
        <v>44</v>
      </c>
    </row>
    <row r="27" spans="1:7" x14ac:dyDescent="0.2">
      <c r="A27" s="9" t="s">
        <v>516</v>
      </c>
      <c r="B27" s="9" t="s">
        <v>572</v>
      </c>
      <c r="C27" s="9" t="s">
        <v>573</v>
      </c>
      <c r="D27" s="9" t="s">
        <v>574</v>
      </c>
      <c r="E27" s="9" t="s">
        <v>550</v>
      </c>
      <c r="F27" s="9" t="s">
        <v>56</v>
      </c>
      <c r="G27" s="62">
        <v>28</v>
      </c>
    </row>
    <row r="28" spans="1:7" x14ac:dyDescent="0.2">
      <c r="A28" s="9" t="s">
        <v>516</v>
      </c>
      <c r="B28" s="9" t="s">
        <v>575</v>
      </c>
      <c r="C28" s="9" t="s">
        <v>576</v>
      </c>
      <c r="D28" s="9" t="s">
        <v>577</v>
      </c>
      <c r="E28" s="9" t="s">
        <v>550</v>
      </c>
      <c r="F28" s="9" t="s">
        <v>25</v>
      </c>
      <c r="G28" s="62">
        <f>41+50+11*3+4*4</f>
        <v>140</v>
      </c>
    </row>
    <row r="29" spans="1:7" x14ac:dyDescent="0.2">
      <c r="A29" s="9" t="s">
        <v>516</v>
      </c>
      <c r="B29" s="9" t="s">
        <v>578</v>
      </c>
      <c r="C29" s="9" t="s">
        <v>576</v>
      </c>
      <c r="D29" s="9" t="s">
        <v>536</v>
      </c>
      <c r="E29" s="9" t="s">
        <v>550</v>
      </c>
      <c r="F29" s="9" t="s">
        <v>25</v>
      </c>
      <c r="G29" s="62">
        <f>15+102+12*3+4*4</f>
        <v>169</v>
      </c>
    </row>
    <row r="30" spans="1:7" x14ac:dyDescent="0.2">
      <c r="A30" s="9" t="s">
        <v>516</v>
      </c>
      <c r="B30" s="9" t="s">
        <v>579</v>
      </c>
      <c r="C30" s="9" t="s">
        <v>576</v>
      </c>
      <c r="D30" s="9" t="s">
        <v>580</v>
      </c>
      <c r="E30" s="9" t="s">
        <v>550</v>
      </c>
      <c r="F30" s="9" t="s">
        <v>25</v>
      </c>
      <c r="G30" s="62">
        <f>85+8*3+2*4</f>
        <v>117</v>
      </c>
    </row>
    <row r="31" spans="1:7" x14ac:dyDescent="0.2">
      <c r="A31" s="9" t="s">
        <v>516</v>
      </c>
      <c r="B31" s="9" t="s">
        <v>581</v>
      </c>
      <c r="C31" s="9" t="s">
        <v>576</v>
      </c>
      <c r="D31" s="9" t="s">
        <v>582</v>
      </c>
      <c r="E31" s="9" t="s">
        <v>550</v>
      </c>
      <c r="F31" s="9" t="s">
        <v>25</v>
      </c>
      <c r="G31" s="62">
        <f>46+6*3+4*4</f>
        <v>80</v>
      </c>
    </row>
    <row r="32" spans="1:7" x14ac:dyDescent="0.2">
      <c r="A32" s="9" t="s">
        <v>516</v>
      </c>
      <c r="B32" s="9" t="s">
        <v>583</v>
      </c>
      <c r="C32" s="9" t="s">
        <v>576</v>
      </c>
      <c r="D32" s="9" t="s">
        <v>584</v>
      </c>
      <c r="E32" s="9" t="s">
        <v>550</v>
      </c>
      <c r="F32" s="9" t="s">
        <v>25</v>
      </c>
      <c r="G32" s="62">
        <f>60+6*3+5*4</f>
        <v>98</v>
      </c>
    </row>
    <row r="33" spans="1:7" x14ac:dyDescent="0.2">
      <c r="A33" s="9" t="s">
        <v>516</v>
      </c>
      <c r="B33" s="9" t="s">
        <v>585</v>
      </c>
      <c r="C33" s="9" t="s">
        <v>576</v>
      </c>
      <c r="D33" s="9" t="s">
        <v>586</v>
      </c>
      <c r="E33" s="9" t="s">
        <v>550</v>
      </c>
      <c r="F33" s="9" t="s">
        <v>25</v>
      </c>
      <c r="G33" s="62">
        <f>40+7*3</f>
        <v>61</v>
      </c>
    </row>
    <row r="34" spans="1:7" x14ac:dyDescent="0.2">
      <c r="A34" s="9" t="s">
        <v>522</v>
      </c>
      <c r="B34" s="9" t="s">
        <v>585</v>
      </c>
      <c r="C34" s="9" t="s">
        <v>576</v>
      </c>
      <c r="D34" s="9" t="s">
        <v>586</v>
      </c>
      <c r="E34" s="9" t="s">
        <v>550</v>
      </c>
      <c r="F34" s="9" t="s">
        <v>25</v>
      </c>
      <c r="G34" s="62">
        <f>30+5*4</f>
        <v>50</v>
      </c>
    </row>
    <row r="35" spans="1:7" x14ac:dyDescent="0.2">
      <c r="A35" s="9" t="s">
        <v>516</v>
      </c>
      <c r="B35" s="9" t="s">
        <v>587</v>
      </c>
      <c r="C35" s="9" t="s">
        <v>576</v>
      </c>
      <c r="D35" s="9" t="s">
        <v>588</v>
      </c>
      <c r="E35" s="9" t="s">
        <v>550</v>
      </c>
      <c r="F35" s="9" t="s">
        <v>25</v>
      </c>
      <c r="G35" s="62">
        <f>42+9*3+5*4</f>
        <v>89</v>
      </c>
    </row>
    <row r="36" spans="1:7" x14ac:dyDescent="0.2">
      <c r="A36" s="9" t="s">
        <v>516</v>
      </c>
      <c r="B36" s="9" t="s">
        <v>589</v>
      </c>
      <c r="C36" s="9" t="s">
        <v>576</v>
      </c>
      <c r="D36" s="9" t="s">
        <v>590</v>
      </c>
      <c r="E36" s="9" t="s">
        <v>550</v>
      </c>
      <c r="F36" s="9" t="s">
        <v>56</v>
      </c>
      <c r="G36" s="62">
        <f>113+13*3+4*4</f>
        <v>168</v>
      </c>
    </row>
    <row r="37" spans="1:7" x14ac:dyDescent="0.2">
      <c r="A37" s="9" t="s">
        <v>516</v>
      </c>
      <c r="B37" s="9" t="s">
        <v>591</v>
      </c>
      <c r="C37" s="9" t="s">
        <v>576</v>
      </c>
      <c r="D37" s="9" t="s">
        <v>590</v>
      </c>
      <c r="E37" s="9" t="s">
        <v>550</v>
      </c>
      <c r="F37" s="9" t="s">
        <v>56</v>
      </c>
      <c r="G37" s="62">
        <f>135+14*3+4*4</f>
        <v>193</v>
      </c>
    </row>
    <row r="38" spans="1:7" x14ac:dyDescent="0.2">
      <c r="A38" s="9" t="s">
        <v>516</v>
      </c>
      <c r="B38" s="9" t="s">
        <v>592</v>
      </c>
      <c r="C38" s="9" t="s">
        <v>576</v>
      </c>
      <c r="D38" s="9" t="s">
        <v>590</v>
      </c>
      <c r="E38" s="9" t="s">
        <v>550</v>
      </c>
      <c r="F38" s="9" t="s">
        <v>56</v>
      </c>
      <c r="G38" s="62">
        <f>140+12*3+4*4</f>
        <v>192</v>
      </c>
    </row>
    <row r="39" spans="1:7" x14ac:dyDescent="0.2">
      <c r="A39" s="9" t="s">
        <v>516</v>
      </c>
      <c r="B39" s="9" t="s">
        <v>593</v>
      </c>
      <c r="C39" s="9" t="s">
        <v>576</v>
      </c>
      <c r="D39" s="9" t="s">
        <v>594</v>
      </c>
      <c r="E39" s="9" t="s">
        <v>550</v>
      </c>
      <c r="F39" s="9" t="s">
        <v>25</v>
      </c>
      <c r="G39" s="62">
        <f>100+9*3+4*4</f>
        <v>143</v>
      </c>
    </row>
    <row r="40" spans="1:7" x14ac:dyDescent="0.2">
      <c r="A40" s="9" t="s">
        <v>516</v>
      </c>
      <c r="B40" s="9" t="s">
        <v>595</v>
      </c>
      <c r="C40" s="9" t="s">
        <v>576</v>
      </c>
      <c r="D40" s="9" t="s">
        <v>594</v>
      </c>
      <c r="E40" s="9" t="s">
        <v>550</v>
      </c>
      <c r="F40" s="9" t="s">
        <v>25</v>
      </c>
      <c r="G40" s="62">
        <f>80+9*3+4</f>
        <v>111</v>
      </c>
    </row>
    <row r="41" spans="1:7" x14ac:dyDescent="0.2">
      <c r="A41" s="9" t="s">
        <v>516</v>
      </c>
      <c r="B41" s="9" t="s">
        <v>596</v>
      </c>
      <c r="C41" s="9" t="s">
        <v>576</v>
      </c>
      <c r="D41" s="9" t="s">
        <v>597</v>
      </c>
      <c r="E41" s="9" t="s">
        <v>550</v>
      </c>
      <c r="F41" s="9" t="s">
        <v>25</v>
      </c>
      <c r="G41" s="62">
        <f>4+3+2*4</f>
        <v>15</v>
      </c>
    </row>
    <row r="42" spans="1:7" x14ac:dyDescent="0.2">
      <c r="A42" s="9" t="s">
        <v>516</v>
      </c>
      <c r="B42" s="9" t="s">
        <v>598</v>
      </c>
      <c r="C42" s="9" t="s">
        <v>599</v>
      </c>
      <c r="D42" s="9" t="s">
        <v>590</v>
      </c>
      <c r="E42" s="9" t="s">
        <v>550</v>
      </c>
      <c r="F42" s="9" t="s">
        <v>55</v>
      </c>
      <c r="G42" s="62">
        <f>68+4*4</f>
        <v>84</v>
      </c>
    </row>
    <row r="43" spans="1:7" x14ac:dyDescent="0.2">
      <c r="A43" s="9" t="s">
        <v>516</v>
      </c>
      <c r="B43" s="9" t="s">
        <v>600</v>
      </c>
      <c r="C43" s="9" t="s">
        <v>599</v>
      </c>
      <c r="D43" s="9" t="s">
        <v>590</v>
      </c>
      <c r="E43" s="9" t="s">
        <v>550</v>
      </c>
      <c r="F43" s="9" t="s">
        <v>55</v>
      </c>
      <c r="G43" s="62">
        <f>42+12</f>
        <v>54</v>
      </c>
    </row>
    <row r="44" spans="1:7" x14ac:dyDescent="0.2">
      <c r="A44" s="9" t="s">
        <v>516</v>
      </c>
      <c r="B44" s="9" t="s">
        <v>601</v>
      </c>
      <c r="C44" s="9" t="s">
        <v>599</v>
      </c>
      <c r="D44" s="9" t="s">
        <v>590</v>
      </c>
      <c r="E44" s="9" t="s">
        <v>550</v>
      </c>
      <c r="F44" s="9" t="s">
        <v>55</v>
      </c>
      <c r="G44" s="62">
        <f>56+4*4</f>
        <v>72</v>
      </c>
    </row>
    <row r="45" spans="1:7" x14ac:dyDescent="0.2">
      <c r="A45" s="9" t="s">
        <v>516</v>
      </c>
      <c r="B45" s="9" t="s">
        <v>602</v>
      </c>
      <c r="C45" s="9" t="s">
        <v>599</v>
      </c>
      <c r="D45" s="9" t="s">
        <v>590</v>
      </c>
      <c r="E45" s="9" t="s">
        <v>550</v>
      </c>
      <c r="F45" s="9" t="s">
        <v>55</v>
      </c>
      <c r="G45" s="62">
        <f>29+3*4</f>
        <v>41</v>
      </c>
    </row>
    <row r="46" spans="1:7" x14ac:dyDescent="0.2">
      <c r="A46" s="9" t="s">
        <v>516</v>
      </c>
      <c r="B46" s="9" t="s">
        <v>603</v>
      </c>
      <c r="C46" s="9" t="s">
        <v>599</v>
      </c>
      <c r="D46" s="9" t="s">
        <v>604</v>
      </c>
      <c r="E46" s="9" t="s">
        <v>550</v>
      </c>
      <c r="F46" s="9" t="s">
        <v>55</v>
      </c>
      <c r="G46" s="62">
        <f>12+3*4</f>
        <v>24</v>
      </c>
    </row>
    <row r="47" spans="1:7" x14ac:dyDescent="0.2">
      <c r="A47" s="9" t="s">
        <v>516</v>
      </c>
      <c r="B47" s="9" t="s">
        <v>605</v>
      </c>
      <c r="C47" s="9" t="s">
        <v>606</v>
      </c>
      <c r="D47" s="9" t="s">
        <v>604</v>
      </c>
      <c r="E47" s="9" t="s">
        <v>550</v>
      </c>
      <c r="F47" s="9" t="s">
        <v>56</v>
      </c>
      <c r="G47" s="62">
        <f>11+3*4</f>
        <v>23</v>
      </c>
    </row>
    <row r="48" spans="1:7" x14ac:dyDescent="0.2">
      <c r="A48" s="9" t="s">
        <v>516</v>
      </c>
      <c r="B48" s="9" t="s">
        <v>607</v>
      </c>
      <c r="C48" s="9" t="s">
        <v>606</v>
      </c>
      <c r="D48" s="9" t="s">
        <v>604</v>
      </c>
      <c r="E48" s="9" t="s">
        <v>550</v>
      </c>
      <c r="F48" s="9" t="s">
        <v>56</v>
      </c>
      <c r="G48" s="62">
        <v>25</v>
      </c>
    </row>
    <row r="49" spans="1:7" x14ac:dyDescent="0.2">
      <c r="A49" s="9" t="s">
        <v>516</v>
      </c>
      <c r="B49" s="9" t="s">
        <v>608</v>
      </c>
      <c r="C49" s="9" t="s">
        <v>606</v>
      </c>
      <c r="D49" s="9" t="s">
        <v>609</v>
      </c>
      <c r="E49" s="9" t="s">
        <v>550</v>
      </c>
      <c r="F49" s="9" t="s">
        <v>56</v>
      </c>
      <c r="G49" s="62">
        <f>14+4*4</f>
        <v>30</v>
      </c>
    </row>
    <row r="50" spans="1:7" x14ac:dyDescent="0.2">
      <c r="A50" s="9" t="s">
        <v>516</v>
      </c>
      <c r="B50" s="9" t="s">
        <v>610</v>
      </c>
      <c r="C50" s="9" t="s">
        <v>606</v>
      </c>
      <c r="D50" s="9" t="s">
        <v>590</v>
      </c>
      <c r="E50" s="9" t="s">
        <v>550</v>
      </c>
      <c r="F50" s="9" t="s">
        <v>56</v>
      </c>
      <c r="G50" s="62">
        <f>53+5*4</f>
        <v>73</v>
      </c>
    </row>
    <row r="51" spans="1:7" x14ac:dyDescent="0.2">
      <c r="A51" s="9" t="s">
        <v>516</v>
      </c>
      <c r="B51" s="9" t="s">
        <v>611</v>
      </c>
      <c r="C51" s="9" t="s">
        <v>606</v>
      </c>
      <c r="D51" s="9" t="s">
        <v>612</v>
      </c>
      <c r="E51" s="9" t="s">
        <v>550</v>
      </c>
      <c r="F51" s="9" t="s">
        <v>56</v>
      </c>
      <c r="G51" s="62">
        <f>65+4*4</f>
        <v>81</v>
      </c>
    </row>
    <row r="52" spans="1:7" x14ac:dyDescent="0.2">
      <c r="A52" s="9" t="s">
        <v>516</v>
      </c>
      <c r="B52" s="9" t="s">
        <v>613</v>
      </c>
      <c r="C52" s="9" t="s">
        <v>606</v>
      </c>
      <c r="D52" s="9" t="s">
        <v>590</v>
      </c>
      <c r="E52" s="9" t="s">
        <v>550</v>
      </c>
      <c r="F52" s="9" t="s">
        <v>56</v>
      </c>
      <c r="G52" s="62">
        <f>47+5*4</f>
        <v>67</v>
      </c>
    </row>
    <row r="53" spans="1:7" x14ac:dyDescent="0.2">
      <c r="A53" s="9" t="s">
        <v>516</v>
      </c>
      <c r="B53" s="9" t="s">
        <v>614</v>
      </c>
      <c r="C53" s="9" t="s">
        <v>606</v>
      </c>
      <c r="D53" s="9" t="s">
        <v>612</v>
      </c>
      <c r="E53" s="9" t="s">
        <v>550</v>
      </c>
      <c r="F53" s="9" t="s">
        <v>56</v>
      </c>
      <c r="G53" s="62">
        <f>65+4*4</f>
        <v>81</v>
      </c>
    </row>
    <row r="54" spans="1:7" x14ac:dyDescent="0.2">
      <c r="A54" s="9" t="s">
        <v>516</v>
      </c>
      <c r="B54" s="9" t="s">
        <v>615</v>
      </c>
      <c r="C54" s="9" t="s">
        <v>606</v>
      </c>
      <c r="D54" s="9" t="s">
        <v>594</v>
      </c>
      <c r="E54" s="9" t="s">
        <v>550</v>
      </c>
      <c r="F54" s="9" t="s">
        <v>56</v>
      </c>
      <c r="G54" s="62">
        <f>38+4*4</f>
        <v>54</v>
      </c>
    </row>
    <row r="55" spans="1:7" x14ac:dyDescent="0.2">
      <c r="A55" s="9" t="s">
        <v>516</v>
      </c>
      <c r="B55" s="9" t="s">
        <v>616</v>
      </c>
      <c r="C55" s="9" t="s">
        <v>606</v>
      </c>
      <c r="D55" s="9" t="s">
        <v>617</v>
      </c>
      <c r="E55" s="9" t="s">
        <v>550</v>
      </c>
      <c r="F55" s="9" t="s">
        <v>56</v>
      </c>
      <c r="G55" s="62">
        <f>56+3*4</f>
        <v>68</v>
      </c>
    </row>
    <row r="56" spans="1:7" x14ac:dyDescent="0.2">
      <c r="A56" s="9" t="s">
        <v>516</v>
      </c>
      <c r="B56" s="9" t="s">
        <v>618</v>
      </c>
      <c r="C56" s="9" t="s">
        <v>606</v>
      </c>
      <c r="D56" s="9" t="s">
        <v>619</v>
      </c>
      <c r="E56" s="9" t="s">
        <v>550</v>
      </c>
      <c r="F56" s="9" t="s">
        <v>56</v>
      </c>
      <c r="G56" s="62">
        <f>35+4*4</f>
        <v>51</v>
      </c>
    </row>
    <row r="57" spans="1:7" x14ac:dyDescent="0.2">
      <c r="A57" s="9" t="s">
        <v>516</v>
      </c>
      <c r="B57" s="9" t="s">
        <v>620</v>
      </c>
      <c r="C57" s="9" t="s">
        <v>606</v>
      </c>
      <c r="D57" s="9" t="s">
        <v>536</v>
      </c>
      <c r="E57" s="9" t="s">
        <v>550</v>
      </c>
      <c r="F57" s="9" t="s">
        <v>56</v>
      </c>
      <c r="G57" s="62">
        <f>21+4*4</f>
        <v>37</v>
      </c>
    </row>
    <row r="58" spans="1:7" x14ac:dyDescent="0.2">
      <c r="A58" s="9" t="s">
        <v>516</v>
      </c>
      <c r="B58" s="9" t="s">
        <v>621</v>
      </c>
      <c r="C58" s="9" t="s">
        <v>606</v>
      </c>
      <c r="D58" s="9" t="s">
        <v>622</v>
      </c>
      <c r="E58" s="9" t="s">
        <v>550</v>
      </c>
      <c r="F58" s="9" t="s">
        <v>56</v>
      </c>
      <c r="G58" s="62">
        <f>56+5*4</f>
        <v>76</v>
      </c>
    </row>
    <row r="59" spans="1:7" x14ac:dyDescent="0.2">
      <c r="A59" s="9" t="s">
        <v>516</v>
      </c>
      <c r="B59" s="9" t="s">
        <v>623</v>
      </c>
      <c r="C59" s="9" t="s">
        <v>606</v>
      </c>
      <c r="D59" s="64" t="s">
        <v>612</v>
      </c>
      <c r="E59" s="9" t="s">
        <v>550</v>
      </c>
      <c r="F59" s="9" t="s">
        <v>56</v>
      </c>
      <c r="G59" s="62">
        <f>65+4*4</f>
        <v>81</v>
      </c>
    </row>
    <row r="60" spans="1:7" x14ac:dyDescent="0.2">
      <c r="A60" s="9" t="s">
        <v>516</v>
      </c>
      <c r="B60" s="9" t="s">
        <v>624</v>
      </c>
      <c r="C60" s="9" t="s">
        <v>606</v>
      </c>
      <c r="D60" s="64" t="s">
        <v>594</v>
      </c>
      <c r="E60" s="9" t="s">
        <v>550</v>
      </c>
      <c r="F60" s="9" t="s">
        <v>56</v>
      </c>
      <c r="G60" s="62">
        <f>38+4*4</f>
        <v>54</v>
      </c>
    </row>
    <row r="61" spans="1:7" x14ac:dyDescent="0.2">
      <c r="A61" s="9" t="s">
        <v>516</v>
      </c>
      <c r="B61" s="9" t="s">
        <v>625</v>
      </c>
      <c r="C61" s="9" t="s">
        <v>606</v>
      </c>
      <c r="D61" s="9" t="s">
        <v>626</v>
      </c>
      <c r="E61" s="9" t="s">
        <v>550</v>
      </c>
      <c r="F61" s="9" t="s">
        <v>56</v>
      </c>
      <c r="G61" s="62">
        <v>28</v>
      </c>
    </row>
    <row r="62" spans="1:7" x14ac:dyDescent="0.2">
      <c r="A62" s="9" t="s">
        <v>516</v>
      </c>
      <c r="B62" s="9" t="s">
        <v>627</v>
      </c>
      <c r="C62" s="9" t="s">
        <v>606</v>
      </c>
      <c r="D62" s="9" t="s">
        <v>626</v>
      </c>
      <c r="E62" s="9" t="s">
        <v>550</v>
      </c>
      <c r="F62" s="9" t="s">
        <v>56</v>
      </c>
      <c r="G62" s="62">
        <v>29</v>
      </c>
    </row>
    <row r="63" spans="1:7" x14ac:dyDescent="0.2">
      <c r="A63" s="9" t="s">
        <v>516</v>
      </c>
      <c r="B63" s="9" t="s">
        <v>628</v>
      </c>
      <c r="C63" s="9" t="s">
        <v>606</v>
      </c>
      <c r="D63" s="9" t="s">
        <v>626</v>
      </c>
      <c r="E63" s="9" t="s">
        <v>550</v>
      </c>
      <c r="F63" s="9" t="s">
        <v>56</v>
      </c>
      <c r="G63" s="62">
        <v>30</v>
      </c>
    </row>
    <row r="64" spans="1:7" x14ac:dyDescent="0.2">
      <c r="A64" s="9" t="s">
        <v>516</v>
      </c>
      <c r="B64" s="9" t="s">
        <v>629</v>
      </c>
      <c r="C64" s="9" t="s">
        <v>606</v>
      </c>
      <c r="D64" s="9" t="s">
        <v>630</v>
      </c>
      <c r="E64" s="9" t="s">
        <v>550</v>
      </c>
      <c r="F64" s="9" t="s">
        <v>56</v>
      </c>
      <c r="G64" s="62">
        <v>33</v>
      </c>
    </row>
    <row r="65" spans="1:7" x14ac:dyDescent="0.2">
      <c r="A65" s="9" t="s">
        <v>516</v>
      </c>
      <c r="B65" s="9" t="s">
        <v>631</v>
      </c>
      <c r="C65" s="9" t="s">
        <v>606</v>
      </c>
      <c r="D65" s="9" t="s">
        <v>632</v>
      </c>
      <c r="E65" s="9" t="s">
        <v>550</v>
      </c>
      <c r="F65" s="9" t="s">
        <v>56</v>
      </c>
      <c r="G65" s="62">
        <f>22+7*4</f>
        <v>50</v>
      </c>
    </row>
    <row r="66" spans="1:7" x14ac:dyDescent="0.2">
      <c r="A66" s="9" t="s">
        <v>516</v>
      </c>
      <c r="B66" s="9" t="s">
        <v>633</v>
      </c>
      <c r="C66" s="9" t="s">
        <v>606</v>
      </c>
      <c r="D66" s="9" t="s">
        <v>634</v>
      </c>
      <c r="E66" s="9" t="s">
        <v>550</v>
      </c>
      <c r="F66" s="9" t="s">
        <v>56</v>
      </c>
      <c r="G66" s="62">
        <v>11</v>
      </c>
    </row>
    <row r="67" spans="1:7" x14ac:dyDescent="0.2">
      <c r="A67" s="9" t="s">
        <v>516</v>
      </c>
      <c r="B67" s="9" t="s">
        <v>635</v>
      </c>
      <c r="C67" s="9" t="s">
        <v>636</v>
      </c>
      <c r="D67" s="9" t="s">
        <v>637</v>
      </c>
      <c r="E67" s="9" t="s">
        <v>550</v>
      </c>
      <c r="F67" s="9" t="s">
        <v>56</v>
      </c>
      <c r="G67" s="62">
        <v>53</v>
      </c>
    </row>
    <row r="68" spans="1:7" x14ac:dyDescent="0.2">
      <c r="A68" s="9" t="s">
        <v>516</v>
      </c>
      <c r="B68" s="9" t="s">
        <v>638</v>
      </c>
      <c r="C68" s="9" t="s">
        <v>636</v>
      </c>
      <c r="D68" s="9" t="s">
        <v>536</v>
      </c>
      <c r="E68" s="9" t="s">
        <v>550</v>
      </c>
      <c r="F68" s="9" t="s">
        <v>56</v>
      </c>
      <c r="G68" s="62">
        <v>50</v>
      </c>
    </row>
    <row r="69" spans="1:7" x14ac:dyDescent="0.2">
      <c r="A69" s="9" t="s">
        <v>516</v>
      </c>
      <c r="B69" s="9" t="s">
        <v>639</v>
      </c>
      <c r="C69" s="9" t="s">
        <v>606</v>
      </c>
      <c r="D69" s="9" t="s">
        <v>640</v>
      </c>
      <c r="E69" s="9" t="s">
        <v>550</v>
      </c>
      <c r="F69" s="9" t="s">
        <v>56</v>
      </c>
      <c r="G69" s="62">
        <v>48</v>
      </c>
    </row>
    <row r="70" spans="1:7" x14ac:dyDescent="0.2">
      <c r="A70" s="9" t="s">
        <v>516</v>
      </c>
      <c r="B70" s="9" t="s">
        <v>641</v>
      </c>
      <c r="C70" s="9" t="s">
        <v>606</v>
      </c>
      <c r="D70" s="9" t="s">
        <v>640</v>
      </c>
      <c r="E70" s="9" t="s">
        <v>550</v>
      </c>
      <c r="F70" s="9" t="s">
        <v>56</v>
      </c>
      <c r="G70" s="62">
        <v>48</v>
      </c>
    </row>
    <row r="71" spans="1:7" x14ac:dyDescent="0.2">
      <c r="A71" s="9" t="s">
        <v>516</v>
      </c>
      <c r="B71" s="9" t="s">
        <v>642</v>
      </c>
      <c r="C71" s="9" t="s">
        <v>606</v>
      </c>
      <c r="D71" s="9" t="s">
        <v>634</v>
      </c>
      <c r="E71" s="9" t="s">
        <v>550</v>
      </c>
      <c r="F71" s="9" t="s">
        <v>56</v>
      </c>
      <c r="G71" s="62">
        <v>13</v>
      </c>
    </row>
    <row r="72" spans="1:7" x14ac:dyDescent="0.2">
      <c r="A72" s="9" t="s">
        <v>516</v>
      </c>
      <c r="B72" s="9" t="s">
        <v>643</v>
      </c>
      <c r="C72" s="9" t="s">
        <v>606</v>
      </c>
      <c r="D72" s="9" t="s">
        <v>634</v>
      </c>
      <c r="E72" s="9" t="s">
        <v>550</v>
      </c>
      <c r="F72" s="9" t="s">
        <v>56</v>
      </c>
      <c r="G72" s="62">
        <v>13</v>
      </c>
    </row>
    <row r="73" spans="1:7" x14ac:dyDescent="0.2">
      <c r="A73" s="9" t="s">
        <v>516</v>
      </c>
      <c r="B73" s="9" t="s">
        <v>644</v>
      </c>
      <c r="C73" s="9" t="s">
        <v>645</v>
      </c>
      <c r="D73" s="9" t="s">
        <v>634</v>
      </c>
      <c r="E73" s="9" t="s">
        <v>550</v>
      </c>
      <c r="F73" s="9" t="s">
        <v>55</v>
      </c>
      <c r="G73" s="62">
        <v>12</v>
      </c>
    </row>
    <row r="74" spans="1:7" x14ac:dyDescent="0.2">
      <c r="A74" s="9" t="s">
        <v>516</v>
      </c>
      <c r="B74" s="9" t="s">
        <v>646</v>
      </c>
      <c r="C74" s="9" t="s">
        <v>647</v>
      </c>
      <c r="D74" s="9" t="s">
        <v>634</v>
      </c>
      <c r="E74" s="9" t="s">
        <v>550</v>
      </c>
      <c r="F74" s="9" t="s">
        <v>55</v>
      </c>
      <c r="G74" s="62">
        <v>18</v>
      </c>
    </row>
    <row r="75" spans="1:7" x14ac:dyDescent="0.2">
      <c r="A75" s="9" t="s">
        <v>516</v>
      </c>
      <c r="B75" s="9" t="s">
        <v>648</v>
      </c>
      <c r="C75" s="9" t="s">
        <v>647</v>
      </c>
      <c r="D75" s="9" t="s">
        <v>634</v>
      </c>
      <c r="E75" s="9" t="s">
        <v>550</v>
      </c>
      <c r="F75" s="9" t="s">
        <v>494</v>
      </c>
      <c r="G75" s="62">
        <v>16</v>
      </c>
    </row>
    <row r="76" spans="1:7" x14ac:dyDescent="0.2">
      <c r="A76" s="9" t="s">
        <v>516</v>
      </c>
      <c r="B76" s="9" t="s">
        <v>649</v>
      </c>
      <c r="C76" s="9" t="s">
        <v>636</v>
      </c>
      <c r="D76" s="9" t="s">
        <v>612</v>
      </c>
      <c r="E76" s="9" t="s">
        <v>550</v>
      </c>
      <c r="F76" s="9" t="s">
        <v>56</v>
      </c>
      <c r="G76" s="62">
        <v>53</v>
      </c>
    </row>
    <row r="77" spans="1:7" x14ac:dyDescent="0.2">
      <c r="A77" s="9" t="s">
        <v>516</v>
      </c>
      <c r="B77" s="9" t="s">
        <v>650</v>
      </c>
      <c r="C77" s="9" t="s">
        <v>636</v>
      </c>
      <c r="D77" s="9" t="s">
        <v>612</v>
      </c>
      <c r="E77" s="64" t="s">
        <v>651</v>
      </c>
      <c r="F77" s="9" t="s">
        <v>56</v>
      </c>
      <c r="G77" s="62">
        <v>52</v>
      </c>
    </row>
    <row r="78" spans="1:7" x14ac:dyDescent="0.2">
      <c r="A78" s="9" t="s">
        <v>516</v>
      </c>
      <c r="B78" s="9" t="s">
        <v>652</v>
      </c>
      <c r="C78" s="9" t="s">
        <v>636</v>
      </c>
      <c r="D78" s="9" t="s">
        <v>594</v>
      </c>
      <c r="E78" s="64" t="s">
        <v>653</v>
      </c>
      <c r="F78" s="9" t="s">
        <v>56</v>
      </c>
      <c r="G78" s="62">
        <v>21</v>
      </c>
    </row>
    <row r="79" spans="1:7" x14ac:dyDescent="0.2">
      <c r="A79" s="9" t="s">
        <v>516</v>
      </c>
      <c r="B79" s="9" t="s">
        <v>654</v>
      </c>
      <c r="C79" s="9" t="s">
        <v>636</v>
      </c>
      <c r="D79" s="9" t="s">
        <v>594</v>
      </c>
      <c r="E79" s="9" t="s">
        <v>550</v>
      </c>
      <c r="F79" s="9" t="s">
        <v>56</v>
      </c>
      <c r="G79" s="62">
        <v>28</v>
      </c>
    </row>
    <row r="80" spans="1:7" x14ac:dyDescent="0.2">
      <c r="A80" s="9" t="s">
        <v>516</v>
      </c>
      <c r="B80" s="9" t="s">
        <v>655</v>
      </c>
      <c r="C80" s="9" t="s">
        <v>636</v>
      </c>
      <c r="D80" s="9" t="s">
        <v>594</v>
      </c>
      <c r="E80" s="9" t="s">
        <v>550</v>
      </c>
      <c r="F80" s="9" t="s">
        <v>56</v>
      </c>
      <c r="G80" s="62">
        <v>35</v>
      </c>
    </row>
    <row r="81" spans="1:7" x14ac:dyDescent="0.2">
      <c r="A81" s="9" t="s">
        <v>516</v>
      </c>
      <c r="B81" s="9" t="s">
        <v>656</v>
      </c>
      <c r="C81" s="9" t="s">
        <v>636</v>
      </c>
      <c r="D81" s="9" t="s">
        <v>612</v>
      </c>
      <c r="E81" s="9" t="s">
        <v>550</v>
      </c>
      <c r="F81" s="9" t="s">
        <v>56</v>
      </c>
      <c r="G81" s="62">
        <v>69</v>
      </c>
    </row>
    <row r="82" spans="1:7" x14ac:dyDescent="0.2">
      <c r="A82" s="9" t="s">
        <v>516</v>
      </c>
      <c r="B82" s="9" t="s">
        <v>657</v>
      </c>
      <c r="C82" s="9" t="s">
        <v>636</v>
      </c>
      <c r="D82" s="9" t="s">
        <v>612</v>
      </c>
      <c r="E82" s="9" t="s">
        <v>550</v>
      </c>
      <c r="F82" s="9" t="s">
        <v>56</v>
      </c>
      <c r="G82" s="62">
        <v>69</v>
      </c>
    </row>
    <row r="83" spans="1:7" x14ac:dyDescent="0.2">
      <c r="A83" s="9" t="s">
        <v>516</v>
      </c>
      <c r="B83" s="9" t="s">
        <v>658</v>
      </c>
      <c r="C83" s="9" t="s">
        <v>636</v>
      </c>
      <c r="D83" s="9" t="s">
        <v>612</v>
      </c>
      <c r="E83" s="9" t="s">
        <v>550</v>
      </c>
      <c r="F83" s="9" t="s">
        <v>56</v>
      </c>
      <c r="G83" s="62">
        <v>70</v>
      </c>
    </row>
    <row r="84" spans="1:7" x14ac:dyDescent="0.2">
      <c r="A84" s="9" t="s">
        <v>516</v>
      </c>
      <c r="B84" s="9" t="s">
        <v>659</v>
      </c>
      <c r="C84" s="9" t="s">
        <v>660</v>
      </c>
      <c r="D84" s="9" t="s">
        <v>637</v>
      </c>
      <c r="E84" s="9" t="s">
        <v>550</v>
      </c>
      <c r="F84" s="9" t="s">
        <v>56</v>
      </c>
      <c r="G84" s="62">
        <v>60</v>
      </c>
    </row>
    <row r="85" spans="1:7" x14ac:dyDescent="0.2">
      <c r="A85" s="9" t="s">
        <v>516</v>
      </c>
      <c r="B85" s="9" t="s">
        <v>661</v>
      </c>
      <c r="C85" s="9" t="s">
        <v>662</v>
      </c>
      <c r="D85" s="9" t="s">
        <v>640</v>
      </c>
      <c r="E85" s="9" t="s">
        <v>550</v>
      </c>
      <c r="F85" s="9" t="s">
        <v>56</v>
      </c>
      <c r="G85" s="62">
        <v>48</v>
      </c>
    </row>
    <row r="86" spans="1:7" x14ac:dyDescent="0.2">
      <c r="A86" s="9" t="s">
        <v>516</v>
      </c>
      <c r="B86" s="9" t="s">
        <v>663</v>
      </c>
      <c r="C86" s="9" t="s">
        <v>664</v>
      </c>
      <c r="D86" s="9" t="s">
        <v>665</v>
      </c>
      <c r="E86" s="9" t="s">
        <v>550</v>
      </c>
      <c r="F86" s="9" t="s">
        <v>56</v>
      </c>
      <c r="G86" s="62">
        <v>43</v>
      </c>
    </row>
    <row r="87" spans="1:7" x14ac:dyDescent="0.2">
      <c r="A87" s="9" t="s">
        <v>516</v>
      </c>
      <c r="B87" s="9" t="s">
        <v>666</v>
      </c>
      <c r="C87" s="9" t="s">
        <v>667</v>
      </c>
      <c r="D87" s="9" t="s">
        <v>665</v>
      </c>
      <c r="E87" s="9" t="s">
        <v>550</v>
      </c>
      <c r="F87" s="9" t="s">
        <v>25</v>
      </c>
      <c r="G87" s="62">
        <f>68+4*4</f>
        <v>84</v>
      </c>
    </row>
    <row r="88" spans="1:7" x14ac:dyDescent="0.2">
      <c r="A88" s="9" t="s">
        <v>516</v>
      </c>
      <c r="B88" s="9" t="s">
        <v>668</v>
      </c>
      <c r="C88" s="9" t="s">
        <v>669</v>
      </c>
      <c r="D88" s="9" t="s">
        <v>670</v>
      </c>
      <c r="E88" s="9" t="s">
        <v>550</v>
      </c>
      <c r="F88" s="9" t="s">
        <v>25</v>
      </c>
      <c r="G88" s="62">
        <v>22</v>
      </c>
    </row>
    <row r="89" spans="1:7" x14ac:dyDescent="0.2">
      <c r="A89" s="9" t="s">
        <v>516</v>
      </c>
      <c r="B89" s="9" t="s">
        <v>671</v>
      </c>
      <c r="C89" s="9" t="s">
        <v>606</v>
      </c>
      <c r="D89" s="9" t="s">
        <v>597</v>
      </c>
      <c r="E89" s="9" t="s">
        <v>550</v>
      </c>
      <c r="F89" s="9" t="s">
        <v>56</v>
      </c>
      <c r="G89" s="62">
        <v>16</v>
      </c>
    </row>
    <row r="90" spans="1:7" x14ac:dyDescent="0.2">
      <c r="A90" s="9" t="s">
        <v>516</v>
      </c>
      <c r="B90" s="9" t="s">
        <v>672</v>
      </c>
      <c r="C90" s="9" t="s">
        <v>673</v>
      </c>
      <c r="D90" s="9" t="s">
        <v>594</v>
      </c>
      <c r="E90" s="9" t="s">
        <v>550</v>
      </c>
      <c r="F90" s="9" t="s">
        <v>25</v>
      </c>
      <c r="G90" s="62">
        <v>36</v>
      </c>
    </row>
    <row r="91" spans="1:7" x14ac:dyDescent="0.2">
      <c r="A91" s="9" t="s">
        <v>516</v>
      </c>
      <c r="B91" s="9" t="s">
        <v>674</v>
      </c>
      <c r="C91" s="9" t="s">
        <v>675</v>
      </c>
      <c r="D91" s="9" t="s">
        <v>594</v>
      </c>
      <c r="E91" s="9" t="s">
        <v>550</v>
      </c>
      <c r="F91" s="9" t="s">
        <v>25</v>
      </c>
      <c r="G91" s="62">
        <v>30</v>
      </c>
    </row>
    <row r="92" spans="1:7" x14ac:dyDescent="0.2">
      <c r="A92" s="9" t="s">
        <v>516</v>
      </c>
      <c r="B92" s="9" t="s">
        <v>676</v>
      </c>
      <c r="C92" s="9" t="s">
        <v>677</v>
      </c>
      <c r="D92" s="9" t="s">
        <v>594</v>
      </c>
      <c r="E92" s="9" t="s">
        <v>550</v>
      </c>
      <c r="F92" s="9" t="s">
        <v>25</v>
      </c>
      <c r="G92" s="62">
        <v>29</v>
      </c>
    </row>
    <row r="93" spans="1:7" x14ac:dyDescent="0.2">
      <c r="A93" s="9" t="s">
        <v>516</v>
      </c>
      <c r="B93" s="9" t="s">
        <v>678</v>
      </c>
      <c r="C93" s="9" t="s">
        <v>679</v>
      </c>
      <c r="D93" s="9" t="s">
        <v>594</v>
      </c>
      <c r="E93" s="9" t="s">
        <v>550</v>
      </c>
      <c r="F93" s="9" t="s">
        <v>25</v>
      </c>
      <c r="G93" s="62">
        <v>22</v>
      </c>
    </row>
    <row r="94" spans="1:7" x14ac:dyDescent="0.2">
      <c r="A94" s="9" t="s">
        <v>516</v>
      </c>
      <c r="B94" s="9" t="s">
        <v>680</v>
      </c>
      <c r="C94" s="9" t="s">
        <v>681</v>
      </c>
      <c r="D94" s="9" t="s">
        <v>612</v>
      </c>
      <c r="E94" s="9" t="s">
        <v>550</v>
      </c>
      <c r="F94" s="9" t="s">
        <v>25</v>
      </c>
      <c r="G94" s="62">
        <v>70</v>
      </c>
    </row>
    <row r="95" spans="1:7" x14ac:dyDescent="0.2">
      <c r="A95" s="9" t="s">
        <v>516</v>
      </c>
      <c r="B95" s="9" t="s">
        <v>682</v>
      </c>
      <c r="C95" s="9" t="s">
        <v>245</v>
      </c>
      <c r="D95" s="9" t="s">
        <v>683</v>
      </c>
      <c r="E95" s="9" t="s">
        <v>550</v>
      </c>
      <c r="F95" s="9" t="s">
        <v>491</v>
      </c>
      <c r="G95" s="62">
        <v>12</v>
      </c>
    </row>
    <row r="96" spans="1:7" x14ac:dyDescent="0.2">
      <c r="A96" s="10"/>
      <c r="B96" s="10"/>
      <c r="C96" s="10"/>
      <c r="D96" s="63" t="s">
        <v>684</v>
      </c>
      <c r="E96" s="10"/>
      <c r="F96" s="10"/>
      <c r="G96" s="62"/>
    </row>
    <row r="97" spans="1:7" x14ac:dyDescent="0.2">
      <c r="A97" s="9" t="s">
        <v>516</v>
      </c>
      <c r="B97" s="9" t="s">
        <v>685</v>
      </c>
      <c r="C97" s="9" t="s">
        <v>237</v>
      </c>
      <c r="D97" s="9" t="s">
        <v>686</v>
      </c>
      <c r="E97" s="9" t="s">
        <v>544</v>
      </c>
      <c r="F97" s="9" t="s">
        <v>57</v>
      </c>
      <c r="G97" s="62">
        <v>0</v>
      </c>
    </row>
    <row r="98" spans="1:7" x14ac:dyDescent="0.2">
      <c r="A98" s="9" t="s">
        <v>516</v>
      </c>
      <c r="B98" s="9" t="s">
        <v>530</v>
      </c>
      <c r="C98" s="10"/>
      <c r="D98" s="9" t="s">
        <v>533</v>
      </c>
      <c r="E98" s="9" t="s">
        <v>687</v>
      </c>
      <c r="F98" s="10"/>
      <c r="G98" s="62">
        <v>10</v>
      </c>
    </row>
    <row r="99" spans="1:7" x14ac:dyDescent="0.2">
      <c r="A99" s="9" t="s">
        <v>522</v>
      </c>
      <c r="B99" s="9" t="s">
        <v>530</v>
      </c>
      <c r="C99" s="9" t="s">
        <v>535</v>
      </c>
      <c r="D99" s="9" t="s">
        <v>536</v>
      </c>
      <c r="E99" s="9" t="s">
        <v>544</v>
      </c>
      <c r="F99" s="9" t="s">
        <v>488</v>
      </c>
      <c r="G99" s="62">
        <v>79</v>
      </c>
    </row>
    <row r="100" spans="1:7" x14ac:dyDescent="0.2">
      <c r="A100" s="9" t="s">
        <v>522</v>
      </c>
      <c r="B100" s="9" t="s">
        <v>542</v>
      </c>
      <c r="C100" s="10" t="s">
        <v>237</v>
      </c>
      <c r="D100" s="9" t="s">
        <v>561</v>
      </c>
      <c r="E100" s="9" t="s">
        <v>541</v>
      </c>
      <c r="F100" s="10"/>
      <c r="G100" s="62">
        <v>0</v>
      </c>
    </row>
    <row r="101" spans="1:7" x14ac:dyDescent="0.2">
      <c r="A101" s="9" t="s">
        <v>522</v>
      </c>
      <c r="B101" s="9" t="s">
        <v>688</v>
      </c>
      <c r="C101" s="10" t="s">
        <v>239</v>
      </c>
      <c r="D101" s="9" t="s">
        <v>543</v>
      </c>
      <c r="E101" s="9" t="s">
        <v>541</v>
      </c>
      <c r="F101" s="10"/>
      <c r="G101" s="62">
        <v>20</v>
      </c>
    </row>
    <row r="102" spans="1:7" x14ac:dyDescent="0.2">
      <c r="A102" s="9" t="s">
        <v>522</v>
      </c>
      <c r="B102" s="9" t="s">
        <v>401</v>
      </c>
      <c r="C102" s="9" t="s">
        <v>239</v>
      </c>
      <c r="D102" s="9" t="s">
        <v>689</v>
      </c>
      <c r="E102" s="9" t="s">
        <v>544</v>
      </c>
      <c r="F102" s="9" t="s">
        <v>488</v>
      </c>
      <c r="G102" s="62">
        <v>20</v>
      </c>
    </row>
    <row r="103" spans="1:7" x14ac:dyDescent="0.2">
      <c r="A103" s="9" t="s">
        <v>522</v>
      </c>
      <c r="B103" s="9" t="s">
        <v>545</v>
      </c>
      <c r="C103" s="9" t="s">
        <v>576</v>
      </c>
      <c r="D103" s="9" t="s">
        <v>690</v>
      </c>
      <c r="E103" s="9" t="s">
        <v>544</v>
      </c>
      <c r="F103" s="9" t="s">
        <v>488</v>
      </c>
      <c r="G103" s="62">
        <f>60+8*3</f>
        <v>84</v>
      </c>
    </row>
    <row r="104" spans="1:7" x14ac:dyDescent="0.2">
      <c r="A104" s="9" t="s">
        <v>516</v>
      </c>
      <c r="B104" s="9" t="s">
        <v>401</v>
      </c>
      <c r="C104" s="9" t="s">
        <v>576</v>
      </c>
      <c r="D104" s="9" t="s">
        <v>691</v>
      </c>
      <c r="E104" s="9" t="s">
        <v>544</v>
      </c>
      <c r="F104" s="9" t="s">
        <v>25</v>
      </c>
      <c r="G104" s="62">
        <f>30+7*3+7*4</f>
        <v>79</v>
      </c>
    </row>
    <row r="105" spans="1:7" x14ac:dyDescent="0.2">
      <c r="A105" s="9" t="s">
        <v>516</v>
      </c>
      <c r="B105" s="9" t="s">
        <v>545</v>
      </c>
      <c r="C105" s="9" t="s">
        <v>576</v>
      </c>
      <c r="D105" s="9" t="s">
        <v>692</v>
      </c>
      <c r="E105" s="9" t="s">
        <v>544</v>
      </c>
      <c r="F105" s="9" t="s">
        <v>25</v>
      </c>
      <c r="G105" s="62">
        <f>10+2*3+2*4</f>
        <v>24</v>
      </c>
    </row>
    <row r="106" spans="1:7" x14ac:dyDescent="0.2">
      <c r="A106" s="9" t="s">
        <v>516</v>
      </c>
      <c r="B106" s="9" t="s">
        <v>547</v>
      </c>
      <c r="C106" s="9" t="s">
        <v>576</v>
      </c>
      <c r="D106" s="9" t="s">
        <v>433</v>
      </c>
      <c r="E106" s="9" t="s">
        <v>544</v>
      </c>
      <c r="F106" s="9" t="s">
        <v>25</v>
      </c>
      <c r="G106" s="62">
        <v>14</v>
      </c>
    </row>
    <row r="107" spans="1:7" x14ac:dyDescent="0.2">
      <c r="A107" s="9" t="s">
        <v>516</v>
      </c>
      <c r="B107" s="9" t="s">
        <v>173</v>
      </c>
      <c r="C107" s="9" t="s">
        <v>576</v>
      </c>
      <c r="D107" s="9" t="s">
        <v>693</v>
      </c>
      <c r="E107" s="9" t="s">
        <v>544</v>
      </c>
      <c r="F107" s="9" t="s">
        <v>25</v>
      </c>
      <c r="G107" s="62">
        <f>12+4*3</f>
        <v>24</v>
      </c>
    </row>
    <row r="108" spans="1:7" x14ac:dyDescent="0.2">
      <c r="A108" s="9" t="s">
        <v>516</v>
      </c>
      <c r="B108" s="9" t="s">
        <v>405</v>
      </c>
      <c r="C108" s="9" t="s">
        <v>576</v>
      </c>
      <c r="D108" s="9" t="s">
        <v>694</v>
      </c>
      <c r="E108" s="9" t="s">
        <v>544</v>
      </c>
      <c r="F108" s="9" t="s">
        <v>25</v>
      </c>
      <c r="G108" s="62">
        <f>35+8*4</f>
        <v>67</v>
      </c>
    </row>
    <row r="109" spans="1:7" x14ac:dyDescent="0.2">
      <c r="A109" s="9" t="s">
        <v>516</v>
      </c>
      <c r="B109" s="9" t="s">
        <v>52</v>
      </c>
      <c r="C109" s="9" t="s">
        <v>695</v>
      </c>
      <c r="D109" s="9" t="s">
        <v>696</v>
      </c>
      <c r="E109" s="9" t="s">
        <v>544</v>
      </c>
      <c r="F109" s="9" t="s">
        <v>25</v>
      </c>
      <c r="G109" s="62">
        <v>16</v>
      </c>
    </row>
    <row r="110" spans="1:7" x14ac:dyDescent="0.2">
      <c r="A110" s="9"/>
      <c r="B110" s="9"/>
      <c r="C110" s="9"/>
      <c r="D110" s="9"/>
      <c r="E110" s="9" t="s">
        <v>550</v>
      </c>
      <c r="F110" s="9" t="s">
        <v>493</v>
      </c>
      <c r="G110" s="62">
        <v>20</v>
      </c>
    </row>
    <row r="111" spans="1:7" x14ac:dyDescent="0.2">
      <c r="A111" s="9" t="s">
        <v>516</v>
      </c>
      <c r="B111" s="9" t="s">
        <v>697</v>
      </c>
      <c r="C111" s="9" t="s">
        <v>606</v>
      </c>
      <c r="D111" s="9" t="s">
        <v>698</v>
      </c>
      <c r="E111" s="9" t="s">
        <v>544</v>
      </c>
      <c r="F111" s="9" t="s">
        <v>56</v>
      </c>
      <c r="G111" s="62">
        <f>6+3*4</f>
        <v>18</v>
      </c>
    </row>
    <row r="112" spans="1:7" x14ac:dyDescent="0.2">
      <c r="A112" s="9" t="s">
        <v>516</v>
      </c>
      <c r="B112" s="9" t="s">
        <v>699</v>
      </c>
      <c r="C112" s="9" t="s">
        <v>606</v>
      </c>
      <c r="D112" s="9" t="s">
        <v>700</v>
      </c>
      <c r="E112" s="9" t="s">
        <v>544</v>
      </c>
      <c r="F112" s="9" t="s">
        <v>56</v>
      </c>
      <c r="G112" s="62">
        <f>9+4*4</f>
        <v>25</v>
      </c>
    </row>
    <row r="113" spans="1:7" x14ac:dyDescent="0.2">
      <c r="A113" s="9" t="s">
        <v>516</v>
      </c>
      <c r="B113" s="9" t="s">
        <v>701</v>
      </c>
      <c r="C113" s="9" t="s">
        <v>606</v>
      </c>
      <c r="D113" s="9" t="s">
        <v>702</v>
      </c>
      <c r="E113" s="9" t="s">
        <v>544</v>
      </c>
      <c r="F113" s="9" t="s">
        <v>56</v>
      </c>
      <c r="G113" s="62">
        <f>9+4*4</f>
        <v>25</v>
      </c>
    </row>
    <row r="114" spans="1:7" x14ac:dyDescent="0.2">
      <c r="A114" s="9" t="s">
        <v>516</v>
      </c>
      <c r="B114" s="9" t="s">
        <v>564</v>
      </c>
      <c r="C114" s="9" t="s">
        <v>606</v>
      </c>
      <c r="D114" s="9" t="s">
        <v>702</v>
      </c>
      <c r="E114" s="9" t="s">
        <v>544</v>
      </c>
      <c r="F114" s="9" t="s">
        <v>56</v>
      </c>
      <c r="G114" s="62">
        <v>12</v>
      </c>
    </row>
    <row r="115" spans="1:7" x14ac:dyDescent="0.2">
      <c r="A115" s="9" t="s">
        <v>516</v>
      </c>
      <c r="B115" s="9" t="s">
        <v>567</v>
      </c>
      <c r="C115" s="9" t="s">
        <v>606</v>
      </c>
      <c r="D115" s="9" t="s">
        <v>703</v>
      </c>
      <c r="E115" s="9" t="s">
        <v>544</v>
      </c>
      <c r="F115" s="9" t="s">
        <v>56</v>
      </c>
      <c r="G115" s="62">
        <v>18</v>
      </c>
    </row>
    <row r="116" spans="1:7" x14ac:dyDescent="0.2">
      <c r="A116" s="9" t="s">
        <v>516</v>
      </c>
      <c r="B116" s="9" t="s">
        <v>569</v>
      </c>
      <c r="C116" s="9" t="s">
        <v>606</v>
      </c>
      <c r="D116" s="9" t="s">
        <v>704</v>
      </c>
      <c r="E116" s="9" t="s">
        <v>544</v>
      </c>
      <c r="F116" s="9" t="s">
        <v>56</v>
      </c>
      <c r="G116" s="62">
        <v>18</v>
      </c>
    </row>
    <row r="117" spans="1:7" x14ac:dyDescent="0.2">
      <c r="A117" s="9" t="s">
        <v>516</v>
      </c>
      <c r="B117" s="9" t="s">
        <v>73</v>
      </c>
      <c r="C117" s="9" t="s">
        <v>606</v>
      </c>
      <c r="D117" s="9" t="s">
        <v>705</v>
      </c>
      <c r="E117" s="9" t="s">
        <v>544</v>
      </c>
      <c r="F117" s="9" t="s">
        <v>56</v>
      </c>
      <c r="G117" s="62">
        <v>18</v>
      </c>
    </row>
    <row r="118" spans="1:7" x14ac:dyDescent="0.2">
      <c r="A118" s="9" t="s">
        <v>516</v>
      </c>
      <c r="B118" s="9" t="s">
        <v>572</v>
      </c>
      <c r="C118" s="9" t="s">
        <v>606</v>
      </c>
      <c r="D118" s="9" t="s">
        <v>706</v>
      </c>
      <c r="E118" s="9" t="s">
        <v>544</v>
      </c>
      <c r="F118" s="9" t="s">
        <v>56</v>
      </c>
      <c r="G118" s="62">
        <v>24</v>
      </c>
    </row>
    <row r="119" spans="1:7" x14ac:dyDescent="0.2">
      <c r="A119" s="9" t="s">
        <v>516</v>
      </c>
      <c r="B119" s="9" t="s">
        <v>707</v>
      </c>
      <c r="C119" s="9" t="s">
        <v>606</v>
      </c>
      <c r="D119" s="9" t="s">
        <v>708</v>
      </c>
      <c r="E119" s="9" t="s">
        <v>544</v>
      </c>
      <c r="F119" s="9" t="s">
        <v>56</v>
      </c>
      <c r="G119" s="62">
        <v>24</v>
      </c>
    </row>
    <row r="120" spans="1:7" x14ac:dyDescent="0.2">
      <c r="A120" s="9" t="s">
        <v>516</v>
      </c>
      <c r="B120" s="9" t="s">
        <v>709</v>
      </c>
      <c r="C120" s="9" t="s">
        <v>606</v>
      </c>
      <c r="D120" s="9" t="s">
        <v>708</v>
      </c>
      <c r="E120" s="9" t="s">
        <v>544</v>
      </c>
      <c r="F120" s="9" t="s">
        <v>56</v>
      </c>
      <c r="G120" s="62">
        <v>20</v>
      </c>
    </row>
    <row r="121" spans="1:7" x14ac:dyDescent="0.2">
      <c r="A121" s="9" t="s">
        <v>516</v>
      </c>
      <c r="B121" s="9" t="s">
        <v>578</v>
      </c>
      <c r="C121" s="9" t="s">
        <v>710</v>
      </c>
      <c r="D121" s="9" t="s">
        <v>711</v>
      </c>
      <c r="E121" s="9" t="s">
        <v>544</v>
      </c>
      <c r="F121" s="9" t="s">
        <v>25</v>
      </c>
      <c r="G121" s="62">
        <f>13+4+3*3</f>
        <v>26</v>
      </c>
    </row>
    <row r="122" spans="1:7" x14ac:dyDescent="0.2">
      <c r="A122" s="9" t="s">
        <v>516</v>
      </c>
      <c r="B122" s="9" t="s">
        <v>579</v>
      </c>
      <c r="C122" s="9" t="s">
        <v>712</v>
      </c>
      <c r="D122" s="9" t="s">
        <v>696</v>
      </c>
      <c r="E122" s="9" t="s">
        <v>544</v>
      </c>
      <c r="F122" s="9" t="s">
        <v>25</v>
      </c>
      <c r="G122" s="62">
        <v>16</v>
      </c>
    </row>
    <row r="123" spans="1:7" x14ac:dyDescent="0.2">
      <c r="A123" s="9" t="s">
        <v>516</v>
      </c>
      <c r="B123" s="9" t="s">
        <v>581</v>
      </c>
      <c r="C123" s="9" t="s">
        <v>712</v>
      </c>
      <c r="D123" s="9" t="s">
        <v>696</v>
      </c>
      <c r="E123" s="9" t="s">
        <v>544</v>
      </c>
      <c r="F123" s="9" t="s">
        <v>25</v>
      </c>
      <c r="G123" s="62">
        <v>16</v>
      </c>
    </row>
    <row r="124" spans="1:7" x14ac:dyDescent="0.2">
      <c r="A124" s="9" t="s">
        <v>516</v>
      </c>
      <c r="B124" s="9" t="s">
        <v>583</v>
      </c>
      <c r="C124" s="9" t="s">
        <v>713</v>
      </c>
      <c r="D124" s="9" t="s">
        <v>696</v>
      </c>
      <c r="E124" s="9" t="s">
        <v>544</v>
      </c>
      <c r="F124" s="9" t="s">
        <v>25</v>
      </c>
      <c r="G124" s="62">
        <v>16</v>
      </c>
    </row>
    <row r="125" spans="1:7" x14ac:dyDescent="0.2">
      <c r="A125" s="9" t="s">
        <v>516</v>
      </c>
      <c r="B125" s="9" t="s">
        <v>585</v>
      </c>
      <c r="C125" s="9" t="s">
        <v>606</v>
      </c>
      <c r="D125" s="9" t="s">
        <v>696</v>
      </c>
      <c r="E125" s="9" t="s">
        <v>544</v>
      </c>
      <c r="F125" s="9" t="s">
        <v>56</v>
      </c>
      <c r="G125" s="62">
        <v>16</v>
      </c>
    </row>
    <row r="126" spans="1:7" x14ac:dyDescent="0.2">
      <c r="A126" s="9" t="s">
        <v>516</v>
      </c>
      <c r="B126" s="9" t="s">
        <v>587</v>
      </c>
      <c r="C126" s="9" t="s">
        <v>606</v>
      </c>
      <c r="D126" s="9" t="s">
        <v>696</v>
      </c>
      <c r="E126" s="9" t="s">
        <v>544</v>
      </c>
      <c r="F126" s="9" t="s">
        <v>56</v>
      </c>
      <c r="G126" s="62">
        <v>16</v>
      </c>
    </row>
    <row r="127" spans="1:7" x14ac:dyDescent="0.2">
      <c r="A127" s="9" t="s">
        <v>516</v>
      </c>
      <c r="B127" s="9" t="s">
        <v>589</v>
      </c>
      <c r="C127" s="9" t="s">
        <v>606</v>
      </c>
      <c r="D127" s="9" t="s">
        <v>696</v>
      </c>
      <c r="E127" s="9" t="s">
        <v>544</v>
      </c>
      <c r="F127" s="9" t="s">
        <v>56</v>
      </c>
      <c r="G127" s="62">
        <v>16</v>
      </c>
    </row>
    <row r="128" spans="1:7" x14ac:dyDescent="0.2">
      <c r="A128" s="9" t="s">
        <v>516</v>
      </c>
      <c r="B128" s="9" t="s">
        <v>591</v>
      </c>
      <c r="C128" s="9" t="s">
        <v>606</v>
      </c>
      <c r="D128" s="9" t="s">
        <v>696</v>
      </c>
      <c r="E128" s="9" t="s">
        <v>544</v>
      </c>
      <c r="F128" s="9" t="s">
        <v>56</v>
      </c>
      <c r="G128" s="62">
        <v>16</v>
      </c>
    </row>
    <row r="129" spans="1:7" x14ac:dyDescent="0.2">
      <c r="A129" s="9" t="s">
        <v>516</v>
      </c>
      <c r="B129" s="9" t="s">
        <v>591</v>
      </c>
      <c r="C129" s="9" t="s">
        <v>714</v>
      </c>
      <c r="D129" s="9" t="s">
        <v>696</v>
      </c>
      <c r="E129" s="9" t="s">
        <v>715</v>
      </c>
      <c r="F129" s="10"/>
      <c r="G129" s="62">
        <v>16</v>
      </c>
    </row>
    <row r="130" spans="1:7" x14ac:dyDescent="0.2">
      <c r="A130" s="10"/>
      <c r="B130" s="10"/>
      <c r="C130" s="10"/>
      <c r="D130" s="63" t="s">
        <v>716</v>
      </c>
      <c r="E130" s="10"/>
      <c r="F130" s="10"/>
      <c r="G130" s="62"/>
    </row>
    <row r="131" spans="1:7" x14ac:dyDescent="0.2">
      <c r="A131" s="9" t="s">
        <v>516</v>
      </c>
      <c r="B131" s="9" t="s">
        <v>401</v>
      </c>
      <c r="C131" s="9" t="s">
        <v>237</v>
      </c>
      <c r="D131" s="9" t="s">
        <v>717</v>
      </c>
      <c r="E131" s="9" t="s">
        <v>544</v>
      </c>
      <c r="F131" s="9" t="s">
        <v>490</v>
      </c>
      <c r="G131" s="62">
        <v>0</v>
      </c>
    </row>
    <row r="132" spans="1:7" x14ac:dyDescent="0.2">
      <c r="A132" s="9" t="s">
        <v>516</v>
      </c>
      <c r="B132" s="9" t="s">
        <v>530</v>
      </c>
      <c r="C132" s="10"/>
      <c r="D132" s="9" t="s">
        <v>533</v>
      </c>
      <c r="E132" s="9" t="s">
        <v>687</v>
      </c>
      <c r="F132" s="10"/>
      <c r="G132" s="62">
        <v>10</v>
      </c>
    </row>
    <row r="133" spans="1:7" x14ac:dyDescent="0.2">
      <c r="A133" s="9" t="s">
        <v>522</v>
      </c>
      <c r="B133" s="9" t="s">
        <v>530</v>
      </c>
      <c r="C133" s="9" t="s">
        <v>535</v>
      </c>
      <c r="D133" s="9" t="s">
        <v>536</v>
      </c>
      <c r="E133" s="9" t="s">
        <v>544</v>
      </c>
      <c r="F133" s="9" t="s">
        <v>488</v>
      </c>
      <c r="G133" s="62">
        <v>72</v>
      </c>
    </row>
    <row r="134" spans="1:7" x14ac:dyDescent="0.2">
      <c r="A134" s="9" t="s">
        <v>522</v>
      </c>
      <c r="B134" s="9" t="s">
        <v>688</v>
      </c>
      <c r="C134" s="10" t="s">
        <v>238</v>
      </c>
      <c r="D134" s="9" t="s">
        <v>442</v>
      </c>
      <c r="E134" s="9" t="s">
        <v>541</v>
      </c>
      <c r="F134" s="10"/>
      <c r="G134" s="62">
        <v>0</v>
      </c>
    </row>
    <row r="135" spans="1:7" x14ac:dyDescent="0.2">
      <c r="A135" s="9" t="s">
        <v>522</v>
      </c>
      <c r="B135" s="9" t="s">
        <v>718</v>
      </c>
      <c r="C135" s="10" t="s">
        <v>242</v>
      </c>
      <c r="D135" s="9" t="s">
        <v>561</v>
      </c>
      <c r="E135" s="9" t="s">
        <v>541</v>
      </c>
      <c r="F135" s="10"/>
      <c r="G135" s="62">
        <v>44</v>
      </c>
    </row>
    <row r="136" spans="1:7" x14ac:dyDescent="0.2">
      <c r="A136" s="9" t="s">
        <v>522</v>
      </c>
      <c r="B136" s="9" t="s">
        <v>719</v>
      </c>
      <c r="C136" s="9" t="s">
        <v>720</v>
      </c>
      <c r="D136" s="9" t="s">
        <v>696</v>
      </c>
      <c r="E136" s="9" t="s">
        <v>721</v>
      </c>
      <c r="F136" s="10"/>
      <c r="G136" s="62">
        <v>0</v>
      </c>
    </row>
    <row r="137" spans="1:7" x14ac:dyDescent="0.2">
      <c r="A137" s="9" t="s">
        <v>522</v>
      </c>
      <c r="B137" s="9" t="s">
        <v>722</v>
      </c>
      <c r="C137" s="9" t="s">
        <v>720</v>
      </c>
      <c r="D137" s="9" t="s">
        <v>696</v>
      </c>
      <c r="E137" s="9" t="s">
        <v>721</v>
      </c>
      <c r="F137" s="10"/>
      <c r="G137" s="62">
        <v>0</v>
      </c>
    </row>
    <row r="138" spans="1:7" x14ac:dyDescent="0.2">
      <c r="A138" s="9" t="s">
        <v>522</v>
      </c>
      <c r="B138" s="9" t="s">
        <v>723</v>
      </c>
      <c r="C138" s="9" t="s">
        <v>243</v>
      </c>
      <c r="D138" s="9" t="s">
        <v>546</v>
      </c>
      <c r="E138" s="9" t="s">
        <v>721</v>
      </c>
      <c r="F138" s="10"/>
      <c r="G138" s="62">
        <f>39</f>
        <v>39</v>
      </c>
    </row>
    <row r="139" spans="1:7" x14ac:dyDescent="0.2">
      <c r="A139" s="9" t="s">
        <v>522</v>
      </c>
      <c r="B139" s="9" t="s">
        <v>724</v>
      </c>
      <c r="C139" s="9" t="s">
        <v>243</v>
      </c>
      <c r="D139" s="9" t="s">
        <v>546</v>
      </c>
      <c r="E139" s="9" t="s">
        <v>721</v>
      </c>
      <c r="F139" s="10"/>
      <c r="G139" s="62">
        <v>39</v>
      </c>
    </row>
    <row r="140" spans="1:7" x14ac:dyDescent="0.2">
      <c r="A140" s="9" t="s">
        <v>522</v>
      </c>
      <c r="B140" s="9" t="s">
        <v>725</v>
      </c>
      <c r="C140" s="9" t="s">
        <v>242</v>
      </c>
      <c r="D140" s="9" t="s">
        <v>546</v>
      </c>
      <c r="E140" s="9" t="s">
        <v>721</v>
      </c>
      <c r="F140" s="10"/>
      <c r="G140" s="62">
        <v>44</v>
      </c>
    </row>
    <row r="141" spans="1:7" x14ac:dyDescent="0.2">
      <c r="A141" s="9" t="s">
        <v>522</v>
      </c>
      <c r="B141" s="9" t="s">
        <v>726</v>
      </c>
      <c r="C141" s="9" t="s">
        <v>242</v>
      </c>
      <c r="D141" s="9" t="s">
        <v>561</v>
      </c>
      <c r="E141" s="9" t="s">
        <v>721</v>
      </c>
      <c r="F141" s="10"/>
      <c r="G141" s="62">
        <v>44</v>
      </c>
    </row>
    <row r="142" spans="1:7" x14ac:dyDescent="0.2">
      <c r="A142" s="9" t="s">
        <v>522</v>
      </c>
      <c r="B142" s="9" t="s">
        <v>727</v>
      </c>
      <c r="C142" s="9" t="s">
        <v>242</v>
      </c>
      <c r="D142" s="9" t="s">
        <v>561</v>
      </c>
      <c r="E142" s="9" t="s">
        <v>721</v>
      </c>
      <c r="F142" s="10"/>
      <c r="G142" s="62">
        <v>44</v>
      </c>
    </row>
    <row r="143" spans="1:7" x14ac:dyDescent="0.2">
      <c r="A143" s="9" t="s">
        <v>522</v>
      </c>
      <c r="B143" s="9" t="s">
        <v>728</v>
      </c>
      <c r="C143" s="9" t="s">
        <v>242</v>
      </c>
      <c r="D143" s="9" t="s">
        <v>561</v>
      </c>
      <c r="E143" s="9" t="s">
        <v>721</v>
      </c>
      <c r="F143" s="10"/>
      <c r="G143" s="62">
        <v>44</v>
      </c>
    </row>
    <row r="144" spans="1:7" x14ac:dyDescent="0.2">
      <c r="A144" s="9" t="s">
        <v>522</v>
      </c>
      <c r="B144" s="9" t="s">
        <v>401</v>
      </c>
      <c r="C144" s="9" t="s">
        <v>240</v>
      </c>
      <c r="D144" s="9" t="s">
        <v>729</v>
      </c>
      <c r="E144" s="9" t="s">
        <v>544</v>
      </c>
      <c r="F144" s="9" t="s">
        <v>488</v>
      </c>
      <c r="G144" s="62">
        <f>21+89</f>
        <v>110</v>
      </c>
    </row>
    <row r="145" spans="1:7" x14ac:dyDescent="0.2">
      <c r="A145" s="9" t="s">
        <v>522</v>
      </c>
      <c r="B145" s="9" t="s">
        <v>545</v>
      </c>
      <c r="C145" s="9" t="s">
        <v>238</v>
      </c>
      <c r="D145" s="9" t="s">
        <v>730</v>
      </c>
      <c r="E145" s="9" t="s">
        <v>544</v>
      </c>
      <c r="F145" s="9" t="s">
        <v>488</v>
      </c>
      <c r="G145" s="62">
        <v>20</v>
      </c>
    </row>
    <row r="146" spans="1:7" x14ac:dyDescent="0.2">
      <c r="A146" s="9" t="s">
        <v>522</v>
      </c>
      <c r="B146" s="9" t="s">
        <v>545</v>
      </c>
      <c r="C146" s="9" t="s">
        <v>241</v>
      </c>
      <c r="D146" s="9" t="s">
        <v>730</v>
      </c>
      <c r="E146" s="9" t="s">
        <v>544</v>
      </c>
      <c r="F146" s="9" t="s">
        <v>488</v>
      </c>
      <c r="G146" s="62">
        <v>50</v>
      </c>
    </row>
    <row r="147" spans="1:7" x14ac:dyDescent="0.2">
      <c r="A147" s="9" t="s">
        <v>516</v>
      </c>
      <c r="B147" s="9" t="s">
        <v>685</v>
      </c>
      <c r="C147" s="9" t="s">
        <v>238</v>
      </c>
      <c r="D147" s="9" t="s">
        <v>442</v>
      </c>
      <c r="E147" s="9" t="s">
        <v>544</v>
      </c>
      <c r="F147" s="9" t="s">
        <v>57</v>
      </c>
      <c r="G147" s="62">
        <v>20</v>
      </c>
    </row>
    <row r="148" spans="1:7" x14ac:dyDescent="0.2">
      <c r="A148" s="9" t="s">
        <v>516</v>
      </c>
      <c r="B148" s="9" t="s">
        <v>731</v>
      </c>
      <c r="C148" s="9" t="s">
        <v>241</v>
      </c>
      <c r="D148" s="9" t="s">
        <v>732</v>
      </c>
      <c r="E148" s="9" t="s">
        <v>544</v>
      </c>
      <c r="F148" s="9" t="s">
        <v>491</v>
      </c>
      <c r="G148" s="62">
        <v>50</v>
      </c>
    </row>
    <row r="149" spans="1:7" x14ac:dyDescent="0.2">
      <c r="A149" s="9" t="s">
        <v>516</v>
      </c>
      <c r="B149" s="9" t="s">
        <v>697</v>
      </c>
      <c r="C149" s="9" t="s">
        <v>576</v>
      </c>
      <c r="D149" s="9" t="s">
        <v>733</v>
      </c>
      <c r="E149" s="9" t="s">
        <v>544</v>
      </c>
      <c r="F149" s="9" t="s">
        <v>25</v>
      </c>
      <c r="G149" s="62">
        <f>53+12*3</f>
        <v>89</v>
      </c>
    </row>
    <row r="150" spans="1:7" x14ac:dyDescent="0.2">
      <c r="A150" s="9" t="s">
        <v>516</v>
      </c>
      <c r="B150" s="9" t="s">
        <v>699</v>
      </c>
      <c r="C150" s="9" t="s">
        <v>576</v>
      </c>
      <c r="D150" s="9" t="s">
        <v>734</v>
      </c>
      <c r="E150" s="9" t="s">
        <v>544</v>
      </c>
      <c r="F150" s="9" t="s">
        <v>25</v>
      </c>
      <c r="G150" s="62">
        <v>30</v>
      </c>
    </row>
    <row r="151" spans="1:7" x14ac:dyDescent="0.2">
      <c r="A151" s="9" t="s">
        <v>516</v>
      </c>
      <c r="B151" s="9" t="s">
        <v>701</v>
      </c>
      <c r="C151" s="9" t="s">
        <v>576</v>
      </c>
      <c r="D151" s="9" t="s">
        <v>735</v>
      </c>
      <c r="E151" s="9" t="s">
        <v>544</v>
      </c>
      <c r="F151" s="9" t="s">
        <v>25</v>
      </c>
      <c r="G151" s="62">
        <f>24</f>
        <v>24</v>
      </c>
    </row>
    <row r="152" spans="1:7" x14ac:dyDescent="0.2">
      <c r="A152" s="9" t="s">
        <v>516</v>
      </c>
      <c r="B152" s="9" t="s">
        <v>564</v>
      </c>
      <c r="C152" s="9" t="s">
        <v>576</v>
      </c>
      <c r="D152" s="9" t="s">
        <v>735</v>
      </c>
      <c r="E152" s="9" t="s">
        <v>544</v>
      </c>
      <c r="F152" s="9" t="s">
        <v>25</v>
      </c>
      <c r="G152" s="62">
        <v>26</v>
      </c>
    </row>
    <row r="153" spans="1:7" x14ac:dyDescent="0.2">
      <c r="A153" s="9" t="s">
        <v>516</v>
      </c>
      <c r="B153" s="9" t="s">
        <v>567</v>
      </c>
      <c r="C153" s="9" t="s">
        <v>576</v>
      </c>
      <c r="D153" s="9" t="s">
        <v>736</v>
      </c>
      <c r="E153" s="9" t="s">
        <v>544</v>
      </c>
      <c r="F153" s="9" t="s">
        <v>25</v>
      </c>
      <c r="G153" s="62">
        <f>77+11*3+8*4</f>
        <v>142</v>
      </c>
    </row>
    <row r="154" spans="1:7" x14ac:dyDescent="0.2">
      <c r="A154" s="9" t="s">
        <v>516</v>
      </c>
      <c r="B154" s="9" t="s">
        <v>569</v>
      </c>
      <c r="C154" s="9" t="s">
        <v>576</v>
      </c>
      <c r="D154" s="9" t="s">
        <v>737</v>
      </c>
      <c r="E154" s="9" t="s">
        <v>544</v>
      </c>
      <c r="F154" s="9" t="s">
        <v>25</v>
      </c>
      <c r="G154" s="62">
        <f>21+6*3</f>
        <v>39</v>
      </c>
    </row>
    <row r="155" spans="1:7" x14ac:dyDescent="0.2">
      <c r="A155" s="9" t="s">
        <v>516</v>
      </c>
      <c r="B155" s="9" t="s">
        <v>73</v>
      </c>
      <c r="C155" s="9" t="s">
        <v>576</v>
      </c>
      <c r="D155" s="9" t="s">
        <v>737</v>
      </c>
      <c r="E155" s="9" t="s">
        <v>544</v>
      </c>
      <c r="F155" s="9" t="s">
        <v>25</v>
      </c>
      <c r="G155" s="62">
        <f>12+4*3</f>
        <v>24</v>
      </c>
    </row>
    <row r="156" spans="1:7" x14ac:dyDescent="0.2">
      <c r="A156" s="9" t="s">
        <v>516</v>
      </c>
      <c r="B156" s="9" t="s">
        <v>572</v>
      </c>
      <c r="C156" s="9" t="s">
        <v>576</v>
      </c>
      <c r="D156" s="9" t="s">
        <v>738</v>
      </c>
      <c r="E156" s="9" t="s">
        <v>550</v>
      </c>
      <c r="F156" s="9" t="s">
        <v>25</v>
      </c>
      <c r="G156" s="62">
        <f>44+4+4*3</f>
        <v>60</v>
      </c>
    </row>
    <row r="157" spans="1:7" x14ac:dyDescent="0.2">
      <c r="A157" s="9" t="s">
        <v>516</v>
      </c>
      <c r="B157" s="9" t="s">
        <v>707</v>
      </c>
      <c r="C157" s="9" t="s">
        <v>576</v>
      </c>
      <c r="D157" s="9" t="s">
        <v>732</v>
      </c>
      <c r="E157" s="9" t="s">
        <v>544</v>
      </c>
      <c r="F157" s="9" t="s">
        <v>25</v>
      </c>
      <c r="G157" s="62">
        <f>51+4*3</f>
        <v>63</v>
      </c>
    </row>
    <row r="158" spans="1:7" x14ac:dyDescent="0.2">
      <c r="A158" s="9" t="s">
        <v>516</v>
      </c>
      <c r="B158" s="9" t="s">
        <v>709</v>
      </c>
      <c r="C158" s="9" t="s">
        <v>576</v>
      </c>
      <c r="D158" s="9" t="s">
        <v>739</v>
      </c>
      <c r="E158" s="9" t="s">
        <v>544</v>
      </c>
      <c r="F158" s="9" t="s">
        <v>25</v>
      </c>
      <c r="G158" s="62">
        <f>38+7*9</f>
        <v>101</v>
      </c>
    </row>
    <row r="159" spans="1:7" x14ac:dyDescent="0.2">
      <c r="A159" s="9" t="s">
        <v>516</v>
      </c>
      <c r="B159" s="9" t="s">
        <v>740</v>
      </c>
      <c r="C159" s="9" t="s">
        <v>576</v>
      </c>
      <c r="D159" s="9" t="s">
        <v>739</v>
      </c>
      <c r="E159" s="9" t="s">
        <v>544</v>
      </c>
      <c r="F159" s="9" t="s">
        <v>25</v>
      </c>
      <c r="G159" s="62">
        <f>35+7*9</f>
        <v>98</v>
      </c>
    </row>
    <row r="160" spans="1:7" x14ac:dyDescent="0.2">
      <c r="A160" s="9" t="s">
        <v>516</v>
      </c>
      <c r="B160" s="9" t="s">
        <v>575</v>
      </c>
      <c r="C160" s="9" t="s">
        <v>576</v>
      </c>
      <c r="D160" s="9" t="s">
        <v>739</v>
      </c>
      <c r="E160" s="9" t="s">
        <v>544</v>
      </c>
      <c r="F160" s="9" t="s">
        <v>25</v>
      </c>
      <c r="G160" s="62">
        <f>35+14*3</f>
        <v>77</v>
      </c>
    </row>
    <row r="161" spans="1:7" x14ac:dyDescent="0.2">
      <c r="A161" s="9" t="s">
        <v>516</v>
      </c>
      <c r="B161" s="9" t="s">
        <v>578</v>
      </c>
      <c r="C161" s="9" t="s">
        <v>576</v>
      </c>
      <c r="D161" s="9" t="s">
        <v>741</v>
      </c>
      <c r="E161" s="9" t="s">
        <v>550</v>
      </c>
      <c r="F161" s="9" t="s">
        <v>25</v>
      </c>
      <c r="G161" s="62">
        <f>88+19*3</f>
        <v>145</v>
      </c>
    </row>
    <row r="162" spans="1:7" x14ac:dyDescent="0.2">
      <c r="A162" s="9" t="s">
        <v>516</v>
      </c>
      <c r="B162" s="9" t="s">
        <v>579</v>
      </c>
      <c r="C162" s="9" t="s">
        <v>576</v>
      </c>
      <c r="D162" s="9" t="s">
        <v>742</v>
      </c>
      <c r="E162" s="9" t="s">
        <v>550</v>
      </c>
      <c r="F162" s="9" t="s">
        <v>25</v>
      </c>
      <c r="G162" s="62">
        <f>50+5*3</f>
        <v>65</v>
      </c>
    </row>
    <row r="163" spans="1:7" x14ac:dyDescent="0.2">
      <c r="A163" s="9"/>
      <c r="B163" s="9"/>
      <c r="C163" s="9"/>
      <c r="D163" s="9"/>
      <c r="E163" s="9" t="s">
        <v>537</v>
      </c>
      <c r="F163" s="9" t="s">
        <v>488</v>
      </c>
      <c r="G163" s="62">
        <f>4*4</f>
        <v>16</v>
      </c>
    </row>
    <row r="164" spans="1:7" x14ac:dyDescent="0.2">
      <c r="A164" s="9" t="s">
        <v>516</v>
      </c>
      <c r="B164" s="9" t="s">
        <v>581</v>
      </c>
      <c r="C164" s="9" t="s">
        <v>576</v>
      </c>
      <c r="D164" s="9" t="s">
        <v>743</v>
      </c>
      <c r="E164" s="9" t="s">
        <v>550</v>
      </c>
      <c r="F164" s="9" t="s">
        <v>25</v>
      </c>
      <c r="G164" s="62">
        <f>60+15*3</f>
        <v>105</v>
      </c>
    </row>
    <row r="165" spans="1:7" x14ac:dyDescent="0.2">
      <c r="A165" s="9" t="s">
        <v>516</v>
      </c>
      <c r="B165" s="9" t="s">
        <v>583</v>
      </c>
      <c r="C165" s="9" t="s">
        <v>576</v>
      </c>
      <c r="D165" s="9" t="s">
        <v>744</v>
      </c>
      <c r="E165" s="9" t="s">
        <v>550</v>
      </c>
      <c r="F165" s="9" t="s">
        <v>25</v>
      </c>
      <c r="G165" s="62">
        <v>95</v>
      </c>
    </row>
    <row r="166" spans="1:7" x14ac:dyDescent="0.2">
      <c r="A166" s="9" t="s">
        <v>516</v>
      </c>
      <c r="B166" s="9" t="s">
        <v>585</v>
      </c>
      <c r="C166" s="9" t="s">
        <v>576</v>
      </c>
      <c r="D166" s="9" t="s">
        <v>745</v>
      </c>
      <c r="E166" s="9" t="s">
        <v>544</v>
      </c>
      <c r="F166" s="9" t="s">
        <v>25</v>
      </c>
      <c r="G166" s="62">
        <f>42+8*5</f>
        <v>82</v>
      </c>
    </row>
    <row r="167" spans="1:7" x14ac:dyDescent="0.2">
      <c r="A167" s="9" t="s">
        <v>516</v>
      </c>
      <c r="B167" s="9" t="s">
        <v>587</v>
      </c>
      <c r="C167" s="9" t="s">
        <v>576</v>
      </c>
      <c r="D167" s="9" t="s">
        <v>746</v>
      </c>
      <c r="E167" s="9" t="s">
        <v>544</v>
      </c>
      <c r="F167" s="9" t="s">
        <v>25</v>
      </c>
      <c r="G167" s="62">
        <f>54+4*3</f>
        <v>66</v>
      </c>
    </row>
    <row r="168" spans="1:7" x14ac:dyDescent="0.2">
      <c r="A168" s="9" t="s">
        <v>516</v>
      </c>
      <c r="B168" s="9" t="s">
        <v>589</v>
      </c>
      <c r="C168" s="9" t="s">
        <v>576</v>
      </c>
      <c r="D168" s="9" t="s">
        <v>747</v>
      </c>
      <c r="E168" s="9" t="s">
        <v>544</v>
      </c>
      <c r="F168" s="9" t="s">
        <v>25</v>
      </c>
      <c r="G168" s="62">
        <f>37+9*3+6*3</f>
        <v>82</v>
      </c>
    </row>
    <row r="169" spans="1:7" x14ac:dyDescent="0.2">
      <c r="A169" s="9" t="s">
        <v>516</v>
      </c>
      <c r="B169" s="9" t="s">
        <v>625</v>
      </c>
      <c r="C169" s="9" t="s">
        <v>606</v>
      </c>
      <c r="D169" s="9" t="s">
        <v>748</v>
      </c>
      <c r="E169" s="9" t="s">
        <v>544</v>
      </c>
      <c r="F169" s="9" t="s">
        <v>56</v>
      </c>
      <c r="G169" s="62">
        <v>22</v>
      </c>
    </row>
    <row r="170" spans="1:7" x14ac:dyDescent="0.2">
      <c r="A170" s="9" t="s">
        <v>516</v>
      </c>
      <c r="B170" s="9" t="s">
        <v>627</v>
      </c>
      <c r="C170" s="9" t="s">
        <v>606</v>
      </c>
      <c r="D170" s="9" t="s">
        <v>749</v>
      </c>
      <c r="E170" s="9" t="s">
        <v>544</v>
      </c>
      <c r="F170" s="9" t="s">
        <v>56</v>
      </c>
      <c r="G170" s="62">
        <f>23+5*4</f>
        <v>43</v>
      </c>
    </row>
    <row r="171" spans="1:7" x14ac:dyDescent="0.2">
      <c r="A171" s="9" t="s">
        <v>516</v>
      </c>
      <c r="B171" s="9" t="s">
        <v>628</v>
      </c>
      <c r="C171" s="9" t="s">
        <v>606</v>
      </c>
      <c r="D171" s="9" t="s">
        <v>750</v>
      </c>
      <c r="E171" s="9" t="s">
        <v>544</v>
      </c>
      <c r="F171" s="9" t="s">
        <v>56</v>
      </c>
      <c r="G171" s="62">
        <v>17</v>
      </c>
    </row>
    <row r="172" spans="1:7" x14ac:dyDescent="0.2">
      <c r="A172" s="9" t="s">
        <v>516</v>
      </c>
      <c r="B172" s="9" t="s">
        <v>629</v>
      </c>
      <c r="C172" s="9" t="s">
        <v>606</v>
      </c>
      <c r="D172" s="9" t="s">
        <v>751</v>
      </c>
      <c r="E172" s="9" t="s">
        <v>544</v>
      </c>
      <c r="F172" s="9" t="s">
        <v>56</v>
      </c>
      <c r="G172" s="62">
        <v>18</v>
      </c>
    </row>
    <row r="173" spans="1:7" x14ac:dyDescent="0.2">
      <c r="A173" s="9" t="s">
        <v>516</v>
      </c>
      <c r="B173" s="9" t="s">
        <v>631</v>
      </c>
      <c r="C173" s="9" t="s">
        <v>606</v>
      </c>
      <c r="D173" s="9" t="s">
        <v>543</v>
      </c>
      <c r="E173" s="9" t="s">
        <v>544</v>
      </c>
      <c r="F173" s="9" t="s">
        <v>56</v>
      </c>
      <c r="G173" s="62">
        <v>10</v>
      </c>
    </row>
    <row r="174" spans="1:7" x14ac:dyDescent="0.2">
      <c r="A174" s="9" t="s">
        <v>516</v>
      </c>
      <c r="B174" s="9" t="s">
        <v>633</v>
      </c>
      <c r="C174" s="9" t="s">
        <v>606</v>
      </c>
      <c r="D174" s="9" t="s">
        <v>746</v>
      </c>
      <c r="E174" s="9" t="s">
        <v>544</v>
      </c>
      <c r="F174" s="9" t="s">
        <v>56</v>
      </c>
      <c r="G174" s="62">
        <v>58</v>
      </c>
    </row>
    <row r="175" spans="1:7" x14ac:dyDescent="0.2">
      <c r="A175" s="9" t="s">
        <v>516</v>
      </c>
      <c r="B175" s="9" t="s">
        <v>635</v>
      </c>
      <c r="C175" s="9" t="s">
        <v>606</v>
      </c>
      <c r="D175" s="9" t="s">
        <v>752</v>
      </c>
      <c r="E175" s="9" t="s">
        <v>544</v>
      </c>
      <c r="F175" s="9" t="s">
        <v>56</v>
      </c>
      <c r="G175" s="62">
        <f>45</f>
        <v>45</v>
      </c>
    </row>
    <row r="176" spans="1:7" x14ac:dyDescent="0.2">
      <c r="A176" s="9" t="s">
        <v>516</v>
      </c>
      <c r="B176" s="9" t="s">
        <v>638</v>
      </c>
      <c r="C176" s="9" t="s">
        <v>606</v>
      </c>
      <c r="D176" s="9" t="s">
        <v>414</v>
      </c>
      <c r="E176" s="9" t="s">
        <v>544</v>
      </c>
      <c r="F176" s="9" t="s">
        <v>56</v>
      </c>
      <c r="G176" s="62">
        <f>34+12</f>
        <v>46</v>
      </c>
    </row>
    <row r="177" spans="1:7" x14ac:dyDescent="0.2">
      <c r="A177" s="9" t="s">
        <v>516</v>
      </c>
      <c r="B177" s="9" t="s">
        <v>639</v>
      </c>
      <c r="C177" s="9" t="s">
        <v>606</v>
      </c>
      <c r="D177" s="9" t="s">
        <v>416</v>
      </c>
      <c r="E177" s="9" t="s">
        <v>544</v>
      </c>
      <c r="F177" s="9" t="s">
        <v>56</v>
      </c>
      <c r="G177" s="62">
        <v>42</v>
      </c>
    </row>
    <row r="178" spans="1:7" x14ac:dyDescent="0.2">
      <c r="A178" s="9" t="s">
        <v>516</v>
      </c>
      <c r="B178" s="9" t="s">
        <v>753</v>
      </c>
      <c r="C178" s="9" t="s">
        <v>754</v>
      </c>
      <c r="D178" s="9" t="s">
        <v>739</v>
      </c>
      <c r="E178" s="9" t="s">
        <v>544</v>
      </c>
      <c r="F178" s="9" t="s">
        <v>56</v>
      </c>
      <c r="G178" s="62">
        <v>28</v>
      </c>
    </row>
    <row r="179" spans="1:7" x14ac:dyDescent="0.2">
      <c r="A179" s="9" t="s">
        <v>516</v>
      </c>
      <c r="B179" s="9" t="s">
        <v>755</v>
      </c>
      <c r="C179" s="9" t="s">
        <v>754</v>
      </c>
      <c r="D179" s="9" t="s">
        <v>739</v>
      </c>
      <c r="E179" s="9" t="s">
        <v>544</v>
      </c>
      <c r="F179" s="9" t="s">
        <v>56</v>
      </c>
      <c r="G179" s="62">
        <v>29</v>
      </c>
    </row>
    <row r="180" spans="1:7" x14ac:dyDescent="0.2">
      <c r="A180" s="9" t="s">
        <v>516</v>
      </c>
      <c r="B180" s="9" t="s">
        <v>756</v>
      </c>
      <c r="C180" s="9" t="s">
        <v>754</v>
      </c>
      <c r="D180" s="9" t="s">
        <v>739</v>
      </c>
      <c r="E180" s="9" t="s">
        <v>544</v>
      </c>
      <c r="F180" s="9" t="s">
        <v>56</v>
      </c>
      <c r="G180" s="62">
        <v>36</v>
      </c>
    </row>
    <row r="181" spans="1:7" x14ac:dyDescent="0.2">
      <c r="A181" s="9" t="s">
        <v>516</v>
      </c>
      <c r="B181" s="9" t="s">
        <v>757</v>
      </c>
      <c r="C181" s="9" t="s">
        <v>754</v>
      </c>
      <c r="D181" s="9" t="s">
        <v>739</v>
      </c>
      <c r="E181" s="9" t="s">
        <v>544</v>
      </c>
      <c r="F181" s="9" t="s">
        <v>56</v>
      </c>
      <c r="G181" s="62">
        <v>37</v>
      </c>
    </row>
    <row r="182" spans="1:7" x14ac:dyDescent="0.2">
      <c r="A182" s="9" t="s">
        <v>516</v>
      </c>
      <c r="B182" s="9" t="s">
        <v>758</v>
      </c>
      <c r="C182" s="9" t="s">
        <v>754</v>
      </c>
      <c r="D182" s="9" t="s">
        <v>739</v>
      </c>
      <c r="E182" s="9" t="s">
        <v>544</v>
      </c>
      <c r="F182" s="9" t="s">
        <v>56</v>
      </c>
      <c r="G182" s="62">
        <v>38</v>
      </c>
    </row>
    <row r="183" spans="1:7" x14ac:dyDescent="0.2">
      <c r="A183" s="9" t="s">
        <v>516</v>
      </c>
      <c r="B183" s="9" t="s">
        <v>759</v>
      </c>
      <c r="C183" s="9" t="s">
        <v>754</v>
      </c>
      <c r="D183" s="9" t="s">
        <v>739</v>
      </c>
      <c r="E183" s="9" t="s">
        <v>544</v>
      </c>
      <c r="F183" s="9" t="s">
        <v>56</v>
      </c>
      <c r="G183" s="62">
        <v>40</v>
      </c>
    </row>
    <row r="184" spans="1:7" x14ac:dyDescent="0.2">
      <c r="A184" s="9" t="s">
        <v>516</v>
      </c>
      <c r="B184" s="9" t="s">
        <v>760</v>
      </c>
      <c r="C184" s="9" t="s">
        <v>754</v>
      </c>
      <c r="D184" s="9" t="s">
        <v>739</v>
      </c>
      <c r="E184" s="9" t="s">
        <v>544</v>
      </c>
      <c r="F184" s="9" t="s">
        <v>56</v>
      </c>
      <c r="G184" s="62">
        <v>38</v>
      </c>
    </row>
    <row r="185" spans="1:7" x14ac:dyDescent="0.2">
      <c r="A185" s="9" t="s">
        <v>516</v>
      </c>
      <c r="B185" s="9" t="s">
        <v>761</v>
      </c>
      <c r="C185" s="9" t="s">
        <v>754</v>
      </c>
      <c r="D185" s="9" t="s">
        <v>739</v>
      </c>
      <c r="E185" s="9" t="s">
        <v>544</v>
      </c>
      <c r="F185" s="9" t="s">
        <v>56</v>
      </c>
      <c r="G185" s="62">
        <v>39</v>
      </c>
    </row>
    <row r="186" spans="1:7" x14ac:dyDescent="0.2">
      <c r="A186" s="9" t="s">
        <v>516</v>
      </c>
      <c r="B186" s="9" t="s">
        <v>644</v>
      </c>
      <c r="C186" s="9" t="s">
        <v>606</v>
      </c>
      <c r="D186" s="9" t="s">
        <v>762</v>
      </c>
      <c r="E186" s="9" t="s">
        <v>544</v>
      </c>
      <c r="F186" s="9" t="s">
        <v>56</v>
      </c>
      <c r="G186" s="62">
        <v>33</v>
      </c>
    </row>
    <row r="187" spans="1:7" x14ac:dyDescent="0.2">
      <c r="A187" s="9" t="s">
        <v>516</v>
      </c>
      <c r="B187" s="9" t="s">
        <v>646</v>
      </c>
      <c r="C187" s="9" t="s">
        <v>606</v>
      </c>
      <c r="D187" s="9" t="s">
        <v>763</v>
      </c>
      <c r="E187" s="9" t="s">
        <v>544</v>
      </c>
      <c r="F187" s="9" t="s">
        <v>56</v>
      </c>
      <c r="G187" s="62">
        <v>46</v>
      </c>
    </row>
    <row r="188" spans="1:7" x14ac:dyDescent="0.2">
      <c r="A188" s="9" t="s">
        <v>516</v>
      </c>
      <c r="B188" s="9" t="s">
        <v>650</v>
      </c>
      <c r="C188" s="9" t="s">
        <v>764</v>
      </c>
      <c r="D188" s="9" t="s">
        <v>574</v>
      </c>
      <c r="E188" s="9" t="s">
        <v>550</v>
      </c>
      <c r="F188" s="9" t="s">
        <v>55</v>
      </c>
      <c r="G188" s="62">
        <v>29</v>
      </c>
    </row>
    <row r="189" spans="1:7" x14ac:dyDescent="0.2">
      <c r="A189" s="9" t="s">
        <v>516</v>
      </c>
      <c r="B189" s="9" t="s">
        <v>652</v>
      </c>
      <c r="C189" s="9" t="s">
        <v>764</v>
      </c>
      <c r="D189" s="9" t="s">
        <v>574</v>
      </c>
      <c r="E189" s="9" t="s">
        <v>550</v>
      </c>
      <c r="F189" s="9" t="s">
        <v>55</v>
      </c>
      <c r="G189" s="62">
        <v>29</v>
      </c>
    </row>
    <row r="190" spans="1:7" x14ac:dyDescent="0.2">
      <c r="A190" s="9" t="s">
        <v>516</v>
      </c>
      <c r="B190" s="9" t="s">
        <v>654</v>
      </c>
      <c r="C190" s="9" t="s">
        <v>765</v>
      </c>
      <c r="D190" s="9" t="s">
        <v>574</v>
      </c>
      <c r="E190" s="9" t="s">
        <v>550</v>
      </c>
      <c r="F190" s="9" t="s">
        <v>494</v>
      </c>
      <c r="G190" s="62">
        <v>29</v>
      </c>
    </row>
    <row r="191" spans="1:7" x14ac:dyDescent="0.2">
      <c r="A191" s="9" t="s">
        <v>516</v>
      </c>
      <c r="B191" s="9" t="s">
        <v>655</v>
      </c>
      <c r="C191" s="9" t="s">
        <v>765</v>
      </c>
      <c r="D191" s="9" t="s">
        <v>574</v>
      </c>
      <c r="E191" s="9" t="s">
        <v>550</v>
      </c>
      <c r="F191" s="9" t="s">
        <v>25</v>
      </c>
      <c r="G191" s="62">
        <v>29</v>
      </c>
    </row>
    <row r="192" spans="1:7" x14ac:dyDescent="0.2">
      <c r="A192" s="9" t="s">
        <v>516</v>
      </c>
      <c r="B192" s="9" t="s">
        <v>656</v>
      </c>
      <c r="C192" s="9" t="s">
        <v>766</v>
      </c>
      <c r="D192" s="9" t="s">
        <v>767</v>
      </c>
      <c r="E192" s="9" t="s">
        <v>544</v>
      </c>
      <c r="F192" s="9" t="s">
        <v>56</v>
      </c>
      <c r="G192" s="62">
        <v>24</v>
      </c>
    </row>
    <row r="193" spans="1:7" x14ac:dyDescent="0.2">
      <c r="A193" s="9" t="s">
        <v>516</v>
      </c>
      <c r="B193" s="9" t="s">
        <v>657</v>
      </c>
      <c r="C193" s="9" t="s">
        <v>768</v>
      </c>
      <c r="D193" s="9" t="s">
        <v>748</v>
      </c>
      <c r="E193" s="9" t="s">
        <v>544</v>
      </c>
      <c r="F193" s="9" t="s">
        <v>56</v>
      </c>
      <c r="G193" s="62">
        <v>16</v>
      </c>
    </row>
    <row r="194" spans="1:7" x14ac:dyDescent="0.2">
      <c r="A194" s="9" t="s">
        <v>516</v>
      </c>
      <c r="B194" s="9" t="s">
        <v>658</v>
      </c>
      <c r="C194" s="9" t="s">
        <v>769</v>
      </c>
      <c r="D194" s="9" t="s">
        <v>748</v>
      </c>
      <c r="E194" s="9" t="s">
        <v>544</v>
      </c>
      <c r="F194" s="9" t="s">
        <v>56</v>
      </c>
      <c r="G194" s="62">
        <v>16</v>
      </c>
    </row>
    <row r="195" spans="1:7" x14ac:dyDescent="0.2">
      <c r="A195" s="9" t="s">
        <v>516</v>
      </c>
      <c r="B195" s="9" t="s">
        <v>659</v>
      </c>
      <c r="C195" s="9" t="s">
        <v>770</v>
      </c>
      <c r="D195" s="9" t="s">
        <v>771</v>
      </c>
      <c r="E195" s="9" t="s">
        <v>544</v>
      </c>
      <c r="F195" s="9" t="s">
        <v>56</v>
      </c>
      <c r="G195" s="62">
        <f>32+4*4</f>
        <v>48</v>
      </c>
    </row>
    <row r="196" spans="1:7" x14ac:dyDescent="0.2">
      <c r="A196" s="9" t="s">
        <v>516</v>
      </c>
      <c r="B196" s="9" t="s">
        <v>661</v>
      </c>
      <c r="C196" s="9" t="s">
        <v>770</v>
      </c>
      <c r="D196" s="9" t="s">
        <v>741</v>
      </c>
      <c r="E196" s="9" t="s">
        <v>550</v>
      </c>
      <c r="F196" s="9" t="s">
        <v>25</v>
      </c>
      <c r="G196" s="62">
        <f>95</f>
        <v>95</v>
      </c>
    </row>
    <row r="197" spans="1:7" x14ac:dyDescent="0.2">
      <c r="A197" s="9" t="s">
        <v>516</v>
      </c>
      <c r="B197" s="9" t="s">
        <v>663</v>
      </c>
      <c r="C197" s="9" t="s">
        <v>772</v>
      </c>
      <c r="D197" s="9" t="s">
        <v>748</v>
      </c>
      <c r="E197" s="9" t="s">
        <v>544</v>
      </c>
      <c r="F197" s="9" t="s">
        <v>56</v>
      </c>
      <c r="G197" s="62">
        <v>17</v>
      </c>
    </row>
    <row r="198" spans="1:7" x14ac:dyDescent="0.2">
      <c r="A198" s="9" t="s">
        <v>516</v>
      </c>
      <c r="B198" s="9" t="s">
        <v>666</v>
      </c>
      <c r="C198" s="9" t="s">
        <v>710</v>
      </c>
      <c r="D198" s="9" t="s">
        <v>748</v>
      </c>
      <c r="E198" s="9" t="s">
        <v>544</v>
      </c>
      <c r="F198" s="9" t="s">
        <v>25</v>
      </c>
      <c r="G198" s="62">
        <f>30</f>
        <v>30</v>
      </c>
    </row>
    <row r="199" spans="1:7" x14ac:dyDescent="0.2">
      <c r="A199" s="9" t="s">
        <v>516</v>
      </c>
      <c r="B199" s="9" t="s">
        <v>668</v>
      </c>
      <c r="C199" s="10" t="s">
        <v>773</v>
      </c>
      <c r="D199" s="9" t="s">
        <v>774</v>
      </c>
      <c r="E199" s="9" t="s">
        <v>544</v>
      </c>
      <c r="F199" s="9" t="s">
        <v>25</v>
      </c>
      <c r="G199" s="62">
        <v>48</v>
      </c>
    </row>
    <row r="200" spans="1:7" x14ac:dyDescent="0.2">
      <c r="A200" s="9"/>
      <c r="B200" s="9"/>
      <c r="C200" s="10"/>
      <c r="D200" s="9"/>
      <c r="E200" s="9" t="s">
        <v>537</v>
      </c>
      <c r="F200" s="9" t="s">
        <v>488</v>
      </c>
      <c r="G200" s="62">
        <v>20</v>
      </c>
    </row>
    <row r="201" spans="1:7" x14ac:dyDescent="0.2">
      <c r="A201" s="10"/>
      <c r="B201" s="10"/>
      <c r="C201" s="10"/>
      <c r="D201" s="63" t="s">
        <v>775</v>
      </c>
      <c r="E201" s="10"/>
      <c r="F201" s="10"/>
      <c r="G201" s="62"/>
    </row>
    <row r="202" spans="1:7" x14ac:dyDescent="0.2">
      <c r="A202" s="9" t="s">
        <v>516</v>
      </c>
      <c r="B202" s="9" t="s">
        <v>558</v>
      </c>
      <c r="C202" s="9" t="s">
        <v>237</v>
      </c>
      <c r="D202" s="9" t="s">
        <v>717</v>
      </c>
      <c r="E202" s="9" t="s">
        <v>544</v>
      </c>
      <c r="F202" s="9" t="s">
        <v>58</v>
      </c>
      <c r="G202" s="62">
        <v>0</v>
      </c>
    </row>
    <row r="203" spans="1:7" x14ac:dyDescent="0.2">
      <c r="A203" s="9" t="s">
        <v>516</v>
      </c>
      <c r="B203" s="9" t="s">
        <v>530</v>
      </c>
      <c r="C203" s="10"/>
      <c r="D203" s="9" t="s">
        <v>533</v>
      </c>
      <c r="E203" s="9" t="s">
        <v>687</v>
      </c>
      <c r="F203" s="10"/>
      <c r="G203" s="62">
        <v>10</v>
      </c>
    </row>
    <row r="204" spans="1:7" x14ac:dyDescent="0.2">
      <c r="A204" s="9" t="s">
        <v>522</v>
      </c>
      <c r="B204" s="9" t="s">
        <v>530</v>
      </c>
      <c r="C204" s="9" t="s">
        <v>535</v>
      </c>
      <c r="D204" s="9" t="s">
        <v>536</v>
      </c>
      <c r="E204" s="9" t="s">
        <v>544</v>
      </c>
      <c r="F204" s="9" t="s">
        <v>488</v>
      </c>
      <c r="G204" s="62">
        <v>62</v>
      </c>
    </row>
    <row r="205" spans="1:7" x14ac:dyDescent="0.2">
      <c r="A205" s="9" t="s">
        <v>522</v>
      </c>
      <c r="B205" s="9" t="s">
        <v>401</v>
      </c>
      <c r="C205" s="9" t="s">
        <v>239</v>
      </c>
      <c r="D205" s="9" t="s">
        <v>776</v>
      </c>
      <c r="E205" s="9" t="s">
        <v>544</v>
      </c>
      <c r="F205" s="9" t="s">
        <v>488</v>
      </c>
      <c r="G205" s="62">
        <v>0</v>
      </c>
    </row>
    <row r="206" spans="1:7" x14ac:dyDescent="0.2">
      <c r="A206" s="9" t="s">
        <v>522</v>
      </c>
      <c r="B206" s="9" t="s">
        <v>545</v>
      </c>
      <c r="C206" s="10" t="s">
        <v>777</v>
      </c>
      <c r="D206" s="9" t="s">
        <v>778</v>
      </c>
      <c r="E206" s="9" t="s">
        <v>544</v>
      </c>
      <c r="F206" s="9" t="s">
        <v>488</v>
      </c>
      <c r="G206" s="62">
        <v>10</v>
      </c>
    </row>
    <row r="207" spans="1:7" x14ac:dyDescent="0.2">
      <c r="A207" s="9" t="s">
        <v>516</v>
      </c>
      <c r="B207" s="9" t="s">
        <v>401</v>
      </c>
      <c r="C207" s="9" t="s">
        <v>576</v>
      </c>
      <c r="D207" s="9" t="s">
        <v>748</v>
      </c>
      <c r="E207" s="9" t="s">
        <v>544</v>
      </c>
      <c r="F207" s="9" t="s">
        <v>25</v>
      </c>
      <c r="G207" s="62">
        <v>19</v>
      </c>
    </row>
    <row r="208" spans="1:7" x14ac:dyDescent="0.2">
      <c r="A208" s="9" t="s">
        <v>516</v>
      </c>
      <c r="B208" s="9" t="s">
        <v>545</v>
      </c>
      <c r="C208" s="9" t="s">
        <v>576</v>
      </c>
      <c r="D208" s="9" t="s">
        <v>748</v>
      </c>
      <c r="E208" s="9" t="s">
        <v>544</v>
      </c>
      <c r="F208" s="9" t="s">
        <v>25</v>
      </c>
      <c r="G208" s="62">
        <v>18</v>
      </c>
    </row>
    <row r="209" spans="1:7" x14ac:dyDescent="0.2">
      <c r="A209" s="9" t="s">
        <v>516</v>
      </c>
      <c r="B209" s="9" t="s">
        <v>547</v>
      </c>
      <c r="C209" s="9" t="s">
        <v>576</v>
      </c>
      <c r="D209" s="9" t="s">
        <v>559</v>
      </c>
      <c r="E209" s="9" t="s">
        <v>544</v>
      </c>
      <c r="F209" s="9" t="s">
        <v>25</v>
      </c>
      <c r="G209" s="62">
        <v>22</v>
      </c>
    </row>
    <row r="210" spans="1:7" x14ac:dyDescent="0.2">
      <c r="A210" s="9" t="s">
        <v>516</v>
      </c>
      <c r="B210" s="9" t="s">
        <v>405</v>
      </c>
      <c r="C210" s="9" t="s">
        <v>606</v>
      </c>
      <c r="D210" s="9" t="s">
        <v>559</v>
      </c>
      <c r="E210" s="9" t="s">
        <v>544</v>
      </c>
      <c r="F210" s="9" t="s">
        <v>56</v>
      </c>
      <c r="G210" s="62">
        <v>16</v>
      </c>
    </row>
    <row r="211" spans="1:7" x14ac:dyDescent="0.2">
      <c r="A211" s="9" t="s">
        <v>516</v>
      </c>
      <c r="B211" s="9" t="s">
        <v>52</v>
      </c>
      <c r="C211" s="9" t="s">
        <v>606</v>
      </c>
      <c r="D211" s="9" t="s">
        <v>559</v>
      </c>
      <c r="E211" s="9" t="s">
        <v>544</v>
      </c>
      <c r="F211" s="9" t="s">
        <v>56</v>
      </c>
      <c r="G211" s="62">
        <v>24</v>
      </c>
    </row>
    <row r="212" spans="1:7" x14ac:dyDescent="0.2">
      <c r="A212" s="9" t="s">
        <v>516</v>
      </c>
      <c r="B212" s="9" t="s">
        <v>555</v>
      </c>
      <c r="C212" s="9" t="s">
        <v>606</v>
      </c>
      <c r="D212" s="9" t="s">
        <v>559</v>
      </c>
      <c r="E212" s="9" t="s">
        <v>544</v>
      </c>
      <c r="F212" s="9" t="s">
        <v>56</v>
      </c>
      <c r="G212" s="62">
        <v>15</v>
      </c>
    </row>
    <row r="213" spans="1:7" x14ac:dyDescent="0.2">
      <c r="A213" s="9" t="s">
        <v>516</v>
      </c>
      <c r="B213" s="9" t="s">
        <v>558</v>
      </c>
      <c r="C213" s="9" t="s">
        <v>606</v>
      </c>
      <c r="D213" s="9" t="s">
        <v>559</v>
      </c>
      <c r="E213" s="9" t="s">
        <v>544</v>
      </c>
      <c r="F213" s="9" t="s">
        <v>56</v>
      </c>
      <c r="G213" s="62">
        <v>14</v>
      </c>
    </row>
    <row r="214" spans="1:7" x14ac:dyDescent="0.2">
      <c r="A214" s="9" t="s">
        <v>516</v>
      </c>
      <c r="B214" s="9" t="s">
        <v>560</v>
      </c>
      <c r="C214" s="9" t="s">
        <v>606</v>
      </c>
      <c r="D214" s="9" t="s">
        <v>559</v>
      </c>
      <c r="E214" s="9" t="s">
        <v>544</v>
      </c>
      <c r="F214" s="9" t="s">
        <v>56</v>
      </c>
      <c r="G214" s="62">
        <v>17</v>
      </c>
    </row>
    <row r="215" spans="1:7" x14ac:dyDescent="0.2">
      <c r="A215" s="9" t="s">
        <v>516</v>
      </c>
      <c r="B215" s="9" t="s">
        <v>697</v>
      </c>
      <c r="C215" s="9" t="s">
        <v>606</v>
      </c>
      <c r="D215" s="9" t="s">
        <v>559</v>
      </c>
      <c r="E215" s="9" t="s">
        <v>544</v>
      </c>
      <c r="F215" s="9" t="s">
        <v>56</v>
      </c>
      <c r="G215" s="62">
        <v>12</v>
      </c>
    </row>
    <row r="216" spans="1:7" x14ac:dyDescent="0.2">
      <c r="A216" s="9" t="s">
        <v>516</v>
      </c>
      <c r="B216" s="9" t="s">
        <v>699</v>
      </c>
      <c r="C216" s="9" t="s">
        <v>606</v>
      </c>
      <c r="D216" s="9" t="s">
        <v>559</v>
      </c>
      <c r="E216" s="9" t="s">
        <v>544</v>
      </c>
      <c r="F216" s="9" t="s">
        <v>56</v>
      </c>
      <c r="G216" s="62">
        <v>12</v>
      </c>
    </row>
    <row r="217" spans="1:7" x14ac:dyDescent="0.2">
      <c r="A217" s="9" t="s">
        <v>516</v>
      </c>
      <c r="B217" s="9" t="s">
        <v>701</v>
      </c>
      <c r="C217" s="9" t="s">
        <v>606</v>
      </c>
      <c r="D217" s="9" t="s">
        <v>559</v>
      </c>
      <c r="E217" s="9" t="s">
        <v>544</v>
      </c>
      <c r="F217" s="9" t="s">
        <v>56</v>
      </c>
      <c r="G217" s="62">
        <v>20</v>
      </c>
    </row>
    <row r="218" spans="1:7" x14ac:dyDescent="0.2">
      <c r="A218" s="9" t="s">
        <v>516</v>
      </c>
      <c r="B218" s="9" t="s">
        <v>564</v>
      </c>
      <c r="C218" s="9" t="s">
        <v>606</v>
      </c>
      <c r="D218" s="9" t="s">
        <v>748</v>
      </c>
      <c r="E218" s="9" t="s">
        <v>544</v>
      </c>
      <c r="F218" s="9" t="s">
        <v>56</v>
      </c>
      <c r="G218" s="62">
        <v>20</v>
      </c>
    </row>
    <row r="219" spans="1:7" x14ac:dyDescent="0.2">
      <c r="A219" s="9" t="s">
        <v>516</v>
      </c>
      <c r="B219" s="9" t="s">
        <v>567</v>
      </c>
      <c r="C219" s="9" t="s">
        <v>606</v>
      </c>
      <c r="D219" s="9" t="s">
        <v>748</v>
      </c>
      <c r="E219" s="9" t="s">
        <v>544</v>
      </c>
      <c r="F219" s="9" t="s">
        <v>56</v>
      </c>
      <c r="G219" s="62">
        <v>18</v>
      </c>
    </row>
    <row r="220" spans="1:7" x14ac:dyDescent="0.2">
      <c r="A220" s="9" t="s">
        <v>516</v>
      </c>
      <c r="B220" s="9" t="s">
        <v>569</v>
      </c>
      <c r="C220" s="9" t="s">
        <v>606</v>
      </c>
      <c r="D220" s="9" t="s">
        <v>748</v>
      </c>
      <c r="E220" s="9" t="s">
        <v>544</v>
      </c>
      <c r="F220" s="9" t="s">
        <v>56</v>
      </c>
      <c r="G220" s="62">
        <v>15</v>
      </c>
    </row>
    <row r="221" spans="1:7" x14ac:dyDescent="0.2">
      <c r="A221" s="9" t="s">
        <v>516</v>
      </c>
      <c r="B221" s="9" t="s">
        <v>73</v>
      </c>
      <c r="C221" s="9" t="s">
        <v>606</v>
      </c>
      <c r="D221" s="9" t="s">
        <v>748</v>
      </c>
      <c r="E221" s="9" t="s">
        <v>544</v>
      </c>
      <c r="F221" s="9" t="s">
        <v>56</v>
      </c>
      <c r="G221" s="62">
        <v>13</v>
      </c>
    </row>
    <row r="222" spans="1:7" x14ac:dyDescent="0.2">
      <c r="A222" s="9" t="s">
        <v>516</v>
      </c>
      <c r="B222" s="9" t="s">
        <v>572</v>
      </c>
      <c r="C222" s="9" t="s">
        <v>606</v>
      </c>
      <c r="D222" s="9" t="s">
        <v>559</v>
      </c>
      <c r="E222" s="9" t="s">
        <v>544</v>
      </c>
      <c r="F222" s="9" t="s">
        <v>56</v>
      </c>
      <c r="G222" s="62">
        <v>13</v>
      </c>
    </row>
    <row r="223" spans="1:7" x14ac:dyDescent="0.2">
      <c r="A223" s="9" t="s">
        <v>516</v>
      </c>
      <c r="B223" s="9" t="s">
        <v>707</v>
      </c>
      <c r="C223" s="9" t="s">
        <v>606</v>
      </c>
      <c r="D223" s="9" t="s">
        <v>559</v>
      </c>
      <c r="E223" s="9" t="s">
        <v>544</v>
      </c>
      <c r="F223" s="9" t="s">
        <v>56</v>
      </c>
      <c r="G223" s="62">
        <v>16</v>
      </c>
    </row>
    <row r="224" spans="1:7" x14ac:dyDescent="0.2">
      <c r="A224" s="9" t="s">
        <v>516</v>
      </c>
      <c r="B224" s="9" t="s">
        <v>709</v>
      </c>
      <c r="C224" s="9" t="s">
        <v>606</v>
      </c>
      <c r="D224" s="9" t="s">
        <v>748</v>
      </c>
      <c r="E224" s="9" t="s">
        <v>544</v>
      </c>
      <c r="F224" s="9" t="s">
        <v>56</v>
      </c>
      <c r="G224" s="62">
        <v>11</v>
      </c>
    </row>
    <row r="225" spans="1:7" x14ac:dyDescent="0.2">
      <c r="A225" s="10"/>
      <c r="B225" s="10"/>
      <c r="C225" s="10"/>
      <c r="D225" s="63" t="s">
        <v>779</v>
      </c>
      <c r="E225" s="10"/>
      <c r="F225" s="10"/>
      <c r="G225" s="62"/>
    </row>
    <row r="226" spans="1:7" x14ac:dyDescent="0.2">
      <c r="A226" s="9" t="s">
        <v>516</v>
      </c>
      <c r="B226" s="9" t="s">
        <v>517</v>
      </c>
      <c r="C226" s="9" t="s">
        <v>239</v>
      </c>
      <c r="D226" s="9" t="s">
        <v>686</v>
      </c>
      <c r="E226" s="9" t="s">
        <v>79</v>
      </c>
      <c r="F226" s="9" t="s">
        <v>491</v>
      </c>
      <c r="G226" s="62">
        <v>0</v>
      </c>
    </row>
    <row r="227" spans="1:7" x14ac:dyDescent="0.2">
      <c r="A227" s="9" t="s">
        <v>516</v>
      </c>
      <c r="B227" s="9" t="s">
        <v>530</v>
      </c>
      <c r="C227" s="10"/>
      <c r="D227" s="9" t="s">
        <v>533</v>
      </c>
      <c r="E227" s="9" t="s">
        <v>687</v>
      </c>
      <c r="F227" s="10"/>
      <c r="G227" s="62">
        <v>10</v>
      </c>
    </row>
    <row r="228" spans="1:7" x14ac:dyDescent="0.2">
      <c r="A228" s="9" t="s">
        <v>522</v>
      </c>
      <c r="B228" s="9" t="s">
        <v>530</v>
      </c>
      <c r="C228" s="9" t="s">
        <v>535</v>
      </c>
      <c r="D228" s="9" t="s">
        <v>536</v>
      </c>
      <c r="E228" s="9" t="s">
        <v>544</v>
      </c>
      <c r="F228" s="9" t="s">
        <v>488</v>
      </c>
      <c r="G228" s="62">
        <v>79</v>
      </c>
    </row>
    <row r="229" spans="1:7" x14ac:dyDescent="0.2">
      <c r="A229" s="9" t="s">
        <v>522</v>
      </c>
      <c r="B229" s="9" t="s">
        <v>547</v>
      </c>
      <c r="C229" s="9" t="s">
        <v>239</v>
      </c>
      <c r="D229" s="9" t="s">
        <v>689</v>
      </c>
      <c r="E229" s="9" t="s">
        <v>544</v>
      </c>
      <c r="F229" s="9" t="s">
        <v>488</v>
      </c>
      <c r="G229" s="62">
        <v>0</v>
      </c>
    </row>
    <row r="230" spans="1:7" x14ac:dyDescent="0.2">
      <c r="A230" s="9" t="s">
        <v>522</v>
      </c>
      <c r="B230" s="9" t="s">
        <v>545</v>
      </c>
      <c r="C230" s="9" t="s">
        <v>576</v>
      </c>
      <c r="D230" s="9" t="s">
        <v>780</v>
      </c>
      <c r="E230" s="9" t="s">
        <v>544</v>
      </c>
      <c r="F230" s="9" t="s">
        <v>488</v>
      </c>
      <c r="G230" s="62">
        <v>66</v>
      </c>
    </row>
    <row r="231" spans="1:7" x14ac:dyDescent="0.2">
      <c r="A231" s="9" t="s">
        <v>516</v>
      </c>
      <c r="B231" s="9" t="s">
        <v>401</v>
      </c>
      <c r="C231" s="9" t="s">
        <v>576</v>
      </c>
      <c r="D231" s="9" t="s">
        <v>781</v>
      </c>
      <c r="E231" s="9" t="s">
        <v>544</v>
      </c>
      <c r="F231" s="9" t="s">
        <v>25</v>
      </c>
      <c r="G231" s="62">
        <f>21+6*3+5*4</f>
        <v>59</v>
      </c>
    </row>
    <row r="232" spans="1:7" x14ac:dyDescent="0.2">
      <c r="A232" s="9" t="s">
        <v>516</v>
      </c>
      <c r="B232" s="9" t="s">
        <v>405</v>
      </c>
      <c r="C232" s="9" t="s">
        <v>606</v>
      </c>
      <c r="D232" s="9" t="s">
        <v>366</v>
      </c>
      <c r="E232" s="9" t="s">
        <v>544</v>
      </c>
      <c r="F232" s="9" t="s">
        <v>56</v>
      </c>
      <c r="G232" s="62">
        <v>18</v>
      </c>
    </row>
    <row r="233" spans="1:7" x14ac:dyDescent="0.2">
      <c r="A233" s="9" t="s">
        <v>516</v>
      </c>
      <c r="B233" s="9" t="s">
        <v>52</v>
      </c>
      <c r="C233" s="9" t="s">
        <v>606</v>
      </c>
      <c r="D233" s="9" t="s">
        <v>366</v>
      </c>
      <c r="E233" s="9" t="s">
        <v>544</v>
      </c>
      <c r="F233" s="9" t="s">
        <v>56</v>
      </c>
      <c r="G233" s="62">
        <v>16</v>
      </c>
    </row>
    <row r="234" spans="1:7" x14ac:dyDescent="0.2">
      <c r="A234" s="9" t="s">
        <v>516</v>
      </c>
      <c r="B234" s="9" t="s">
        <v>555</v>
      </c>
      <c r="C234" s="9" t="s">
        <v>606</v>
      </c>
      <c r="D234" s="9" t="s">
        <v>782</v>
      </c>
      <c r="E234" s="9" t="s">
        <v>544</v>
      </c>
      <c r="F234" s="9" t="s">
        <v>56</v>
      </c>
      <c r="G234" s="62">
        <v>19</v>
      </c>
    </row>
    <row r="235" spans="1:7" x14ac:dyDescent="0.2">
      <c r="A235" s="9" t="s">
        <v>516</v>
      </c>
      <c r="B235" s="9" t="s">
        <v>558</v>
      </c>
      <c r="C235" s="9" t="s">
        <v>606</v>
      </c>
      <c r="D235" s="9" t="s">
        <v>782</v>
      </c>
      <c r="E235" s="9" t="s">
        <v>544</v>
      </c>
      <c r="F235" s="9" t="s">
        <v>56</v>
      </c>
      <c r="G235" s="62">
        <v>16</v>
      </c>
    </row>
    <row r="236" spans="1:7" x14ac:dyDescent="0.2">
      <c r="A236" s="9" t="s">
        <v>516</v>
      </c>
      <c r="B236" s="9" t="s">
        <v>560</v>
      </c>
      <c r="C236" s="9" t="s">
        <v>606</v>
      </c>
      <c r="D236" s="9" t="s">
        <v>783</v>
      </c>
      <c r="E236" s="9" t="s">
        <v>544</v>
      </c>
      <c r="F236" s="9" t="s">
        <v>56</v>
      </c>
      <c r="G236" s="62">
        <v>21</v>
      </c>
    </row>
    <row r="237" spans="1:7" x14ac:dyDescent="0.2">
      <c r="A237" s="10"/>
      <c r="B237" s="10"/>
      <c r="C237" s="10"/>
      <c r="D237" s="63" t="s">
        <v>784</v>
      </c>
      <c r="E237" s="10"/>
      <c r="F237" s="10"/>
      <c r="G237" s="62"/>
    </row>
    <row r="238" spans="1:7" x14ac:dyDescent="0.2">
      <c r="A238" s="9" t="s">
        <v>516</v>
      </c>
      <c r="B238" s="9" t="s">
        <v>560</v>
      </c>
      <c r="C238" s="9" t="s">
        <v>237</v>
      </c>
      <c r="D238" s="9" t="s">
        <v>717</v>
      </c>
      <c r="E238" s="9" t="s">
        <v>544</v>
      </c>
      <c r="F238" s="9" t="s">
        <v>58</v>
      </c>
      <c r="G238" s="62">
        <v>0</v>
      </c>
    </row>
    <row r="239" spans="1:7" x14ac:dyDescent="0.2">
      <c r="A239" s="9" t="s">
        <v>516</v>
      </c>
      <c r="B239" s="9" t="s">
        <v>530</v>
      </c>
      <c r="C239" s="10"/>
      <c r="D239" s="9" t="s">
        <v>533</v>
      </c>
      <c r="E239" s="9" t="s">
        <v>687</v>
      </c>
      <c r="F239" s="10"/>
      <c r="G239" s="62">
        <v>10</v>
      </c>
    </row>
    <row r="240" spans="1:7" x14ac:dyDescent="0.2">
      <c r="A240" s="9" t="s">
        <v>522</v>
      </c>
      <c r="B240" s="9" t="s">
        <v>530</v>
      </c>
      <c r="C240" s="9" t="s">
        <v>535</v>
      </c>
      <c r="D240" s="9" t="s">
        <v>536</v>
      </c>
      <c r="E240" s="9" t="s">
        <v>544</v>
      </c>
      <c r="F240" s="9" t="s">
        <v>488</v>
      </c>
      <c r="G240" s="62">
        <v>76</v>
      </c>
    </row>
    <row r="241" spans="1:7" x14ac:dyDescent="0.2">
      <c r="A241" s="9" t="s">
        <v>522</v>
      </c>
      <c r="B241" s="9" t="s">
        <v>718</v>
      </c>
      <c r="C241" s="10" t="s">
        <v>239</v>
      </c>
      <c r="D241" s="9" t="s">
        <v>543</v>
      </c>
      <c r="E241" s="9" t="s">
        <v>541</v>
      </c>
      <c r="F241" s="10"/>
      <c r="G241" s="62">
        <v>0</v>
      </c>
    </row>
    <row r="242" spans="1:7" x14ac:dyDescent="0.2">
      <c r="A242" s="9" t="s">
        <v>522</v>
      </c>
      <c r="B242" s="9" t="s">
        <v>785</v>
      </c>
      <c r="C242" s="10" t="s">
        <v>243</v>
      </c>
      <c r="D242" s="9" t="s">
        <v>546</v>
      </c>
      <c r="E242" s="9" t="s">
        <v>541</v>
      </c>
      <c r="F242" s="10"/>
      <c r="G242" s="62">
        <v>30</v>
      </c>
    </row>
    <row r="243" spans="1:7" x14ac:dyDescent="0.2">
      <c r="A243" s="9" t="s">
        <v>522</v>
      </c>
      <c r="B243" s="9" t="s">
        <v>173</v>
      </c>
      <c r="C243" s="9" t="s">
        <v>576</v>
      </c>
      <c r="D243" s="9" t="s">
        <v>786</v>
      </c>
      <c r="E243" s="9" t="s">
        <v>550</v>
      </c>
      <c r="F243" s="9" t="s">
        <v>488</v>
      </c>
      <c r="G243" s="62">
        <f>86+7*9*2</f>
        <v>212</v>
      </c>
    </row>
    <row r="244" spans="1:7" x14ac:dyDescent="0.2">
      <c r="A244" s="9" t="s">
        <v>522</v>
      </c>
      <c r="B244" s="10"/>
      <c r="C244" s="9" t="s">
        <v>239</v>
      </c>
      <c r="D244" s="9" t="s">
        <v>543</v>
      </c>
      <c r="E244" s="9" t="s">
        <v>721</v>
      </c>
      <c r="F244" s="10"/>
      <c r="G244" s="62">
        <v>0</v>
      </c>
    </row>
    <row r="245" spans="1:7" x14ac:dyDescent="0.2">
      <c r="A245" s="9" t="s">
        <v>522</v>
      </c>
      <c r="B245" s="9" t="s">
        <v>558</v>
      </c>
      <c r="C245" s="9" t="s">
        <v>576</v>
      </c>
      <c r="D245" s="9" t="s">
        <v>787</v>
      </c>
      <c r="E245" s="9" t="s">
        <v>544</v>
      </c>
      <c r="F245" s="9" t="s">
        <v>488</v>
      </c>
      <c r="G245" s="62">
        <f>98+7*9*2</f>
        <v>224</v>
      </c>
    </row>
    <row r="246" spans="1:7" x14ac:dyDescent="0.2">
      <c r="A246" s="9" t="s">
        <v>522</v>
      </c>
      <c r="B246" s="9" t="s">
        <v>560</v>
      </c>
      <c r="C246" s="9" t="s">
        <v>576</v>
      </c>
      <c r="D246" s="9" t="s">
        <v>788</v>
      </c>
      <c r="E246" s="9" t="s">
        <v>544</v>
      </c>
      <c r="F246" s="9" t="s">
        <v>488</v>
      </c>
      <c r="G246" s="62">
        <f>100+6*9*2</f>
        <v>208</v>
      </c>
    </row>
    <row r="247" spans="1:7" x14ac:dyDescent="0.2">
      <c r="A247" s="9" t="s">
        <v>522</v>
      </c>
      <c r="B247" s="10"/>
      <c r="C247" s="9" t="s">
        <v>239</v>
      </c>
      <c r="D247" s="9" t="s">
        <v>543</v>
      </c>
      <c r="E247" s="9" t="s">
        <v>721</v>
      </c>
      <c r="F247" s="10"/>
      <c r="G247" s="62">
        <v>0</v>
      </c>
    </row>
    <row r="248" spans="1:7" x14ac:dyDescent="0.2">
      <c r="A248" s="9" t="s">
        <v>522</v>
      </c>
      <c r="B248" s="9" t="s">
        <v>697</v>
      </c>
      <c r="C248" s="9" t="s">
        <v>576</v>
      </c>
      <c r="D248" s="9" t="s">
        <v>789</v>
      </c>
      <c r="E248" s="9" t="s">
        <v>544</v>
      </c>
      <c r="F248" s="9" t="s">
        <v>488</v>
      </c>
      <c r="G248" s="62">
        <f>112+7*9*2</f>
        <v>238</v>
      </c>
    </row>
    <row r="249" spans="1:7" x14ac:dyDescent="0.2">
      <c r="A249" s="9" t="s">
        <v>522</v>
      </c>
      <c r="B249" s="9" t="s">
        <v>405</v>
      </c>
      <c r="C249" s="9" t="s">
        <v>576</v>
      </c>
      <c r="D249" s="9" t="s">
        <v>790</v>
      </c>
      <c r="E249" s="9" t="s">
        <v>544</v>
      </c>
      <c r="F249" s="9" t="s">
        <v>488</v>
      </c>
      <c r="G249" s="65">
        <v>175</v>
      </c>
    </row>
    <row r="250" spans="1:7" x14ac:dyDescent="0.2">
      <c r="A250" s="9" t="s">
        <v>522</v>
      </c>
      <c r="B250" s="10"/>
      <c r="C250" s="9" t="s">
        <v>239</v>
      </c>
      <c r="D250" s="9" t="s">
        <v>543</v>
      </c>
      <c r="E250" s="9" t="s">
        <v>721</v>
      </c>
      <c r="F250" s="10"/>
      <c r="G250" s="62">
        <v>0</v>
      </c>
    </row>
    <row r="251" spans="1:7" x14ac:dyDescent="0.2">
      <c r="A251" s="9" t="s">
        <v>522</v>
      </c>
      <c r="B251" s="9" t="s">
        <v>401</v>
      </c>
      <c r="C251" s="9" t="s">
        <v>576</v>
      </c>
      <c r="D251" s="9" t="s">
        <v>791</v>
      </c>
      <c r="E251" s="9" t="s">
        <v>550</v>
      </c>
      <c r="F251" s="9" t="s">
        <v>488</v>
      </c>
      <c r="G251" s="62">
        <f>78+6*9*2</f>
        <v>186</v>
      </c>
    </row>
    <row r="252" spans="1:7" x14ac:dyDescent="0.2">
      <c r="A252" s="9" t="s">
        <v>522</v>
      </c>
      <c r="B252" s="10"/>
      <c r="C252" s="9" t="s">
        <v>239</v>
      </c>
      <c r="D252" s="9" t="s">
        <v>543</v>
      </c>
      <c r="E252" s="9" t="s">
        <v>721</v>
      </c>
      <c r="F252" s="10"/>
      <c r="G252" s="62">
        <v>0</v>
      </c>
    </row>
    <row r="253" spans="1:7" x14ac:dyDescent="0.2">
      <c r="A253" s="9" t="s">
        <v>516</v>
      </c>
      <c r="B253" s="9" t="s">
        <v>401</v>
      </c>
      <c r="C253" s="9" t="s">
        <v>792</v>
      </c>
      <c r="D253" s="9" t="s">
        <v>741</v>
      </c>
      <c r="E253" s="9" t="s">
        <v>550</v>
      </c>
      <c r="F253" s="9" t="s">
        <v>56</v>
      </c>
      <c r="G253" s="62">
        <f>75+3*9*2</f>
        <v>129</v>
      </c>
    </row>
    <row r="254" spans="1:7" x14ac:dyDescent="0.2">
      <c r="A254" s="9" t="s">
        <v>516</v>
      </c>
      <c r="B254" s="9" t="s">
        <v>545</v>
      </c>
      <c r="C254" s="9" t="s">
        <v>793</v>
      </c>
      <c r="D254" s="9" t="s">
        <v>741</v>
      </c>
      <c r="E254" s="9" t="s">
        <v>550</v>
      </c>
      <c r="F254" s="9" t="s">
        <v>56</v>
      </c>
      <c r="G254" s="62">
        <f>79+4*9*2</f>
        <v>151</v>
      </c>
    </row>
    <row r="255" spans="1:7" x14ac:dyDescent="0.2">
      <c r="A255" s="9" t="s">
        <v>516</v>
      </c>
      <c r="B255" s="9" t="s">
        <v>547</v>
      </c>
      <c r="C255" s="9" t="s">
        <v>792</v>
      </c>
      <c r="D255" s="9" t="s">
        <v>741</v>
      </c>
      <c r="E255" s="9" t="s">
        <v>550</v>
      </c>
      <c r="F255" s="9" t="s">
        <v>56</v>
      </c>
      <c r="G255" s="62">
        <f>68+3*9*2</f>
        <v>122</v>
      </c>
    </row>
    <row r="256" spans="1:7" x14ac:dyDescent="0.2">
      <c r="A256" s="9" t="s">
        <v>516</v>
      </c>
      <c r="B256" s="9" t="s">
        <v>173</v>
      </c>
      <c r="C256" s="9" t="s">
        <v>792</v>
      </c>
      <c r="D256" s="9" t="s">
        <v>741</v>
      </c>
      <c r="E256" s="9" t="s">
        <v>550</v>
      </c>
      <c r="F256" s="9" t="s">
        <v>25</v>
      </c>
      <c r="G256" s="62">
        <f>61+3*9*2</f>
        <v>115</v>
      </c>
    </row>
    <row r="257" spans="1:7" x14ac:dyDescent="0.2">
      <c r="A257" s="9" t="s">
        <v>516</v>
      </c>
      <c r="B257" s="9" t="s">
        <v>405</v>
      </c>
      <c r="C257" s="9" t="s">
        <v>793</v>
      </c>
      <c r="D257" s="9" t="s">
        <v>741</v>
      </c>
      <c r="E257" s="9" t="s">
        <v>550</v>
      </c>
      <c r="F257" s="9" t="s">
        <v>25</v>
      </c>
      <c r="G257" s="62">
        <f>65+4*9*2</f>
        <v>137</v>
      </c>
    </row>
    <row r="258" spans="1:7" x14ac:dyDescent="0.2">
      <c r="A258" s="9" t="s">
        <v>516</v>
      </c>
      <c r="B258" s="9" t="s">
        <v>52</v>
      </c>
      <c r="C258" s="9" t="s">
        <v>792</v>
      </c>
      <c r="D258" s="9" t="s">
        <v>741</v>
      </c>
      <c r="E258" s="9" t="s">
        <v>550</v>
      </c>
      <c r="F258" s="9" t="s">
        <v>25</v>
      </c>
      <c r="G258" s="62">
        <f>53+3*9*2</f>
        <v>107</v>
      </c>
    </row>
    <row r="259" spans="1:7" x14ac:dyDescent="0.2">
      <c r="A259" s="9" t="s">
        <v>516</v>
      </c>
      <c r="B259" s="9" t="s">
        <v>555</v>
      </c>
      <c r="C259" s="9" t="s">
        <v>792</v>
      </c>
      <c r="D259" s="9" t="s">
        <v>741</v>
      </c>
      <c r="E259" s="9" t="s">
        <v>550</v>
      </c>
      <c r="F259" s="9" t="s">
        <v>25</v>
      </c>
      <c r="G259" s="62">
        <f>48+3*9*2</f>
        <v>102</v>
      </c>
    </row>
    <row r="260" spans="1:7" x14ac:dyDescent="0.2">
      <c r="A260" s="9" t="s">
        <v>516</v>
      </c>
      <c r="B260" s="9" t="s">
        <v>558</v>
      </c>
      <c r="C260" s="9" t="s">
        <v>793</v>
      </c>
      <c r="D260" s="9" t="s">
        <v>741</v>
      </c>
      <c r="E260" s="9" t="s">
        <v>550</v>
      </c>
      <c r="F260" s="9" t="s">
        <v>25</v>
      </c>
      <c r="G260" s="62">
        <f>60+4*9*2</f>
        <v>132</v>
      </c>
    </row>
    <row r="261" spans="1:7" x14ac:dyDescent="0.2">
      <c r="A261" s="9" t="s">
        <v>516</v>
      </c>
      <c r="B261" s="9" t="s">
        <v>560</v>
      </c>
      <c r="C261" s="9" t="s">
        <v>792</v>
      </c>
      <c r="D261" s="9" t="s">
        <v>741</v>
      </c>
      <c r="E261" s="9" t="s">
        <v>550</v>
      </c>
      <c r="F261" s="9" t="s">
        <v>25</v>
      </c>
      <c r="G261" s="62">
        <f>38+3*9*2</f>
        <v>92</v>
      </c>
    </row>
    <row r="262" spans="1:7" x14ac:dyDescent="0.2">
      <c r="A262" s="9" t="s">
        <v>516</v>
      </c>
      <c r="B262" s="9" t="s">
        <v>697</v>
      </c>
      <c r="C262" s="9" t="s">
        <v>792</v>
      </c>
      <c r="D262" s="9" t="s">
        <v>741</v>
      </c>
      <c r="E262" s="9" t="s">
        <v>550</v>
      </c>
      <c r="F262" s="9" t="s">
        <v>25</v>
      </c>
      <c r="G262" s="62">
        <f>42+3*9*2</f>
        <v>96</v>
      </c>
    </row>
    <row r="263" spans="1:7" x14ac:dyDescent="0.2">
      <c r="A263" s="9" t="s">
        <v>516</v>
      </c>
      <c r="B263" s="9" t="s">
        <v>699</v>
      </c>
      <c r="C263" s="9" t="s">
        <v>794</v>
      </c>
      <c r="D263" s="9" t="s">
        <v>741</v>
      </c>
      <c r="E263" s="9" t="s">
        <v>550</v>
      </c>
      <c r="F263" s="9" t="s">
        <v>25</v>
      </c>
      <c r="G263" s="62">
        <f>26+5*3</f>
        <v>41</v>
      </c>
    </row>
    <row r="264" spans="1:7" x14ac:dyDescent="0.2">
      <c r="A264" s="9"/>
      <c r="B264" s="9"/>
      <c r="C264" s="9"/>
      <c r="D264" s="9"/>
      <c r="E264" s="9" t="s">
        <v>550</v>
      </c>
      <c r="F264" s="9" t="s">
        <v>81</v>
      </c>
      <c r="G264" s="62">
        <f>5*(51+4*4)</f>
        <v>335</v>
      </c>
    </row>
    <row r="265" spans="1:7" x14ac:dyDescent="0.2">
      <c r="A265" s="9" t="s">
        <v>516</v>
      </c>
      <c r="B265" s="9" t="s">
        <v>701</v>
      </c>
      <c r="C265" s="9" t="s">
        <v>794</v>
      </c>
      <c r="D265" s="9" t="s">
        <v>741</v>
      </c>
      <c r="E265" s="9" t="s">
        <v>550</v>
      </c>
      <c r="F265" s="9" t="s">
        <v>25</v>
      </c>
      <c r="G265" s="62">
        <f>35+4*3</f>
        <v>47</v>
      </c>
    </row>
    <row r="266" spans="1:7" x14ac:dyDescent="0.2">
      <c r="A266" s="9"/>
      <c r="B266" s="9"/>
      <c r="C266" s="9"/>
      <c r="D266" s="9"/>
      <c r="E266" s="9" t="s">
        <v>550</v>
      </c>
      <c r="F266" s="9" t="s">
        <v>81</v>
      </c>
      <c r="G266" s="62">
        <f>4*(51+4*4)</f>
        <v>268</v>
      </c>
    </row>
    <row r="267" spans="1:7" x14ac:dyDescent="0.2">
      <c r="A267" s="9" t="s">
        <v>516</v>
      </c>
      <c r="B267" s="9" t="s">
        <v>564</v>
      </c>
      <c r="C267" s="9" t="s">
        <v>794</v>
      </c>
      <c r="D267" s="9" t="s">
        <v>741</v>
      </c>
      <c r="E267" s="9" t="s">
        <v>550</v>
      </c>
      <c r="F267" s="9" t="s">
        <v>25</v>
      </c>
      <c r="G267" s="62">
        <f>48+4*3</f>
        <v>60</v>
      </c>
    </row>
    <row r="268" spans="1:7" x14ac:dyDescent="0.2">
      <c r="A268" s="9"/>
      <c r="B268" s="9"/>
      <c r="C268" s="9"/>
      <c r="D268" s="9"/>
      <c r="E268" s="9" t="s">
        <v>550</v>
      </c>
      <c r="F268" s="9" t="s">
        <v>81</v>
      </c>
      <c r="G268" s="62">
        <f>4*(51+4*4)</f>
        <v>268</v>
      </c>
    </row>
    <row r="269" spans="1:7" x14ac:dyDescent="0.2">
      <c r="A269" s="9" t="s">
        <v>516</v>
      </c>
      <c r="B269" s="9" t="s">
        <v>567</v>
      </c>
      <c r="C269" s="9" t="s">
        <v>576</v>
      </c>
      <c r="D269" s="9" t="s">
        <v>741</v>
      </c>
      <c r="E269" s="9" t="s">
        <v>550</v>
      </c>
      <c r="F269" s="9" t="s">
        <v>25</v>
      </c>
      <c r="G269" s="62">
        <f>53+13*3</f>
        <v>92</v>
      </c>
    </row>
    <row r="270" spans="1:7" x14ac:dyDescent="0.2">
      <c r="A270" s="9" t="s">
        <v>516</v>
      </c>
      <c r="B270" s="9" t="s">
        <v>569</v>
      </c>
      <c r="C270" s="9" t="s">
        <v>576</v>
      </c>
      <c r="D270" s="9" t="s">
        <v>741</v>
      </c>
      <c r="E270" s="9" t="s">
        <v>550</v>
      </c>
      <c r="F270" s="9" t="s">
        <v>25</v>
      </c>
      <c r="G270" s="62">
        <f>84+14*3</f>
        <v>126</v>
      </c>
    </row>
    <row r="271" spans="1:7" x14ac:dyDescent="0.2">
      <c r="A271" s="9" t="s">
        <v>516</v>
      </c>
      <c r="B271" s="9" t="s">
        <v>73</v>
      </c>
      <c r="C271" s="9" t="s">
        <v>576</v>
      </c>
      <c r="D271" s="9" t="s">
        <v>795</v>
      </c>
      <c r="E271" s="9" t="s">
        <v>544</v>
      </c>
      <c r="F271" s="9" t="s">
        <v>25</v>
      </c>
      <c r="G271" s="62">
        <f>53+20*3</f>
        <v>113</v>
      </c>
    </row>
    <row r="272" spans="1:7" x14ac:dyDescent="0.2">
      <c r="A272" s="9" t="s">
        <v>516</v>
      </c>
      <c r="B272" s="9" t="s">
        <v>572</v>
      </c>
      <c r="C272" s="9" t="s">
        <v>576</v>
      </c>
      <c r="D272" s="9" t="s">
        <v>796</v>
      </c>
      <c r="E272" s="9" t="s">
        <v>544</v>
      </c>
      <c r="F272" s="9" t="s">
        <v>25</v>
      </c>
      <c r="G272" s="62">
        <f>38+8*3</f>
        <v>62</v>
      </c>
    </row>
    <row r="273" spans="1:7" x14ac:dyDescent="0.2">
      <c r="A273" s="9" t="s">
        <v>516</v>
      </c>
      <c r="B273" s="9" t="s">
        <v>707</v>
      </c>
      <c r="C273" s="9" t="s">
        <v>576</v>
      </c>
      <c r="D273" s="9" t="s">
        <v>563</v>
      </c>
      <c r="E273" s="9" t="s">
        <v>544</v>
      </c>
      <c r="F273" s="9" t="s">
        <v>25</v>
      </c>
      <c r="G273" s="62">
        <f>29+9*3</f>
        <v>56</v>
      </c>
    </row>
    <row r="274" spans="1:7" x14ac:dyDescent="0.2">
      <c r="A274" s="9" t="s">
        <v>516</v>
      </c>
      <c r="B274" s="9" t="s">
        <v>709</v>
      </c>
      <c r="C274" s="9" t="s">
        <v>576</v>
      </c>
      <c r="D274" s="9" t="s">
        <v>797</v>
      </c>
      <c r="E274" s="9" t="s">
        <v>544</v>
      </c>
      <c r="F274" s="9" t="s">
        <v>25</v>
      </c>
      <c r="G274" s="62">
        <f>30+8*4</f>
        <v>62</v>
      </c>
    </row>
    <row r="275" spans="1:7" x14ac:dyDescent="0.2">
      <c r="A275" s="9" t="s">
        <v>516</v>
      </c>
      <c r="B275" s="9" t="s">
        <v>740</v>
      </c>
      <c r="C275" s="9" t="s">
        <v>576</v>
      </c>
      <c r="D275" s="9" t="s">
        <v>798</v>
      </c>
      <c r="E275" s="9" t="s">
        <v>544</v>
      </c>
      <c r="F275" s="9" t="s">
        <v>25</v>
      </c>
      <c r="G275" s="62">
        <f>30+10*3+4</f>
        <v>64</v>
      </c>
    </row>
    <row r="276" spans="1:7" x14ac:dyDescent="0.2">
      <c r="A276" s="9" t="s">
        <v>516</v>
      </c>
      <c r="B276" s="9" t="s">
        <v>575</v>
      </c>
      <c r="C276" s="9" t="s">
        <v>576</v>
      </c>
      <c r="D276" s="9" t="s">
        <v>799</v>
      </c>
      <c r="E276" s="9" t="s">
        <v>550</v>
      </c>
      <c r="F276" s="9" t="s">
        <v>25</v>
      </c>
      <c r="G276" s="62">
        <f>35+8*3</f>
        <v>59</v>
      </c>
    </row>
    <row r="277" spans="1:7" x14ac:dyDescent="0.2">
      <c r="A277" s="9" t="s">
        <v>516</v>
      </c>
      <c r="B277" s="9" t="s">
        <v>578</v>
      </c>
      <c r="C277" s="9" t="s">
        <v>576</v>
      </c>
      <c r="D277" s="9" t="s">
        <v>800</v>
      </c>
      <c r="E277" s="9" t="s">
        <v>550</v>
      </c>
      <c r="F277" s="9" t="s">
        <v>25</v>
      </c>
      <c r="G277" s="62">
        <f>42+10*3</f>
        <v>72</v>
      </c>
    </row>
    <row r="278" spans="1:7" x14ac:dyDescent="0.2">
      <c r="A278" s="9" t="s">
        <v>516</v>
      </c>
      <c r="B278" s="9" t="s">
        <v>579</v>
      </c>
      <c r="C278" s="9" t="s">
        <v>576</v>
      </c>
      <c r="D278" s="9" t="s">
        <v>801</v>
      </c>
      <c r="E278" s="9" t="s">
        <v>550</v>
      </c>
      <c r="F278" s="9" t="s">
        <v>25</v>
      </c>
      <c r="G278" s="62">
        <f>47+10*3</f>
        <v>77</v>
      </c>
    </row>
    <row r="279" spans="1:7" x14ac:dyDescent="0.2">
      <c r="A279" s="9" t="s">
        <v>516</v>
      </c>
      <c r="B279" s="9" t="s">
        <v>598</v>
      </c>
      <c r="C279" s="9" t="s">
        <v>606</v>
      </c>
      <c r="D279" s="9" t="s">
        <v>561</v>
      </c>
      <c r="E279" s="9" t="s">
        <v>544</v>
      </c>
      <c r="F279" s="9" t="s">
        <v>56</v>
      </c>
      <c r="G279" s="62">
        <f>13+3*4</f>
        <v>25</v>
      </c>
    </row>
    <row r="280" spans="1:7" x14ac:dyDescent="0.2">
      <c r="A280" s="9" t="s">
        <v>516</v>
      </c>
      <c r="B280" s="9" t="s">
        <v>600</v>
      </c>
      <c r="C280" s="9" t="s">
        <v>606</v>
      </c>
      <c r="D280" s="9" t="s">
        <v>802</v>
      </c>
      <c r="E280" s="9" t="s">
        <v>544</v>
      </c>
      <c r="F280" s="9" t="s">
        <v>56</v>
      </c>
      <c r="G280" s="62">
        <f>28+5*4</f>
        <v>48</v>
      </c>
    </row>
    <row r="281" spans="1:7" x14ac:dyDescent="0.2">
      <c r="A281" s="9" t="s">
        <v>516</v>
      </c>
      <c r="B281" s="9" t="s">
        <v>601</v>
      </c>
      <c r="C281" s="9" t="s">
        <v>606</v>
      </c>
      <c r="D281" s="9" t="s">
        <v>795</v>
      </c>
      <c r="E281" s="9" t="s">
        <v>544</v>
      </c>
      <c r="F281" s="9" t="s">
        <v>56</v>
      </c>
      <c r="G281" s="62">
        <f>21+4*4</f>
        <v>37</v>
      </c>
    </row>
    <row r="282" spans="1:7" x14ac:dyDescent="0.2">
      <c r="A282" s="9" t="s">
        <v>516</v>
      </c>
      <c r="B282" s="9" t="s">
        <v>602</v>
      </c>
      <c r="C282" s="9" t="s">
        <v>606</v>
      </c>
      <c r="D282" s="9" t="s">
        <v>795</v>
      </c>
      <c r="E282" s="9" t="s">
        <v>544</v>
      </c>
      <c r="F282" s="9" t="s">
        <v>56</v>
      </c>
      <c r="G282" s="62">
        <f>29+4*4</f>
        <v>45</v>
      </c>
    </row>
    <row r="283" spans="1:7" x14ac:dyDescent="0.2">
      <c r="A283" s="9" t="s">
        <v>516</v>
      </c>
      <c r="B283" s="9" t="s">
        <v>603</v>
      </c>
      <c r="C283" s="9" t="s">
        <v>606</v>
      </c>
      <c r="D283" s="9" t="s">
        <v>803</v>
      </c>
      <c r="E283" s="9" t="s">
        <v>544</v>
      </c>
      <c r="F283" s="9" t="s">
        <v>56</v>
      </c>
      <c r="G283" s="62">
        <v>11</v>
      </c>
    </row>
    <row r="284" spans="1:7" x14ac:dyDescent="0.2">
      <c r="A284" s="9" t="s">
        <v>516</v>
      </c>
      <c r="B284" s="9" t="s">
        <v>605</v>
      </c>
      <c r="C284" s="9" t="s">
        <v>606</v>
      </c>
      <c r="D284" s="9" t="s">
        <v>804</v>
      </c>
      <c r="E284" s="9" t="s">
        <v>544</v>
      </c>
      <c r="F284" s="9" t="s">
        <v>56</v>
      </c>
      <c r="G284" s="62">
        <v>12</v>
      </c>
    </row>
    <row r="285" spans="1:7" x14ac:dyDescent="0.2">
      <c r="A285" s="9" t="s">
        <v>516</v>
      </c>
      <c r="B285" s="9" t="s">
        <v>607</v>
      </c>
      <c r="C285" s="9" t="s">
        <v>606</v>
      </c>
      <c r="D285" s="9" t="s">
        <v>796</v>
      </c>
      <c r="E285" s="9" t="s">
        <v>544</v>
      </c>
      <c r="F285" s="9" t="s">
        <v>56</v>
      </c>
      <c r="G285" s="62">
        <f>32+3*4</f>
        <v>44</v>
      </c>
    </row>
    <row r="286" spans="1:7" x14ac:dyDescent="0.2">
      <c r="A286" s="9" t="s">
        <v>516</v>
      </c>
      <c r="B286" s="9" t="s">
        <v>608</v>
      </c>
      <c r="C286" s="9" t="s">
        <v>606</v>
      </c>
      <c r="D286" s="9" t="s">
        <v>796</v>
      </c>
      <c r="E286" s="9" t="s">
        <v>544</v>
      </c>
      <c r="F286" s="9" t="s">
        <v>56</v>
      </c>
      <c r="G286" s="62">
        <f>29+3*4</f>
        <v>41</v>
      </c>
    </row>
    <row r="287" spans="1:7" x14ac:dyDescent="0.2">
      <c r="A287" s="9" t="s">
        <v>516</v>
      </c>
      <c r="B287" s="9" t="s">
        <v>611</v>
      </c>
      <c r="C287" s="9" t="s">
        <v>805</v>
      </c>
      <c r="D287" s="9" t="s">
        <v>806</v>
      </c>
      <c r="E287" s="9" t="s">
        <v>550</v>
      </c>
      <c r="F287" s="9" t="s">
        <v>56</v>
      </c>
      <c r="G287" s="62">
        <f>22+5*4</f>
        <v>42</v>
      </c>
    </row>
    <row r="288" spans="1:7" x14ac:dyDescent="0.2">
      <c r="A288" s="9" t="s">
        <v>516</v>
      </c>
      <c r="B288" s="9" t="s">
        <v>613</v>
      </c>
      <c r="C288" s="9" t="s">
        <v>768</v>
      </c>
      <c r="D288" s="9" t="s">
        <v>563</v>
      </c>
      <c r="E288" s="9" t="s">
        <v>544</v>
      </c>
      <c r="F288" s="9" t="s">
        <v>56</v>
      </c>
      <c r="G288" s="62">
        <v>17</v>
      </c>
    </row>
    <row r="289" spans="1:7" x14ac:dyDescent="0.2">
      <c r="A289" s="9" t="s">
        <v>516</v>
      </c>
      <c r="B289" s="9" t="s">
        <v>614</v>
      </c>
      <c r="C289" s="9" t="s">
        <v>710</v>
      </c>
      <c r="D289" s="9" t="s">
        <v>807</v>
      </c>
      <c r="E289" s="9" t="s">
        <v>544</v>
      </c>
      <c r="F289" s="9" t="s">
        <v>25</v>
      </c>
      <c r="G289" s="62">
        <f>34+3*3</f>
        <v>43</v>
      </c>
    </row>
    <row r="290" spans="1:7" x14ac:dyDescent="0.2">
      <c r="A290" s="9" t="s">
        <v>516</v>
      </c>
      <c r="B290" s="9" t="s">
        <v>615</v>
      </c>
      <c r="C290" s="10" t="s">
        <v>808</v>
      </c>
      <c r="D290" s="9" t="s">
        <v>809</v>
      </c>
      <c r="E290" s="9" t="s">
        <v>544</v>
      </c>
      <c r="F290" s="9" t="s">
        <v>25</v>
      </c>
      <c r="G290" s="62">
        <v>11</v>
      </c>
    </row>
    <row r="291" spans="1:7" x14ac:dyDescent="0.2">
      <c r="A291" s="9"/>
      <c r="B291" s="9"/>
      <c r="C291" s="10"/>
      <c r="D291" s="9"/>
      <c r="E291" s="9" t="s">
        <v>537</v>
      </c>
      <c r="F291" s="9" t="s">
        <v>488</v>
      </c>
      <c r="G291" s="62">
        <v>4</v>
      </c>
    </row>
    <row r="292" spans="1:7" x14ac:dyDescent="0.2">
      <c r="A292" s="9" t="s">
        <v>516</v>
      </c>
      <c r="B292" s="9" t="s">
        <v>616</v>
      </c>
      <c r="C292" s="9" t="s">
        <v>810</v>
      </c>
      <c r="D292" s="9" t="s">
        <v>811</v>
      </c>
      <c r="E292" s="9" t="s">
        <v>544</v>
      </c>
      <c r="F292" s="9" t="s">
        <v>25</v>
      </c>
      <c r="G292" s="62">
        <f>14+4*4</f>
        <v>30</v>
      </c>
    </row>
    <row r="293" spans="1:7" x14ac:dyDescent="0.2">
      <c r="A293" s="9"/>
      <c r="B293" s="9"/>
      <c r="C293" s="9"/>
      <c r="D293" s="9"/>
      <c r="E293" s="9" t="s">
        <v>544</v>
      </c>
      <c r="F293" s="9" t="s">
        <v>489</v>
      </c>
      <c r="G293" s="62">
        <f>5*15</f>
        <v>75</v>
      </c>
    </row>
    <row r="294" spans="1:7" x14ac:dyDescent="0.2">
      <c r="A294" s="9" t="s">
        <v>516</v>
      </c>
      <c r="B294" s="9" t="s">
        <v>618</v>
      </c>
      <c r="C294" s="9" t="s">
        <v>812</v>
      </c>
      <c r="D294" s="9" t="s">
        <v>796</v>
      </c>
      <c r="E294" s="9" t="s">
        <v>544</v>
      </c>
      <c r="F294" s="9" t="s">
        <v>25</v>
      </c>
      <c r="G294" s="62">
        <v>30</v>
      </c>
    </row>
    <row r="295" spans="1:7" x14ac:dyDescent="0.2">
      <c r="A295" s="10"/>
      <c r="B295" s="10"/>
      <c r="C295" s="10"/>
      <c r="D295" s="63" t="s">
        <v>813</v>
      </c>
      <c r="E295" s="10"/>
      <c r="F295" s="10"/>
      <c r="G295" s="62"/>
    </row>
    <row r="296" spans="1:7" x14ac:dyDescent="0.2">
      <c r="A296" s="9" t="s">
        <v>516</v>
      </c>
      <c r="B296" s="9" t="s">
        <v>545</v>
      </c>
      <c r="C296" s="9" t="s">
        <v>237</v>
      </c>
      <c r="D296" s="9" t="s">
        <v>717</v>
      </c>
      <c r="E296" s="9" t="s">
        <v>544</v>
      </c>
      <c r="F296" s="9" t="s">
        <v>490</v>
      </c>
      <c r="G296" s="62">
        <v>0</v>
      </c>
    </row>
    <row r="297" spans="1:7" x14ac:dyDescent="0.2">
      <c r="A297" s="9" t="s">
        <v>516</v>
      </c>
      <c r="B297" s="9" t="s">
        <v>530</v>
      </c>
      <c r="C297" s="10"/>
      <c r="D297" s="9" t="s">
        <v>533</v>
      </c>
      <c r="E297" s="9" t="s">
        <v>687</v>
      </c>
      <c r="F297" s="10"/>
      <c r="G297" s="62">
        <v>10</v>
      </c>
    </row>
    <row r="298" spans="1:7" x14ac:dyDescent="0.2">
      <c r="A298" s="9" t="s">
        <v>522</v>
      </c>
      <c r="B298" s="9" t="s">
        <v>530</v>
      </c>
      <c r="C298" s="9" t="s">
        <v>535</v>
      </c>
      <c r="D298" s="9" t="s">
        <v>536</v>
      </c>
      <c r="E298" s="9" t="s">
        <v>544</v>
      </c>
      <c r="F298" s="9" t="s">
        <v>488</v>
      </c>
      <c r="G298" s="62">
        <v>70</v>
      </c>
    </row>
    <row r="299" spans="1:7" x14ac:dyDescent="0.2">
      <c r="A299" s="9" t="s">
        <v>522</v>
      </c>
      <c r="B299" s="9" t="s">
        <v>785</v>
      </c>
      <c r="C299" s="10" t="s">
        <v>242</v>
      </c>
      <c r="D299" s="9" t="s">
        <v>561</v>
      </c>
      <c r="E299" s="9" t="s">
        <v>541</v>
      </c>
      <c r="F299" s="10"/>
      <c r="G299" s="62">
        <v>0</v>
      </c>
    </row>
    <row r="300" spans="1:7" x14ac:dyDescent="0.2">
      <c r="A300" s="9" t="s">
        <v>522</v>
      </c>
      <c r="B300" s="9" t="s">
        <v>401</v>
      </c>
      <c r="C300" s="9" t="s">
        <v>814</v>
      </c>
      <c r="D300" s="9" t="s">
        <v>815</v>
      </c>
      <c r="E300" s="9" t="s">
        <v>544</v>
      </c>
      <c r="F300" s="9" t="s">
        <v>488</v>
      </c>
      <c r="G300" s="65">
        <v>187</v>
      </c>
    </row>
    <row r="301" spans="1:7" x14ac:dyDescent="0.2">
      <c r="A301" s="9" t="s">
        <v>522</v>
      </c>
      <c r="B301" s="9" t="s">
        <v>545</v>
      </c>
      <c r="C301" s="9" t="s">
        <v>576</v>
      </c>
      <c r="D301" s="9" t="s">
        <v>816</v>
      </c>
      <c r="E301" s="9" t="s">
        <v>544</v>
      </c>
      <c r="F301" s="9" t="s">
        <v>488</v>
      </c>
      <c r="G301" s="66">
        <v>236</v>
      </c>
    </row>
    <row r="302" spans="1:7" x14ac:dyDescent="0.2">
      <c r="A302" s="9" t="s">
        <v>522</v>
      </c>
      <c r="B302" s="9" t="s">
        <v>547</v>
      </c>
      <c r="C302" s="9" t="s">
        <v>239</v>
      </c>
      <c r="D302" s="9" t="s">
        <v>543</v>
      </c>
      <c r="E302" s="9" t="s">
        <v>721</v>
      </c>
      <c r="F302" s="10"/>
      <c r="G302" s="62">
        <v>0</v>
      </c>
    </row>
    <row r="303" spans="1:7" x14ac:dyDescent="0.2">
      <c r="A303" s="9" t="s">
        <v>522</v>
      </c>
      <c r="B303" s="9" t="s">
        <v>173</v>
      </c>
      <c r="C303" s="9" t="s">
        <v>239</v>
      </c>
      <c r="D303" s="9" t="s">
        <v>543</v>
      </c>
      <c r="E303" s="9" t="s">
        <v>721</v>
      </c>
      <c r="F303" s="10"/>
      <c r="G303" s="62">
        <v>0</v>
      </c>
    </row>
    <row r="304" spans="1:7" x14ac:dyDescent="0.2">
      <c r="A304" s="9" t="s">
        <v>516</v>
      </c>
      <c r="B304" s="9" t="s">
        <v>401</v>
      </c>
      <c r="C304" s="9" t="s">
        <v>576</v>
      </c>
      <c r="D304" s="9" t="s">
        <v>817</v>
      </c>
      <c r="E304" s="9" t="s">
        <v>544</v>
      </c>
      <c r="F304" s="9" t="s">
        <v>25</v>
      </c>
      <c r="G304" s="62">
        <f>52+18*3</f>
        <v>106</v>
      </c>
    </row>
    <row r="305" spans="1:7" x14ac:dyDescent="0.2">
      <c r="A305" s="9" t="s">
        <v>516</v>
      </c>
      <c r="B305" s="9" t="s">
        <v>545</v>
      </c>
      <c r="C305" s="9" t="s">
        <v>576</v>
      </c>
      <c r="D305" s="9" t="s">
        <v>818</v>
      </c>
      <c r="E305" s="9" t="s">
        <v>544</v>
      </c>
      <c r="F305" s="9" t="s">
        <v>25</v>
      </c>
      <c r="G305" s="62">
        <f>45+12*3</f>
        <v>81</v>
      </c>
    </row>
    <row r="306" spans="1:7" x14ac:dyDescent="0.2">
      <c r="A306" s="9" t="s">
        <v>516</v>
      </c>
      <c r="B306" s="9" t="s">
        <v>547</v>
      </c>
      <c r="C306" s="9" t="s">
        <v>576</v>
      </c>
      <c r="D306" s="9" t="s">
        <v>819</v>
      </c>
      <c r="E306" s="9" t="s">
        <v>550</v>
      </c>
      <c r="F306" s="9" t="s">
        <v>25</v>
      </c>
      <c r="G306" s="62">
        <f>57+17*3</f>
        <v>108</v>
      </c>
    </row>
    <row r="307" spans="1:7" x14ac:dyDescent="0.2">
      <c r="A307" s="9" t="s">
        <v>516</v>
      </c>
      <c r="B307" s="9" t="s">
        <v>173</v>
      </c>
      <c r="C307" s="9" t="s">
        <v>576</v>
      </c>
      <c r="D307" s="9" t="s">
        <v>819</v>
      </c>
      <c r="E307" s="9" t="s">
        <v>550</v>
      </c>
      <c r="F307" s="9" t="s">
        <v>25</v>
      </c>
      <c r="G307" s="62">
        <f>50+26*3</f>
        <v>128</v>
      </c>
    </row>
    <row r="308" spans="1:7" x14ac:dyDescent="0.2">
      <c r="A308" s="9" t="s">
        <v>516</v>
      </c>
      <c r="B308" s="9" t="s">
        <v>405</v>
      </c>
      <c r="C308" s="9" t="s">
        <v>576</v>
      </c>
      <c r="D308" s="9" t="s">
        <v>820</v>
      </c>
      <c r="E308" s="9" t="s">
        <v>544</v>
      </c>
      <c r="F308" s="9" t="s">
        <v>25</v>
      </c>
      <c r="G308" s="62">
        <f>17+3*4</f>
        <v>29</v>
      </c>
    </row>
    <row r="309" spans="1:7" x14ac:dyDescent="0.2">
      <c r="A309" s="9" t="s">
        <v>516</v>
      </c>
      <c r="B309" s="9" t="s">
        <v>52</v>
      </c>
      <c r="C309" s="9" t="s">
        <v>576</v>
      </c>
      <c r="D309" s="9" t="s">
        <v>807</v>
      </c>
      <c r="E309" s="9" t="s">
        <v>544</v>
      </c>
      <c r="F309" s="9" t="s">
        <v>25</v>
      </c>
      <c r="G309" s="62">
        <f>22+4*3</f>
        <v>34</v>
      </c>
    </row>
    <row r="310" spans="1:7" x14ac:dyDescent="0.2">
      <c r="A310" s="9" t="s">
        <v>516</v>
      </c>
      <c r="B310" s="9" t="s">
        <v>555</v>
      </c>
      <c r="C310" s="9" t="s">
        <v>576</v>
      </c>
      <c r="D310" s="9" t="s">
        <v>821</v>
      </c>
      <c r="E310" s="9" t="s">
        <v>544</v>
      </c>
      <c r="F310" s="9" t="s">
        <v>25</v>
      </c>
      <c r="G310" s="62">
        <v>21</v>
      </c>
    </row>
    <row r="311" spans="1:7" x14ac:dyDescent="0.2">
      <c r="A311" s="9"/>
      <c r="B311" s="9"/>
      <c r="C311" s="9"/>
      <c r="D311" s="9"/>
      <c r="E311" s="9" t="s">
        <v>544</v>
      </c>
      <c r="F311" s="9" t="s">
        <v>488</v>
      </c>
      <c r="G311" s="62">
        <v>20</v>
      </c>
    </row>
    <row r="312" spans="1:7" x14ac:dyDescent="0.2">
      <c r="A312" s="9" t="s">
        <v>516</v>
      </c>
      <c r="B312" s="9" t="s">
        <v>558</v>
      </c>
      <c r="C312" s="9" t="s">
        <v>576</v>
      </c>
      <c r="D312" s="9" t="s">
        <v>818</v>
      </c>
      <c r="E312" s="9" t="s">
        <v>544</v>
      </c>
      <c r="F312" s="9" t="s">
        <v>25</v>
      </c>
      <c r="G312" s="62">
        <f>40+6*3</f>
        <v>58</v>
      </c>
    </row>
    <row r="313" spans="1:7" x14ac:dyDescent="0.2">
      <c r="A313" s="9" t="s">
        <v>516</v>
      </c>
      <c r="B313" s="9" t="s">
        <v>560</v>
      </c>
      <c r="C313" s="9" t="s">
        <v>576</v>
      </c>
      <c r="D313" s="9" t="s">
        <v>822</v>
      </c>
      <c r="E313" s="9" t="s">
        <v>550</v>
      </c>
      <c r="F313" s="9" t="s">
        <v>25</v>
      </c>
      <c r="G313" s="62">
        <f>30+6*3</f>
        <v>48</v>
      </c>
    </row>
    <row r="314" spans="1:7" x14ac:dyDescent="0.2">
      <c r="A314" s="9" t="s">
        <v>516</v>
      </c>
      <c r="B314" s="9" t="s">
        <v>697</v>
      </c>
      <c r="C314" s="9" t="s">
        <v>576</v>
      </c>
      <c r="D314" s="9" t="s">
        <v>823</v>
      </c>
      <c r="E314" s="9" t="s">
        <v>550</v>
      </c>
      <c r="F314" s="9" t="s">
        <v>25</v>
      </c>
      <c r="G314" s="62">
        <v>39</v>
      </c>
    </row>
    <row r="315" spans="1:7" x14ac:dyDescent="0.2">
      <c r="A315" s="9"/>
      <c r="B315" s="9"/>
      <c r="C315" s="9"/>
      <c r="D315" s="9"/>
      <c r="E315" s="9" t="s">
        <v>537</v>
      </c>
      <c r="F315" s="9" t="s">
        <v>488</v>
      </c>
      <c r="G315" s="62">
        <v>20</v>
      </c>
    </row>
    <row r="316" spans="1:7" x14ac:dyDescent="0.2">
      <c r="A316" s="9" t="s">
        <v>516</v>
      </c>
      <c r="B316" s="9" t="s">
        <v>699</v>
      </c>
      <c r="C316" s="9" t="s">
        <v>576</v>
      </c>
      <c r="D316" s="9" t="s">
        <v>824</v>
      </c>
      <c r="E316" s="9" t="s">
        <v>550</v>
      </c>
      <c r="F316" s="9" t="s">
        <v>25</v>
      </c>
      <c r="G316" s="62">
        <f>30+4*4</f>
        <v>46</v>
      </c>
    </row>
    <row r="317" spans="1:7" x14ac:dyDescent="0.2">
      <c r="A317" s="9"/>
      <c r="B317" s="9"/>
      <c r="C317" s="9"/>
      <c r="D317" s="9"/>
      <c r="E317" s="9" t="s">
        <v>537</v>
      </c>
      <c r="F317" s="9" t="s">
        <v>488</v>
      </c>
      <c r="G317" s="62">
        <v>30</v>
      </c>
    </row>
    <row r="318" spans="1:7" x14ac:dyDescent="0.2">
      <c r="A318" s="9" t="s">
        <v>516</v>
      </c>
      <c r="B318" s="9" t="s">
        <v>701</v>
      </c>
      <c r="C318" s="9" t="s">
        <v>576</v>
      </c>
      <c r="D318" s="9" t="s">
        <v>825</v>
      </c>
      <c r="E318" s="9" t="s">
        <v>550</v>
      </c>
      <c r="F318" s="9" t="s">
        <v>25</v>
      </c>
      <c r="G318" s="62">
        <f>17+3*3</f>
        <v>26</v>
      </c>
    </row>
    <row r="319" spans="1:7" x14ac:dyDescent="0.2">
      <c r="A319" s="9" t="s">
        <v>516</v>
      </c>
      <c r="B319" s="9" t="s">
        <v>564</v>
      </c>
      <c r="C319" s="9" t="s">
        <v>576</v>
      </c>
      <c r="D319" s="9" t="s">
        <v>826</v>
      </c>
      <c r="E319" s="9" t="s">
        <v>550</v>
      </c>
      <c r="F319" s="9" t="s">
        <v>25</v>
      </c>
      <c r="G319" s="62">
        <f>42+5*3+4</f>
        <v>61</v>
      </c>
    </row>
    <row r="320" spans="1:7" x14ac:dyDescent="0.2">
      <c r="A320" s="9" t="s">
        <v>516</v>
      </c>
      <c r="B320" s="9" t="s">
        <v>567</v>
      </c>
      <c r="C320" s="9" t="s">
        <v>576</v>
      </c>
      <c r="D320" s="9" t="s">
        <v>827</v>
      </c>
      <c r="E320" s="9" t="s">
        <v>544</v>
      </c>
      <c r="F320" s="9" t="s">
        <v>25</v>
      </c>
      <c r="G320" s="62">
        <f>44+13*3+4</f>
        <v>87</v>
      </c>
    </row>
    <row r="321" spans="1:7" x14ac:dyDescent="0.2">
      <c r="A321" s="9" t="s">
        <v>516</v>
      </c>
      <c r="B321" s="9" t="s">
        <v>569</v>
      </c>
      <c r="C321" s="9" t="s">
        <v>576</v>
      </c>
      <c r="D321" s="9" t="s">
        <v>546</v>
      </c>
      <c r="E321" s="9" t="s">
        <v>550</v>
      </c>
      <c r="F321" s="9" t="s">
        <v>25</v>
      </c>
      <c r="G321" s="62">
        <f>4+3+4</f>
        <v>11</v>
      </c>
    </row>
    <row r="322" spans="1:7" x14ac:dyDescent="0.2">
      <c r="A322" s="9" t="s">
        <v>516</v>
      </c>
      <c r="B322" s="9" t="s">
        <v>593</v>
      </c>
      <c r="C322" s="9" t="s">
        <v>828</v>
      </c>
      <c r="D322" s="9" t="s">
        <v>819</v>
      </c>
      <c r="E322" s="9" t="s">
        <v>550</v>
      </c>
      <c r="F322" s="9" t="s">
        <v>494</v>
      </c>
      <c r="G322" s="62">
        <v>28</v>
      </c>
    </row>
    <row r="323" spans="1:7" x14ac:dyDescent="0.2">
      <c r="A323" s="9"/>
      <c r="B323" s="9"/>
      <c r="C323" s="9"/>
      <c r="D323" s="9"/>
      <c r="E323" s="9" t="s">
        <v>715</v>
      </c>
      <c r="F323" s="9"/>
      <c r="G323" s="62">
        <v>28</v>
      </c>
    </row>
    <row r="324" spans="1:7" x14ac:dyDescent="0.2">
      <c r="A324" s="9" t="s">
        <v>516</v>
      </c>
      <c r="B324" s="9" t="s">
        <v>595</v>
      </c>
      <c r="C324" s="9" t="s">
        <v>829</v>
      </c>
      <c r="D324" s="9" t="s">
        <v>830</v>
      </c>
      <c r="E324" s="9" t="s">
        <v>550</v>
      </c>
      <c r="F324" s="9" t="s">
        <v>55</v>
      </c>
      <c r="G324" s="62">
        <v>31</v>
      </c>
    </row>
    <row r="325" spans="1:7" x14ac:dyDescent="0.2">
      <c r="A325" s="9" t="s">
        <v>516</v>
      </c>
      <c r="B325" s="9" t="s">
        <v>831</v>
      </c>
      <c r="C325" s="9" t="s">
        <v>832</v>
      </c>
      <c r="D325" s="9" t="s">
        <v>830</v>
      </c>
      <c r="E325" s="9" t="s">
        <v>550</v>
      </c>
      <c r="F325" s="9" t="s">
        <v>55</v>
      </c>
      <c r="G325" s="62">
        <v>31</v>
      </c>
    </row>
    <row r="326" spans="1:7" x14ac:dyDescent="0.2">
      <c r="A326" s="9" t="s">
        <v>516</v>
      </c>
      <c r="B326" s="9" t="s">
        <v>596</v>
      </c>
      <c r="C326" s="9" t="s">
        <v>833</v>
      </c>
      <c r="D326" s="9" t="s">
        <v>830</v>
      </c>
      <c r="E326" s="9" t="s">
        <v>550</v>
      </c>
      <c r="F326" s="9" t="s">
        <v>25</v>
      </c>
      <c r="G326" s="62">
        <v>33</v>
      </c>
    </row>
    <row r="327" spans="1:7" x14ac:dyDescent="0.2">
      <c r="A327" s="9" t="s">
        <v>516</v>
      </c>
      <c r="B327" s="9" t="s">
        <v>509</v>
      </c>
      <c r="C327" s="9" t="s">
        <v>834</v>
      </c>
      <c r="D327" s="9" t="s">
        <v>819</v>
      </c>
      <c r="E327" s="9" t="s">
        <v>550</v>
      </c>
      <c r="F327" s="9" t="s">
        <v>494</v>
      </c>
      <c r="G327" s="62">
        <v>33</v>
      </c>
    </row>
    <row r="328" spans="1:7" x14ac:dyDescent="0.2">
      <c r="A328" s="9" t="s">
        <v>516</v>
      </c>
      <c r="B328" s="9" t="s">
        <v>835</v>
      </c>
      <c r="C328" s="9" t="s">
        <v>836</v>
      </c>
      <c r="D328" s="9" t="s">
        <v>830</v>
      </c>
      <c r="E328" s="9" t="s">
        <v>550</v>
      </c>
      <c r="F328" s="9" t="s">
        <v>55</v>
      </c>
      <c r="G328" s="62">
        <v>33</v>
      </c>
    </row>
    <row r="329" spans="1:7" x14ac:dyDescent="0.2">
      <c r="A329" s="9" t="s">
        <v>516</v>
      </c>
      <c r="B329" s="9" t="s">
        <v>837</v>
      </c>
      <c r="C329" s="9" t="s">
        <v>836</v>
      </c>
      <c r="D329" s="9" t="s">
        <v>830</v>
      </c>
      <c r="E329" s="9" t="s">
        <v>550</v>
      </c>
      <c r="F329" s="9" t="s">
        <v>55</v>
      </c>
      <c r="G329" s="62">
        <v>33</v>
      </c>
    </row>
    <row r="330" spans="1:7" x14ac:dyDescent="0.2">
      <c r="A330" s="9" t="s">
        <v>516</v>
      </c>
      <c r="B330" s="9" t="s">
        <v>838</v>
      </c>
      <c r="C330" s="9" t="s">
        <v>839</v>
      </c>
      <c r="D330" s="9" t="s">
        <v>830</v>
      </c>
      <c r="E330" s="9" t="s">
        <v>550</v>
      </c>
      <c r="F330" s="9" t="s">
        <v>55</v>
      </c>
      <c r="G330" s="62">
        <v>33</v>
      </c>
    </row>
    <row r="331" spans="1:7" x14ac:dyDescent="0.2">
      <c r="A331" s="9" t="s">
        <v>516</v>
      </c>
      <c r="B331" s="9" t="s">
        <v>840</v>
      </c>
      <c r="C331" s="9" t="s">
        <v>841</v>
      </c>
      <c r="D331" s="9" t="s">
        <v>830</v>
      </c>
      <c r="E331" s="9" t="s">
        <v>550</v>
      </c>
      <c r="F331" s="9" t="s">
        <v>55</v>
      </c>
      <c r="G331" s="62">
        <v>33</v>
      </c>
    </row>
    <row r="332" spans="1:7" x14ac:dyDescent="0.2">
      <c r="A332" s="9" t="s">
        <v>516</v>
      </c>
      <c r="B332" s="9" t="s">
        <v>598</v>
      </c>
      <c r="C332" s="9" t="s">
        <v>841</v>
      </c>
      <c r="D332" s="9" t="s">
        <v>830</v>
      </c>
      <c r="E332" s="9" t="s">
        <v>550</v>
      </c>
      <c r="F332" s="9" t="s">
        <v>55</v>
      </c>
      <c r="G332" s="62">
        <v>33</v>
      </c>
    </row>
    <row r="333" spans="1:7" x14ac:dyDescent="0.2">
      <c r="A333" s="9" t="s">
        <v>516</v>
      </c>
      <c r="B333" s="9" t="s">
        <v>600</v>
      </c>
      <c r="C333" s="9" t="s">
        <v>842</v>
      </c>
      <c r="D333" s="9" t="s">
        <v>830</v>
      </c>
      <c r="E333" s="9" t="s">
        <v>550</v>
      </c>
      <c r="F333" s="9" t="s">
        <v>55</v>
      </c>
      <c r="G333" s="62">
        <v>33</v>
      </c>
    </row>
    <row r="334" spans="1:7" x14ac:dyDescent="0.2">
      <c r="A334" s="9" t="s">
        <v>516</v>
      </c>
      <c r="B334" s="9" t="s">
        <v>601</v>
      </c>
      <c r="C334" s="9" t="s">
        <v>842</v>
      </c>
      <c r="D334" s="9" t="s">
        <v>830</v>
      </c>
      <c r="E334" s="9" t="s">
        <v>550</v>
      </c>
      <c r="F334" s="9" t="s">
        <v>55</v>
      </c>
      <c r="G334" s="62">
        <v>33</v>
      </c>
    </row>
    <row r="335" spans="1:7" x14ac:dyDescent="0.2">
      <c r="A335" s="9" t="s">
        <v>516</v>
      </c>
      <c r="B335" s="9" t="s">
        <v>602</v>
      </c>
      <c r="C335" s="9" t="s">
        <v>842</v>
      </c>
      <c r="D335" s="9" t="s">
        <v>830</v>
      </c>
      <c r="E335" s="9" t="s">
        <v>550</v>
      </c>
      <c r="F335" s="9" t="s">
        <v>55</v>
      </c>
      <c r="G335" s="62">
        <v>33</v>
      </c>
    </row>
    <row r="336" spans="1:7" x14ac:dyDescent="0.2">
      <c r="A336" s="9" t="s">
        <v>516</v>
      </c>
      <c r="B336" s="9" t="s">
        <v>603</v>
      </c>
      <c r="C336" s="9" t="s">
        <v>842</v>
      </c>
      <c r="D336" s="9" t="s">
        <v>830</v>
      </c>
      <c r="E336" s="9" t="s">
        <v>550</v>
      </c>
      <c r="F336" s="9" t="s">
        <v>55</v>
      </c>
      <c r="G336" s="62">
        <v>33</v>
      </c>
    </row>
    <row r="337" spans="1:7" x14ac:dyDescent="0.2">
      <c r="A337" s="9" t="s">
        <v>516</v>
      </c>
      <c r="B337" s="9" t="s">
        <v>605</v>
      </c>
      <c r="C337" s="9" t="s">
        <v>842</v>
      </c>
      <c r="D337" s="9" t="s">
        <v>830</v>
      </c>
      <c r="E337" s="9" t="s">
        <v>550</v>
      </c>
      <c r="F337" s="9" t="s">
        <v>491</v>
      </c>
      <c r="G337" s="62">
        <v>33</v>
      </c>
    </row>
    <row r="338" spans="1:7" x14ac:dyDescent="0.2">
      <c r="A338" s="9" t="s">
        <v>516</v>
      </c>
      <c r="B338" s="9" t="s">
        <v>607</v>
      </c>
      <c r="C338" s="9" t="s">
        <v>842</v>
      </c>
      <c r="D338" s="9" t="s">
        <v>830</v>
      </c>
      <c r="E338" s="9" t="s">
        <v>550</v>
      </c>
      <c r="F338" s="9" t="s">
        <v>491</v>
      </c>
      <c r="G338" s="62">
        <v>33</v>
      </c>
    </row>
    <row r="339" spans="1:7" x14ac:dyDescent="0.2">
      <c r="A339" s="9" t="s">
        <v>516</v>
      </c>
      <c r="B339" s="9" t="s">
        <v>608</v>
      </c>
      <c r="C339" s="9" t="s">
        <v>843</v>
      </c>
      <c r="D339" s="9" t="s">
        <v>830</v>
      </c>
      <c r="E339" s="9" t="s">
        <v>550</v>
      </c>
      <c r="F339" s="9" t="s">
        <v>55</v>
      </c>
      <c r="G339" s="62">
        <v>33</v>
      </c>
    </row>
    <row r="340" spans="1:7" x14ac:dyDescent="0.2">
      <c r="A340" s="9" t="s">
        <v>516</v>
      </c>
      <c r="B340" s="9" t="s">
        <v>610</v>
      </c>
      <c r="C340" s="9" t="s">
        <v>843</v>
      </c>
      <c r="D340" s="9" t="s">
        <v>830</v>
      </c>
      <c r="E340" s="9" t="s">
        <v>550</v>
      </c>
      <c r="F340" s="9" t="s">
        <v>55</v>
      </c>
      <c r="G340" s="62">
        <v>33</v>
      </c>
    </row>
    <row r="341" spans="1:7" x14ac:dyDescent="0.2">
      <c r="A341" s="9" t="s">
        <v>516</v>
      </c>
      <c r="B341" s="9" t="s">
        <v>611</v>
      </c>
      <c r="C341" s="9" t="s">
        <v>844</v>
      </c>
      <c r="D341" s="9" t="s">
        <v>845</v>
      </c>
      <c r="E341" s="9" t="s">
        <v>846</v>
      </c>
      <c r="F341" s="9" t="s">
        <v>25</v>
      </c>
      <c r="G341" s="62">
        <f>45+3*3</f>
        <v>54</v>
      </c>
    </row>
    <row r="342" spans="1:7" x14ac:dyDescent="0.2">
      <c r="A342" s="9" t="s">
        <v>516</v>
      </c>
      <c r="B342" s="9" t="s">
        <v>613</v>
      </c>
      <c r="C342" s="9" t="s">
        <v>847</v>
      </c>
      <c r="D342" s="9" t="s">
        <v>819</v>
      </c>
      <c r="E342" s="9" t="s">
        <v>550</v>
      </c>
      <c r="F342" s="9" t="s">
        <v>56</v>
      </c>
      <c r="G342" s="62">
        <v>23</v>
      </c>
    </row>
    <row r="343" spans="1:7" x14ac:dyDescent="0.2">
      <c r="A343" s="9" t="s">
        <v>516</v>
      </c>
      <c r="B343" s="9" t="s">
        <v>614</v>
      </c>
      <c r="C343" s="9" t="s">
        <v>606</v>
      </c>
      <c r="D343" s="9" t="s">
        <v>830</v>
      </c>
      <c r="E343" s="9" t="s">
        <v>550</v>
      </c>
      <c r="F343" s="9" t="s">
        <v>56</v>
      </c>
      <c r="G343" s="62">
        <v>31</v>
      </c>
    </row>
    <row r="344" spans="1:7" x14ac:dyDescent="0.2">
      <c r="A344" s="9" t="s">
        <v>516</v>
      </c>
      <c r="B344" s="9" t="s">
        <v>615</v>
      </c>
      <c r="C344" s="9" t="s">
        <v>606</v>
      </c>
      <c r="D344" s="9" t="s">
        <v>818</v>
      </c>
      <c r="E344" s="9" t="s">
        <v>550</v>
      </c>
      <c r="F344" s="9" t="s">
        <v>56</v>
      </c>
      <c r="G344" s="62">
        <v>30</v>
      </c>
    </row>
    <row r="345" spans="1:7" x14ac:dyDescent="0.2">
      <c r="A345" s="9" t="s">
        <v>516</v>
      </c>
      <c r="B345" s="9" t="s">
        <v>616</v>
      </c>
      <c r="C345" s="9" t="s">
        <v>606</v>
      </c>
      <c r="D345" s="9" t="s">
        <v>546</v>
      </c>
      <c r="E345" s="9" t="s">
        <v>550</v>
      </c>
      <c r="F345" s="9" t="s">
        <v>56</v>
      </c>
      <c r="G345" s="62">
        <v>8</v>
      </c>
    </row>
    <row r="346" spans="1:7" x14ac:dyDescent="0.2">
      <c r="A346" s="9" t="s">
        <v>516</v>
      </c>
      <c r="B346" s="9" t="s">
        <v>621</v>
      </c>
      <c r="C346" s="9" t="s">
        <v>606</v>
      </c>
      <c r="D346" s="9" t="s">
        <v>807</v>
      </c>
      <c r="E346" s="9" t="s">
        <v>544</v>
      </c>
      <c r="F346" s="9" t="s">
        <v>56</v>
      </c>
      <c r="G346" s="62">
        <v>21</v>
      </c>
    </row>
    <row r="347" spans="1:7" x14ac:dyDescent="0.2">
      <c r="A347" s="9" t="s">
        <v>516</v>
      </c>
      <c r="B347" s="9" t="s">
        <v>623</v>
      </c>
      <c r="C347" s="9" t="s">
        <v>606</v>
      </c>
      <c r="D347" s="9" t="s">
        <v>848</v>
      </c>
      <c r="E347" s="9" t="s">
        <v>544</v>
      </c>
      <c r="F347" s="9" t="s">
        <v>56</v>
      </c>
      <c r="G347" s="62">
        <f>18+4*4</f>
        <v>34</v>
      </c>
    </row>
    <row r="348" spans="1:7" x14ac:dyDescent="0.2">
      <c r="A348" s="9" t="s">
        <v>516</v>
      </c>
      <c r="B348" s="9" t="s">
        <v>624</v>
      </c>
      <c r="C348" s="9" t="s">
        <v>606</v>
      </c>
      <c r="D348" s="9" t="s">
        <v>807</v>
      </c>
      <c r="E348" s="9" t="s">
        <v>544</v>
      </c>
      <c r="F348" s="9" t="s">
        <v>56</v>
      </c>
      <c r="G348" s="62">
        <v>20</v>
      </c>
    </row>
    <row r="349" spans="1:7" x14ac:dyDescent="0.2">
      <c r="A349" s="9" t="s">
        <v>516</v>
      </c>
      <c r="B349" s="9" t="s">
        <v>849</v>
      </c>
      <c r="C349" s="9" t="s">
        <v>606</v>
      </c>
      <c r="D349" s="9" t="s">
        <v>807</v>
      </c>
      <c r="E349" s="9" t="s">
        <v>544</v>
      </c>
      <c r="F349" s="9" t="s">
        <v>56</v>
      </c>
      <c r="G349" s="62">
        <v>22</v>
      </c>
    </row>
    <row r="350" spans="1:7" x14ac:dyDescent="0.2">
      <c r="A350" s="9" t="s">
        <v>516</v>
      </c>
      <c r="B350" s="9" t="s">
        <v>625</v>
      </c>
      <c r="C350" s="9" t="s">
        <v>606</v>
      </c>
      <c r="D350" s="9" t="s">
        <v>807</v>
      </c>
      <c r="E350" s="9" t="s">
        <v>544</v>
      </c>
      <c r="F350" s="9" t="s">
        <v>56</v>
      </c>
      <c r="G350" s="62">
        <v>20</v>
      </c>
    </row>
    <row r="351" spans="1:7" x14ac:dyDescent="0.2">
      <c r="A351" s="9" t="s">
        <v>516</v>
      </c>
      <c r="B351" s="9" t="s">
        <v>627</v>
      </c>
      <c r="C351" s="9" t="s">
        <v>606</v>
      </c>
      <c r="D351" s="9" t="s">
        <v>807</v>
      </c>
      <c r="E351" s="9" t="s">
        <v>544</v>
      </c>
      <c r="F351" s="9" t="s">
        <v>56</v>
      </c>
      <c r="G351" s="62">
        <v>20</v>
      </c>
    </row>
    <row r="352" spans="1:7" x14ac:dyDescent="0.2">
      <c r="A352" s="9" t="s">
        <v>516</v>
      </c>
      <c r="B352" s="9" t="s">
        <v>628</v>
      </c>
      <c r="C352" s="9" t="s">
        <v>606</v>
      </c>
      <c r="D352" s="9" t="s">
        <v>807</v>
      </c>
      <c r="E352" s="9" t="s">
        <v>544</v>
      </c>
      <c r="F352" s="9" t="s">
        <v>56</v>
      </c>
      <c r="G352" s="62">
        <v>21</v>
      </c>
    </row>
    <row r="353" spans="1:7" x14ac:dyDescent="0.2">
      <c r="A353" s="9" t="s">
        <v>516</v>
      </c>
      <c r="B353" s="9" t="s">
        <v>629</v>
      </c>
      <c r="C353" s="9" t="s">
        <v>606</v>
      </c>
      <c r="D353" s="9" t="s">
        <v>807</v>
      </c>
      <c r="E353" s="9" t="s">
        <v>544</v>
      </c>
      <c r="F353" s="9" t="s">
        <v>56</v>
      </c>
      <c r="G353" s="62">
        <v>23</v>
      </c>
    </row>
    <row r="354" spans="1:7" x14ac:dyDescent="0.2">
      <c r="A354" s="9" t="s">
        <v>516</v>
      </c>
      <c r="B354" s="9" t="s">
        <v>631</v>
      </c>
      <c r="C354" s="9" t="s">
        <v>606</v>
      </c>
      <c r="D354" s="9" t="s">
        <v>807</v>
      </c>
      <c r="E354" s="9" t="s">
        <v>544</v>
      </c>
      <c r="F354" s="9" t="s">
        <v>56</v>
      </c>
      <c r="G354" s="62">
        <v>25</v>
      </c>
    </row>
    <row r="355" spans="1:7" x14ac:dyDescent="0.2">
      <c r="A355" s="9" t="s">
        <v>516</v>
      </c>
      <c r="B355" s="9" t="s">
        <v>633</v>
      </c>
      <c r="C355" s="9" t="s">
        <v>606</v>
      </c>
      <c r="D355" s="9" t="s">
        <v>807</v>
      </c>
      <c r="E355" s="9" t="s">
        <v>544</v>
      </c>
      <c r="F355" s="9" t="s">
        <v>56</v>
      </c>
      <c r="G355" s="62">
        <v>25</v>
      </c>
    </row>
    <row r="356" spans="1:7" x14ac:dyDescent="0.2">
      <c r="A356" s="9" t="s">
        <v>516</v>
      </c>
      <c r="B356" s="9" t="s">
        <v>635</v>
      </c>
      <c r="C356" s="9" t="s">
        <v>606</v>
      </c>
      <c r="D356" s="9" t="s">
        <v>850</v>
      </c>
      <c r="E356" s="9" t="s">
        <v>544</v>
      </c>
      <c r="F356" s="9" t="s">
        <v>56</v>
      </c>
      <c r="G356" s="62">
        <v>15</v>
      </c>
    </row>
    <row r="357" spans="1:7" x14ac:dyDescent="0.2">
      <c r="A357" s="9" t="s">
        <v>516</v>
      </c>
      <c r="B357" s="9" t="s">
        <v>638</v>
      </c>
      <c r="C357" s="9" t="s">
        <v>606</v>
      </c>
      <c r="D357" s="9" t="s">
        <v>851</v>
      </c>
      <c r="E357" s="9" t="s">
        <v>544</v>
      </c>
      <c r="F357" s="9" t="s">
        <v>56</v>
      </c>
      <c r="G357" s="62">
        <v>18</v>
      </c>
    </row>
    <row r="358" spans="1:7" x14ac:dyDescent="0.2">
      <c r="A358" s="9" t="s">
        <v>516</v>
      </c>
      <c r="B358" s="9" t="s">
        <v>639</v>
      </c>
      <c r="C358" s="9" t="s">
        <v>710</v>
      </c>
      <c r="D358" s="9" t="s">
        <v>807</v>
      </c>
      <c r="E358" s="9" t="s">
        <v>544</v>
      </c>
      <c r="F358" s="9" t="s">
        <v>25</v>
      </c>
      <c r="G358" s="62">
        <v>24</v>
      </c>
    </row>
    <row r="359" spans="1:7" x14ac:dyDescent="0.2">
      <c r="A359" s="9" t="s">
        <v>516</v>
      </c>
      <c r="B359" s="9" t="s">
        <v>641</v>
      </c>
      <c r="C359" s="10" t="s">
        <v>808</v>
      </c>
      <c r="D359" s="9" t="s">
        <v>809</v>
      </c>
      <c r="E359" s="9" t="s">
        <v>544</v>
      </c>
      <c r="F359" s="9" t="s">
        <v>25</v>
      </c>
      <c r="G359" s="62">
        <v>18</v>
      </c>
    </row>
    <row r="360" spans="1:7" x14ac:dyDescent="0.2">
      <c r="A360" s="9"/>
      <c r="B360" s="9"/>
      <c r="C360" s="10"/>
      <c r="D360" s="9"/>
      <c r="E360" s="9" t="s">
        <v>537</v>
      </c>
      <c r="F360" s="9" t="s">
        <v>488</v>
      </c>
      <c r="G360" s="62">
        <v>4</v>
      </c>
    </row>
    <row r="361" spans="1:7" x14ac:dyDescent="0.2">
      <c r="A361" s="10"/>
      <c r="B361" s="10"/>
      <c r="C361" s="10"/>
      <c r="D361" s="63" t="s">
        <v>852</v>
      </c>
      <c r="E361" s="10"/>
      <c r="F361" s="10"/>
      <c r="G361" s="62"/>
    </row>
    <row r="362" spans="1:7" x14ac:dyDescent="0.2">
      <c r="A362" s="9" t="s">
        <v>516</v>
      </c>
      <c r="B362" s="9" t="s">
        <v>517</v>
      </c>
      <c r="C362" s="9" t="s">
        <v>237</v>
      </c>
      <c r="D362" s="9" t="s">
        <v>717</v>
      </c>
      <c r="E362" s="9" t="s">
        <v>79</v>
      </c>
      <c r="F362" s="9" t="s">
        <v>490</v>
      </c>
      <c r="G362" s="62">
        <v>0</v>
      </c>
    </row>
    <row r="363" spans="1:7" x14ac:dyDescent="0.2">
      <c r="A363" s="9" t="s">
        <v>516</v>
      </c>
      <c r="B363" s="9" t="s">
        <v>530</v>
      </c>
      <c r="C363" s="10"/>
      <c r="D363" s="9" t="s">
        <v>533</v>
      </c>
      <c r="E363" s="9" t="s">
        <v>687</v>
      </c>
      <c r="F363" s="10"/>
      <c r="G363" s="62">
        <v>10</v>
      </c>
    </row>
    <row r="364" spans="1:7" x14ac:dyDescent="0.2">
      <c r="A364" s="9" t="s">
        <v>522</v>
      </c>
      <c r="B364" s="9" t="s">
        <v>530</v>
      </c>
      <c r="C364" s="9" t="s">
        <v>535</v>
      </c>
      <c r="D364" s="9" t="s">
        <v>536</v>
      </c>
      <c r="E364" s="9" t="s">
        <v>544</v>
      </c>
      <c r="F364" s="9" t="s">
        <v>488</v>
      </c>
      <c r="G364" s="62">
        <v>69</v>
      </c>
    </row>
    <row r="365" spans="1:7" x14ac:dyDescent="0.2">
      <c r="A365" s="9" t="s">
        <v>516</v>
      </c>
      <c r="B365" s="9" t="s">
        <v>401</v>
      </c>
      <c r="C365" s="9" t="s">
        <v>853</v>
      </c>
      <c r="D365" s="9" t="s">
        <v>854</v>
      </c>
      <c r="E365" s="9" t="s">
        <v>550</v>
      </c>
      <c r="F365" s="9" t="s">
        <v>57</v>
      </c>
      <c r="G365" s="62">
        <v>15</v>
      </c>
    </row>
    <row r="366" spans="1:7" x14ac:dyDescent="0.2">
      <c r="A366" s="9" t="s">
        <v>516</v>
      </c>
      <c r="B366" s="9" t="s">
        <v>545</v>
      </c>
      <c r="C366" s="9" t="s">
        <v>855</v>
      </c>
      <c r="D366" s="9" t="s">
        <v>854</v>
      </c>
      <c r="E366" s="9" t="s">
        <v>550</v>
      </c>
      <c r="F366" s="9" t="s">
        <v>494</v>
      </c>
      <c r="G366" s="62">
        <v>15</v>
      </c>
    </row>
    <row r="367" spans="1:7" x14ac:dyDescent="0.2">
      <c r="A367" s="9" t="s">
        <v>516</v>
      </c>
      <c r="B367" s="9" t="s">
        <v>547</v>
      </c>
      <c r="C367" s="9" t="s">
        <v>856</v>
      </c>
      <c r="D367" s="9" t="s">
        <v>854</v>
      </c>
      <c r="E367" s="9" t="s">
        <v>550</v>
      </c>
      <c r="F367" s="9" t="s">
        <v>56</v>
      </c>
      <c r="G367" s="62">
        <v>15</v>
      </c>
    </row>
    <row r="368" spans="1:7" x14ac:dyDescent="0.2">
      <c r="A368" s="9" t="s">
        <v>516</v>
      </c>
      <c r="B368" s="9" t="s">
        <v>173</v>
      </c>
      <c r="C368" s="9" t="s">
        <v>857</v>
      </c>
      <c r="D368" s="9" t="s">
        <v>854</v>
      </c>
      <c r="E368" s="9" t="s">
        <v>550</v>
      </c>
      <c r="F368" s="9" t="s">
        <v>25</v>
      </c>
      <c r="G368" s="62">
        <f>37+3*3</f>
        <v>46</v>
      </c>
    </row>
    <row r="369" spans="1:7" x14ac:dyDescent="0.2">
      <c r="A369" s="10"/>
      <c r="B369" s="10"/>
      <c r="C369" s="10"/>
      <c r="D369" s="63" t="s">
        <v>858</v>
      </c>
      <c r="E369" s="10"/>
      <c r="F369" s="10"/>
      <c r="G369" s="62"/>
    </row>
    <row r="370" spans="1:7" x14ac:dyDescent="0.2">
      <c r="A370" s="9" t="s">
        <v>516</v>
      </c>
      <c r="B370" s="9" t="s">
        <v>682</v>
      </c>
      <c r="C370" s="9" t="s">
        <v>237</v>
      </c>
      <c r="D370" s="9" t="s">
        <v>859</v>
      </c>
      <c r="E370" s="9" t="s">
        <v>550</v>
      </c>
      <c r="F370" s="9" t="s">
        <v>491</v>
      </c>
      <c r="G370" s="62">
        <v>0</v>
      </c>
    </row>
    <row r="371" spans="1:7" x14ac:dyDescent="0.2">
      <c r="A371" s="9" t="s">
        <v>516</v>
      </c>
      <c r="B371" s="9" t="s">
        <v>860</v>
      </c>
      <c r="C371" s="9" t="s">
        <v>599</v>
      </c>
      <c r="D371" s="9" t="s">
        <v>861</v>
      </c>
      <c r="E371" s="9" t="s">
        <v>550</v>
      </c>
      <c r="F371" s="9" t="s">
        <v>494</v>
      </c>
      <c r="G371" s="62">
        <v>0</v>
      </c>
    </row>
    <row r="372" spans="1:7" x14ac:dyDescent="0.2">
      <c r="A372" s="9" t="s">
        <v>516</v>
      </c>
      <c r="B372" s="9" t="s">
        <v>401</v>
      </c>
      <c r="C372" s="9" t="s">
        <v>862</v>
      </c>
      <c r="D372" s="9" t="s">
        <v>863</v>
      </c>
      <c r="E372" s="9" t="s">
        <v>864</v>
      </c>
      <c r="F372" s="9" t="s">
        <v>491</v>
      </c>
      <c r="G372" s="62">
        <v>5</v>
      </c>
    </row>
    <row r="373" spans="1:7" x14ac:dyDescent="0.2">
      <c r="A373" s="9" t="s">
        <v>522</v>
      </c>
      <c r="B373" s="9" t="s">
        <v>401</v>
      </c>
      <c r="C373" s="9" t="s">
        <v>865</v>
      </c>
      <c r="D373" s="9" t="s">
        <v>866</v>
      </c>
      <c r="E373" s="9" t="s">
        <v>537</v>
      </c>
      <c r="F373" s="9" t="s">
        <v>489</v>
      </c>
      <c r="G373" s="62">
        <v>42</v>
      </c>
    </row>
    <row r="374" spans="1:7" x14ac:dyDescent="0.2">
      <c r="A374" s="10"/>
      <c r="B374" s="10"/>
      <c r="C374" s="10"/>
      <c r="D374" s="63" t="s">
        <v>867</v>
      </c>
      <c r="E374" s="10"/>
      <c r="F374" s="10"/>
      <c r="G374" s="62"/>
    </row>
    <row r="375" spans="1:7" x14ac:dyDescent="0.2">
      <c r="A375" s="9" t="s">
        <v>516</v>
      </c>
      <c r="B375" s="9" t="s">
        <v>517</v>
      </c>
      <c r="C375" s="9" t="s">
        <v>862</v>
      </c>
      <c r="D375" s="9" t="s">
        <v>868</v>
      </c>
      <c r="E375" s="9" t="s">
        <v>864</v>
      </c>
      <c r="F375" s="9" t="s">
        <v>491</v>
      </c>
      <c r="G375" s="62">
        <v>5</v>
      </c>
    </row>
    <row r="376" spans="1:7" x14ac:dyDescent="0.2">
      <c r="A376" s="9" t="s">
        <v>516</v>
      </c>
      <c r="B376" s="9" t="s">
        <v>401</v>
      </c>
      <c r="C376" s="9" t="s">
        <v>869</v>
      </c>
      <c r="D376" s="9" t="s">
        <v>612</v>
      </c>
      <c r="E376" s="9" t="s">
        <v>550</v>
      </c>
      <c r="F376" s="9" t="s">
        <v>55</v>
      </c>
      <c r="G376" s="62">
        <v>60</v>
      </c>
    </row>
    <row r="377" spans="1:7" x14ac:dyDescent="0.2">
      <c r="A377" s="9" t="s">
        <v>516</v>
      </c>
      <c r="B377" s="9" t="s">
        <v>545</v>
      </c>
      <c r="C377" s="9" t="s">
        <v>870</v>
      </c>
      <c r="D377" s="9" t="s">
        <v>871</v>
      </c>
      <c r="E377" s="9" t="s">
        <v>550</v>
      </c>
      <c r="F377" s="9" t="s">
        <v>25</v>
      </c>
      <c r="G377" s="62">
        <v>65</v>
      </c>
    </row>
    <row r="378" spans="1:7" x14ac:dyDescent="0.2">
      <c r="A378" s="9" t="s">
        <v>516</v>
      </c>
      <c r="B378" s="9" t="s">
        <v>547</v>
      </c>
      <c r="C378" s="9" t="s">
        <v>606</v>
      </c>
      <c r="D378" s="9" t="s">
        <v>748</v>
      </c>
      <c r="E378" s="9" t="s">
        <v>550</v>
      </c>
      <c r="F378" s="9" t="s">
        <v>56</v>
      </c>
      <c r="G378" s="62">
        <v>28</v>
      </c>
    </row>
    <row r="379" spans="1:7" x14ac:dyDescent="0.2">
      <c r="A379" s="9" t="s">
        <v>516</v>
      </c>
      <c r="B379" s="9" t="s">
        <v>173</v>
      </c>
      <c r="C379" s="9" t="s">
        <v>872</v>
      </c>
      <c r="D379" s="9" t="s">
        <v>737</v>
      </c>
      <c r="E379" s="9" t="s">
        <v>550</v>
      </c>
      <c r="F379" s="9" t="s">
        <v>25</v>
      </c>
      <c r="G379" s="62">
        <v>28</v>
      </c>
    </row>
    <row r="380" spans="1:7" x14ac:dyDescent="0.2">
      <c r="A380" s="9" t="s">
        <v>516</v>
      </c>
      <c r="B380" s="9" t="s">
        <v>405</v>
      </c>
      <c r="C380" s="9" t="s">
        <v>870</v>
      </c>
      <c r="D380" s="9" t="s">
        <v>748</v>
      </c>
      <c r="E380" s="9" t="s">
        <v>550</v>
      </c>
      <c r="F380" s="9" t="s">
        <v>25</v>
      </c>
      <c r="G380" s="62">
        <f>40+5*3</f>
        <v>55</v>
      </c>
    </row>
    <row r="381" spans="1:7" x14ac:dyDescent="0.2">
      <c r="A381" s="9" t="s">
        <v>516</v>
      </c>
      <c r="B381" s="9" t="s">
        <v>555</v>
      </c>
      <c r="C381" s="9" t="s">
        <v>870</v>
      </c>
      <c r="D381" s="9" t="s">
        <v>873</v>
      </c>
      <c r="E381" s="9" t="s">
        <v>544</v>
      </c>
      <c r="F381" s="9" t="s">
        <v>25</v>
      </c>
      <c r="G381" s="62">
        <v>60</v>
      </c>
    </row>
    <row r="382" spans="1:7" x14ac:dyDescent="0.2">
      <c r="A382" s="9" t="s">
        <v>516</v>
      </c>
      <c r="B382" s="9" t="s">
        <v>558</v>
      </c>
      <c r="C382" s="9" t="s">
        <v>874</v>
      </c>
      <c r="D382" s="9" t="s">
        <v>536</v>
      </c>
      <c r="E382" s="9" t="s">
        <v>550</v>
      </c>
      <c r="F382" s="9" t="s">
        <v>25</v>
      </c>
      <c r="G382" s="62">
        <v>35</v>
      </c>
    </row>
    <row r="383" spans="1:7" x14ac:dyDescent="0.2">
      <c r="A383" s="9" t="s">
        <v>516</v>
      </c>
      <c r="B383" s="9" t="s">
        <v>560</v>
      </c>
      <c r="C383" s="10" t="s">
        <v>875</v>
      </c>
      <c r="D383" s="9" t="s">
        <v>683</v>
      </c>
      <c r="E383" s="9" t="s">
        <v>550</v>
      </c>
      <c r="F383" s="9" t="s">
        <v>25</v>
      </c>
      <c r="G383" s="62">
        <v>12</v>
      </c>
    </row>
    <row r="384" spans="1:7" x14ac:dyDescent="0.2">
      <c r="A384" s="9" t="s">
        <v>516</v>
      </c>
      <c r="B384" s="9" t="s">
        <v>697</v>
      </c>
      <c r="C384" s="9" t="s">
        <v>713</v>
      </c>
      <c r="D384" s="9" t="s">
        <v>797</v>
      </c>
      <c r="E384" s="9" t="s">
        <v>544</v>
      </c>
      <c r="F384" s="9" t="s">
        <v>25</v>
      </c>
      <c r="G384" s="62">
        <v>35</v>
      </c>
    </row>
    <row r="385" spans="1:7" x14ac:dyDescent="0.2">
      <c r="A385" s="60"/>
      <c r="B385" s="60"/>
      <c r="C385" s="60"/>
      <c r="D385" s="67" t="s">
        <v>85</v>
      </c>
      <c r="E385" s="61"/>
      <c r="F385" s="60"/>
      <c r="G385" s="62"/>
    </row>
    <row r="386" spans="1:7" x14ac:dyDescent="0.2">
      <c r="A386" s="60" t="s">
        <v>522</v>
      </c>
      <c r="B386" s="60" t="s">
        <v>517</v>
      </c>
      <c r="C386" s="60" t="s">
        <v>876</v>
      </c>
      <c r="D386" s="60"/>
      <c r="E386" s="9" t="s">
        <v>524</v>
      </c>
      <c r="F386" s="9" t="s">
        <v>25</v>
      </c>
      <c r="G386" s="62">
        <v>44</v>
      </c>
    </row>
    <row r="387" spans="1:7" x14ac:dyDescent="0.2">
      <c r="A387" s="60"/>
      <c r="B387" s="60"/>
      <c r="C387" s="60"/>
      <c r="D387" s="67" t="s">
        <v>360</v>
      </c>
      <c r="E387" s="61"/>
      <c r="F387" s="60"/>
      <c r="G387" s="62"/>
    </row>
    <row r="388" spans="1:7" x14ac:dyDescent="0.2">
      <c r="A388" s="60" t="s">
        <v>522</v>
      </c>
      <c r="B388" s="60" t="s">
        <v>517</v>
      </c>
      <c r="C388" s="60" t="s">
        <v>876</v>
      </c>
      <c r="D388" s="60"/>
      <c r="E388" s="9" t="s">
        <v>524</v>
      </c>
      <c r="F388" s="9" t="s">
        <v>25</v>
      </c>
      <c r="G388" s="62">
        <v>54</v>
      </c>
    </row>
    <row r="389" spans="1:7" x14ac:dyDescent="0.2">
      <c r="A389" s="60" t="s">
        <v>522</v>
      </c>
      <c r="B389" s="60" t="s">
        <v>517</v>
      </c>
      <c r="C389" s="60" t="s">
        <v>877</v>
      </c>
      <c r="D389" s="60"/>
      <c r="E389" s="9" t="s">
        <v>524</v>
      </c>
      <c r="F389" s="9" t="s">
        <v>25</v>
      </c>
      <c r="G389" s="62">
        <v>45</v>
      </c>
    </row>
    <row r="390" spans="1:7" x14ac:dyDescent="0.2">
      <c r="A390" s="60" t="s">
        <v>516</v>
      </c>
      <c r="B390" s="60" t="s">
        <v>401</v>
      </c>
      <c r="C390" s="60" t="s">
        <v>878</v>
      </c>
      <c r="D390" s="60"/>
      <c r="E390" s="9" t="s">
        <v>524</v>
      </c>
      <c r="F390" s="9" t="s">
        <v>25</v>
      </c>
      <c r="G390" s="62">
        <v>159</v>
      </c>
    </row>
    <row r="391" spans="1:7" x14ac:dyDescent="0.2">
      <c r="A391" s="60" t="s">
        <v>516</v>
      </c>
      <c r="B391" s="60" t="s">
        <v>545</v>
      </c>
      <c r="C391" s="60" t="s">
        <v>878</v>
      </c>
      <c r="D391" s="60"/>
      <c r="E391" s="9" t="s">
        <v>524</v>
      </c>
      <c r="F391" s="9" t="s">
        <v>25</v>
      </c>
      <c r="G391" s="62">
        <v>142</v>
      </c>
    </row>
    <row r="392" spans="1:7" x14ac:dyDescent="0.2">
      <c r="A392" s="60" t="s">
        <v>516</v>
      </c>
      <c r="B392" s="60" t="s">
        <v>547</v>
      </c>
      <c r="C392" s="60" t="s">
        <v>878</v>
      </c>
      <c r="D392" s="60"/>
      <c r="E392" s="9" t="s">
        <v>524</v>
      </c>
      <c r="F392" s="9" t="s">
        <v>25</v>
      </c>
      <c r="G392" s="62">
        <v>168</v>
      </c>
    </row>
    <row r="393" spans="1:7" x14ac:dyDescent="0.2">
      <c r="A393" s="60" t="s">
        <v>516</v>
      </c>
      <c r="B393" s="60" t="s">
        <v>173</v>
      </c>
      <c r="C393" s="60" t="s">
        <v>878</v>
      </c>
      <c r="D393" s="60"/>
      <c r="E393" s="9" t="s">
        <v>524</v>
      </c>
      <c r="F393" s="9" t="s">
        <v>25</v>
      </c>
      <c r="G393" s="62">
        <v>132</v>
      </c>
    </row>
    <row r="394" spans="1:7" x14ac:dyDescent="0.2">
      <c r="A394" s="60" t="s">
        <v>516</v>
      </c>
      <c r="B394" s="60" t="s">
        <v>405</v>
      </c>
      <c r="C394" s="60" t="s">
        <v>878</v>
      </c>
      <c r="D394" s="60"/>
      <c r="E394" s="9" t="s">
        <v>524</v>
      </c>
      <c r="F394" s="9" t="s">
        <v>25</v>
      </c>
      <c r="G394" s="62">
        <v>188</v>
      </c>
    </row>
    <row r="395" spans="1:7" x14ac:dyDescent="0.2">
      <c r="A395" s="60" t="s">
        <v>516</v>
      </c>
      <c r="B395" s="60" t="s">
        <v>52</v>
      </c>
      <c r="C395" s="60" t="s">
        <v>878</v>
      </c>
      <c r="D395" s="60"/>
      <c r="E395" s="9" t="s">
        <v>524</v>
      </c>
      <c r="F395" s="9" t="s">
        <v>25</v>
      </c>
      <c r="G395" s="62">
        <v>146</v>
      </c>
    </row>
    <row r="396" spans="1:7" x14ac:dyDescent="0.2">
      <c r="A396" s="60" t="s">
        <v>516</v>
      </c>
      <c r="B396" s="60" t="s">
        <v>555</v>
      </c>
      <c r="C396" s="60" t="s">
        <v>878</v>
      </c>
      <c r="D396" s="60"/>
      <c r="E396" s="9" t="s">
        <v>524</v>
      </c>
      <c r="F396" s="9" t="s">
        <v>25</v>
      </c>
      <c r="G396" s="62">
        <v>146</v>
      </c>
    </row>
    <row r="397" spans="1:7" x14ac:dyDescent="0.2">
      <c r="A397" s="60" t="s">
        <v>516</v>
      </c>
      <c r="B397" s="60" t="s">
        <v>558</v>
      </c>
      <c r="C397" s="60" t="s">
        <v>878</v>
      </c>
      <c r="D397" s="60"/>
      <c r="E397" s="9" t="s">
        <v>524</v>
      </c>
      <c r="F397" s="9" t="s">
        <v>25</v>
      </c>
      <c r="G397" s="62">
        <v>145</v>
      </c>
    </row>
    <row r="398" spans="1:7" x14ac:dyDescent="0.2">
      <c r="A398" s="60" t="s">
        <v>516</v>
      </c>
      <c r="B398" s="60" t="s">
        <v>560</v>
      </c>
      <c r="C398" s="60" t="s">
        <v>878</v>
      </c>
      <c r="D398" s="60"/>
      <c r="E398" s="9" t="s">
        <v>524</v>
      </c>
      <c r="F398" s="9" t="s">
        <v>25</v>
      </c>
      <c r="G398" s="62">
        <v>167</v>
      </c>
    </row>
    <row r="399" spans="1:7" x14ac:dyDescent="0.2">
      <c r="A399" s="60" t="s">
        <v>516</v>
      </c>
      <c r="B399" s="60" t="s">
        <v>697</v>
      </c>
      <c r="C399" s="60" t="s">
        <v>878</v>
      </c>
      <c r="D399" s="60"/>
      <c r="E399" s="9" t="s">
        <v>524</v>
      </c>
      <c r="F399" s="9" t="s">
        <v>25</v>
      </c>
      <c r="G399" s="62">
        <v>131</v>
      </c>
    </row>
    <row r="400" spans="1:7" x14ac:dyDescent="0.2">
      <c r="A400" s="60" t="s">
        <v>516</v>
      </c>
      <c r="B400" s="60" t="s">
        <v>699</v>
      </c>
      <c r="C400" s="60" t="s">
        <v>878</v>
      </c>
      <c r="D400" s="60"/>
      <c r="E400" s="9" t="s">
        <v>524</v>
      </c>
      <c r="F400" s="9" t="s">
        <v>25</v>
      </c>
      <c r="G400" s="62">
        <v>169</v>
      </c>
    </row>
    <row r="401" spans="1:7" x14ac:dyDescent="0.2">
      <c r="A401" s="60" t="s">
        <v>516</v>
      </c>
      <c r="B401" s="60" t="s">
        <v>701</v>
      </c>
      <c r="C401" s="60" t="s">
        <v>878</v>
      </c>
      <c r="D401" s="60"/>
      <c r="E401" s="9" t="s">
        <v>524</v>
      </c>
      <c r="F401" s="9" t="s">
        <v>25</v>
      </c>
      <c r="G401" s="62">
        <v>114</v>
      </c>
    </row>
  </sheetData>
  <pageMargins left="0.62992125984251968" right="0.62992125984251968" top="0.55118110236220474" bottom="0.55118110236220474" header="0.31496062992125984" footer="0.31496062992125984"/>
  <pageSetup paperSize="9" orientation="landscape" horizontalDpi="300" verticalDpi="300" r:id="rId1"/>
  <headerFooter>
    <oddHeader>&amp;L&amp;"Arial,Obyčejné"KRYTÝ BAZÉN ZNOJMO - LOUKA SO 101&amp;R&amp;"Arial,Obyčejné"DPS</oddHeader>
    <oddFooter>Stránka &amp;P z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33"/>
  <sheetViews>
    <sheetView topLeftCell="A100" zoomScaleNormal="100" workbookViewId="0">
      <selection activeCell="S244" sqref="S244"/>
    </sheetView>
  </sheetViews>
  <sheetFormatPr defaultRowHeight="12.75" x14ac:dyDescent="0.2"/>
  <cols>
    <col min="1" max="1" width="9.33203125" style="70"/>
    <col min="2" max="2" width="73.83203125" style="72" customWidth="1"/>
    <col min="3" max="3" width="33" style="72" customWidth="1"/>
    <col min="4" max="4" width="43.6640625" style="72" customWidth="1"/>
    <col min="5" max="257" width="9.33203125" style="72"/>
    <col min="258" max="258" width="73.83203125" style="72" customWidth="1"/>
    <col min="259" max="259" width="33" style="72" customWidth="1"/>
    <col min="260" max="260" width="43.6640625" style="72" customWidth="1"/>
    <col min="261" max="513" width="9.33203125" style="72"/>
    <col min="514" max="514" width="73.83203125" style="72" customWidth="1"/>
    <col min="515" max="515" width="33" style="72" customWidth="1"/>
    <col min="516" max="516" width="43.6640625" style="72" customWidth="1"/>
    <col min="517" max="769" width="9.33203125" style="72"/>
    <col min="770" max="770" width="73.83203125" style="72" customWidth="1"/>
    <col min="771" max="771" width="33" style="72" customWidth="1"/>
    <col min="772" max="772" width="43.6640625" style="72" customWidth="1"/>
    <col min="773" max="1025" width="9.33203125" style="72"/>
    <col min="1026" max="1026" width="73.83203125" style="72" customWidth="1"/>
    <col min="1027" max="1027" width="33" style="72" customWidth="1"/>
    <col min="1028" max="1028" width="43.6640625" style="72" customWidth="1"/>
    <col min="1029" max="1281" width="9.33203125" style="72"/>
    <col min="1282" max="1282" width="73.83203125" style="72" customWidth="1"/>
    <col min="1283" max="1283" width="33" style="72" customWidth="1"/>
    <col min="1284" max="1284" width="43.6640625" style="72" customWidth="1"/>
    <col min="1285" max="1537" width="9.33203125" style="72"/>
    <col min="1538" max="1538" width="73.83203125" style="72" customWidth="1"/>
    <col min="1539" max="1539" width="33" style="72" customWidth="1"/>
    <col min="1540" max="1540" width="43.6640625" style="72" customWidth="1"/>
    <col min="1541" max="1793" width="9.33203125" style="72"/>
    <col min="1794" max="1794" width="73.83203125" style="72" customWidth="1"/>
    <col min="1795" max="1795" width="33" style="72" customWidth="1"/>
    <col min="1796" max="1796" width="43.6640625" style="72" customWidth="1"/>
    <col min="1797" max="2049" width="9.33203125" style="72"/>
    <col min="2050" max="2050" width="73.83203125" style="72" customWidth="1"/>
    <col min="2051" max="2051" width="33" style="72" customWidth="1"/>
    <col min="2052" max="2052" width="43.6640625" style="72" customWidth="1"/>
    <col min="2053" max="2305" width="9.33203125" style="72"/>
    <col min="2306" max="2306" width="73.83203125" style="72" customWidth="1"/>
    <col min="2307" max="2307" width="33" style="72" customWidth="1"/>
    <col min="2308" max="2308" width="43.6640625" style="72" customWidth="1"/>
    <col min="2309" max="2561" width="9.33203125" style="72"/>
    <col min="2562" max="2562" width="73.83203125" style="72" customWidth="1"/>
    <col min="2563" max="2563" width="33" style="72" customWidth="1"/>
    <col min="2564" max="2564" width="43.6640625" style="72" customWidth="1"/>
    <col min="2565" max="2817" width="9.33203125" style="72"/>
    <col min="2818" max="2818" width="73.83203125" style="72" customWidth="1"/>
    <col min="2819" max="2819" width="33" style="72" customWidth="1"/>
    <col min="2820" max="2820" width="43.6640625" style="72" customWidth="1"/>
    <col min="2821" max="3073" width="9.33203125" style="72"/>
    <col min="3074" max="3074" width="73.83203125" style="72" customWidth="1"/>
    <col min="3075" max="3075" width="33" style="72" customWidth="1"/>
    <col min="3076" max="3076" width="43.6640625" style="72" customWidth="1"/>
    <col min="3077" max="3329" width="9.33203125" style="72"/>
    <col min="3330" max="3330" width="73.83203125" style="72" customWidth="1"/>
    <col min="3331" max="3331" width="33" style="72" customWidth="1"/>
    <col min="3332" max="3332" width="43.6640625" style="72" customWidth="1"/>
    <col min="3333" max="3585" width="9.33203125" style="72"/>
    <col min="3586" max="3586" width="73.83203125" style="72" customWidth="1"/>
    <col min="3587" max="3587" width="33" style="72" customWidth="1"/>
    <col min="3588" max="3588" width="43.6640625" style="72" customWidth="1"/>
    <col min="3589" max="3841" width="9.33203125" style="72"/>
    <col min="3842" max="3842" width="73.83203125" style="72" customWidth="1"/>
    <col min="3843" max="3843" width="33" style="72" customWidth="1"/>
    <col min="3844" max="3844" width="43.6640625" style="72" customWidth="1"/>
    <col min="3845" max="4097" width="9.33203125" style="72"/>
    <col min="4098" max="4098" width="73.83203125" style="72" customWidth="1"/>
    <col min="4099" max="4099" width="33" style="72" customWidth="1"/>
    <col min="4100" max="4100" width="43.6640625" style="72" customWidth="1"/>
    <col min="4101" max="4353" width="9.33203125" style="72"/>
    <col min="4354" max="4354" width="73.83203125" style="72" customWidth="1"/>
    <col min="4355" max="4355" width="33" style="72" customWidth="1"/>
    <col min="4356" max="4356" width="43.6640625" style="72" customWidth="1"/>
    <col min="4357" max="4609" width="9.33203125" style="72"/>
    <col min="4610" max="4610" width="73.83203125" style="72" customWidth="1"/>
    <col min="4611" max="4611" width="33" style="72" customWidth="1"/>
    <col min="4612" max="4612" width="43.6640625" style="72" customWidth="1"/>
    <col min="4613" max="4865" width="9.33203125" style="72"/>
    <col min="4866" max="4866" width="73.83203125" style="72" customWidth="1"/>
    <col min="4867" max="4867" width="33" style="72" customWidth="1"/>
    <col min="4868" max="4868" width="43.6640625" style="72" customWidth="1"/>
    <col min="4869" max="5121" width="9.33203125" style="72"/>
    <col min="5122" max="5122" width="73.83203125" style="72" customWidth="1"/>
    <col min="5123" max="5123" width="33" style="72" customWidth="1"/>
    <col min="5124" max="5124" width="43.6640625" style="72" customWidth="1"/>
    <col min="5125" max="5377" width="9.33203125" style="72"/>
    <col min="5378" max="5378" width="73.83203125" style="72" customWidth="1"/>
    <col min="5379" max="5379" width="33" style="72" customWidth="1"/>
    <col min="5380" max="5380" width="43.6640625" style="72" customWidth="1"/>
    <col min="5381" max="5633" width="9.33203125" style="72"/>
    <col min="5634" max="5634" width="73.83203125" style="72" customWidth="1"/>
    <col min="5635" max="5635" width="33" style="72" customWidth="1"/>
    <col min="5636" max="5636" width="43.6640625" style="72" customWidth="1"/>
    <col min="5637" max="5889" width="9.33203125" style="72"/>
    <col min="5890" max="5890" width="73.83203125" style="72" customWidth="1"/>
    <col min="5891" max="5891" width="33" style="72" customWidth="1"/>
    <col min="5892" max="5892" width="43.6640625" style="72" customWidth="1"/>
    <col min="5893" max="6145" width="9.33203125" style="72"/>
    <col min="6146" max="6146" width="73.83203125" style="72" customWidth="1"/>
    <col min="6147" max="6147" width="33" style="72" customWidth="1"/>
    <col min="6148" max="6148" width="43.6640625" style="72" customWidth="1"/>
    <col min="6149" max="6401" width="9.33203125" style="72"/>
    <col min="6402" max="6402" width="73.83203125" style="72" customWidth="1"/>
    <col min="6403" max="6403" width="33" style="72" customWidth="1"/>
    <col min="6404" max="6404" width="43.6640625" style="72" customWidth="1"/>
    <col min="6405" max="6657" width="9.33203125" style="72"/>
    <col min="6658" max="6658" width="73.83203125" style="72" customWidth="1"/>
    <col min="6659" max="6659" width="33" style="72" customWidth="1"/>
    <col min="6660" max="6660" width="43.6640625" style="72" customWidth="1"/>
    <col min="6661" max="6913" width="9.33203125" style="72"/>
    <col min="6914" max="6914" width="73.83203125" style="72" customWidth="1"/>
    <col min="6915" max="6915" width="33" style="72" customWidth="1"/>
    <col min="6916" max="6916" width="43.6640625" style="72" customWidth="1"/>
    <col min="6917" max="7169" width="9.33203125" style="72"/>
    <col min="7170" max="7170" width="73.83203125" style="72" customWidth="1"/>
    <col min="7171" max="7171" width="33" style="72" customWidth="1"/>
    <col min="7172" max="7172" width="43.6640625" style="72" customWidth="1"/>
    <col min="7173" max="7425" width="9.33203125" style="72"/>
    <col min="7426" max="7426" width="73.83203125" style="72" customWidth="1"/>
    <col min="7427" max="7427" width="33" style="72" customWidth="1"/>
    <col min="7428" max="7428" width="43.6640625" style="72" customWidth="1"/>
    <col min="7429" max="7681" width="9.33203125" style="72"/>
    <col min="7682" max="7682" width="73.83203125" style="72" customWidth="1"/>
    <col min="7683" max="7683" width="33" style="72" customWidth="1"/>
    <col min="7684" max="7684" width="43.6640625" style="72" customWidth="1"/>
    <col min="7685" max="7937" width="9.33203125" style="72"/>
    <col min="7938" max="7938" width="73.83203125" style="72" customWidth="1"/>
    <col min="7939" max="7939" width="33" style="72" customWidth="1"/>
    <col min="7940" max="7940" width="43.6640625" style="72" customWidth="1"/>
    <col min="7941" max="8193" width="9.33203125" style="72"/>
    <col min="8194" max="8194" width="73.83203125" style="72" customWidth="1"/>
    <col min="8195" max="8195" width="33" style="72" customWidth="1"/>
    <col min="8196" max="8196" width="43.6640625" style="72" customWidth="1"/>
    <col min="8197" max="8449" width="9.33203125" style="72"/>
    <col min="8450" max="8450" width="73.83203125" style="72" customWidth="1"/>
    <col min="8451" max="8451" width="33" style="72" customWidth="1"/>
    <col min="8452" max="8452" width="43.6640625" style="72" customWidth="1"/>
    <col min="8453" max="8705" width="9.33203125" style="72"/>
    <col min="8706" max="8706" width="73.83203125" style="72" customWidth="1"/>
    <col min="8707" max="8707" width="33" style="72" customWidth="1"/>
    <col min="8708" max="8708" width="43.6640625" style="72" customWidth="1"/>
    <col min="8709" max="8961" width="9.33203125" style="72"/>
    <col min="8962" max="8962" width="73.83203125" style="72" customWidth="1"/>
    <col min="8963" max="8963" width="33" style="72" customWidth="1"/>
    <col min="8964" max="8964" width="43.6640625" style="72" customWidth="1"/>
    <col min="8965" max="9217" width="9.33203125" style="72"/>
    <col min="9218" max="9218" width="73.83203125" style="72" customWidth="1"/>
    <col min="9219" max="9219" width="33" style="72" customWidth="1"/>
    <col min="9220" max="9220" width="43.6640625" style="72" customWidth="1"/>
    <col min="9221" max="9473" width="9.33203125" style="72"/>
    <col min="9474" max="9474" width="73.83203125" style="72" customWidth="1"/>
    <col min="9475" max="9475" width="33" style="72" customWidth="1"/>
    <col min="9476" max="9476" width="43.6640625" style="72" customWidth="1"/>
    <col min="9477" max="9729" width="9.33203125" style="72"/>
    <col min="9730" max="9730" width="73.83203125" style="72" customWidth="1"/>
    <col min="9731" max="9731" width="33" style="72" customWidth="1"/>
    <col min="9732" max="9732" width="43.6640625" style="72" customWidth="1"/>
    <col min="9733" max="9985" width="9.33203125" style="72"/>
    <col min="9986" max="9986" width="73.83203125" style="72" customWidth="1"/>
    <col min="9987" max="9987" width="33" style="72" customWidth="1"/>
    <col min="9988" max="9988" width="43.6640625" style="72" customWidth="1"/>
    <col min="9989" max="10241" width="9.33203125" style="72"/>
    <col min="10242" max="10242" width="73.83203125" style="72" customWidth="1"/>
    <col min="10243" max="10243" width="33" style="72" customWidth="1"/>
    <col min="10244" max="10244" width="43.6640625" style="72" customWidth="1"/>
    <col min="10245" max="10497" width="9.33203125" style="72"/>
    <col min="10498" max="10498" width="73.83203125" style="72" customWidth="1"/>
    <col min="10499" max="10499" width="33" style="72" customWidth="1"/>
    <col min="10500" max="10500" width="43.6640625" style="72" customWidth="1"/>
    <col min="10501" max="10753" width="9.33203125" style="72"/>
    <col min="10754" max="10754" width="73.83203125" style="72" customWidth="1"/>
    <col min="10755" max="10755" width="33" style="72" customWidth="1"/>
    <col min="10756" max="10756" width="43.6640625" style="72" customWidth="1"/>
    <col min="10757" max="11009" width="9.33203125" style="72"/>
    <col min="11010" max="11010" width="73.83203125" style="72" customWidth="1"/>
    <col min="11011" max="11011" width="33" style="72" customWidth="1"/>
    <col min="11012" max="11012" width="43.6640625" style="72" customWidth="1"/>
    <col min="11013" max="11265" width="9.33203125" style="72"/>
    <col min="11266" max="11266" width="73.83203125" style="72" customWidth="1"/>
    <col min="11267" max="11267" width="33" style="72" customWidth="1"/>
    <col min="11268" max="11268" width="43.6640625" style="72" customWidth="1"/>
    <col min="11269" max="11521" width="9.33203125" style="72"/>
    <col min="11522" max="11522" width="73.83203125" style="72" customWidth="1"/>
    <col min="11523" max="11523" width="33" style="72" customWidth="1"/>
    <col min="11524" max="11524" width="43.6640625" style="72" customWidth="1"/>
    <col min="11525" max="11777" width="9.33203125" style="72"/>
    <col min="11778" max="11778" width="73.83203125" style="72" customWidth="1"/>
    <col min="11779" max="11779" width="33" style="72" customWidth="1"/>
    <col min="11780" max="11780" width="43.6640625" style="72" customWidth="1"/>
    <col min="11781" max="12033" width="9.33203125" style="72"/>
    <col min="12034" max="12034" width="73.83203125" style="72" customWidth="1"/>
    <col min="12035" max="12035" width="33" style="72" customWidth="1"/>
    <col min="12036" max="12036" width="43.6640625" style="72" customWidth="1"/>
    <col min="12037" max="12289" width="9.33203125" style="72"/>
    <col min="12290" max="12290" width="73.83203125" style="72" customWidth="1"/>
    <col min="12291" max="12291" width="33" style="72" customWidth="1"/>
    <col min="12292" max="12292" width="43.6640625" style="72" customWidth="1"/>
    <col min="12293" max="12545" width="9.33203125" style="72"/>
    <col min="12546" max="12546" width="73.83203125" style="72" customWidth="1"/>
    <col min="12547" max="12547" width="33" style="72" customWidth="1"/>
    <col min="12548" max="12548" width="43.6640625" style="72" customWidth="1"/>
    <col min="12549" max="12801" width="9.33203125" style="72"/>
    <col min="12802" max="12802" width="73.83203125" style="72" customWidth="1"/>
    <col min="12803" max="12803" width="33" style="72" customWidth="1"/>
    <col min="12804" max="12804" width="43.6640625" style="72" customWidth="1"/>
    <col min="12805" max="13057" width="9.33203125" style="72"/>
    <col min="13058" max="13058" width="73.83203125" style="72" customWidth="1"/>
    <col min="13059" max="13059" width="33" style="72" customWidth="1"/>
    <col min="13060" max="13060" width="43.6640625" style="72" customWidth="1"/>
    <col min="13061" max="13313" width="9.33203125" style="72"/>
    <col min="13314" max="13314" width="73.83203125" style="72" customWidth="1"/>
    <col min="13315" max="13315" width="33" style="72" customWidth="1"/>
    <col min="13316" max="13316" width="43.6640625" style="72" customWidth="1"/>
    <col min="13317" max="13569" width="9.33203125" style="72"/>
    <col min="13570" max="13570" width="73.83203125" style="72" customWidth="1"/>
    <col min="13571" max="13571" width="33" style="72" customWidth="1"/>
    <col min="13572" max="13572" width="43.6640625" style="72" customWidth="1"/>
    <col min="13573" max="13825" width="9.33203125" style="72"/>
    <col min="13826" max="13826" width="73.83203125" style="72" customWidth="1"/>
    <col min="13827" max="13827" width="33" style="72" customWidth="1"/>
    <col min="13828" max="13828" width="43.6640625" style="72" customWidth="1"/>
    <col min="13829" max="14081" width="9.33203125" style="72"/>
    <col min="14082" max="14082" width="73.83203125" style="72" customWidth="1"/>
    <col min="14083" max="14083" width="33" style="72" customWidth="1"/>
    <col min="14084" max="14084" width="43.6640625" style="72" customWidth="1"/>
    <col min="14085" max="14337" width="9.33203125" style="72"/>
    <col min="14338" max="14338" width="73.83203125" style="72" customWidth="1"/>
    <col min="14339" max="14339" width="33" style="72" customWidth="1"/>
    <col min="14340" max="14340" width="43.6640625" style="72" customWidth="1"/>
    <col min="14341" max="14593" width="9.33203125" style="72"/>
    <col min="14594" max="14594" width="73.83203125" style="72" customWidth="1"/>
    <col min="14595" max="14595" width="33" style="72" customWidth="1"/>
    <col min="14596" max="14596" width="43.6640625" style="72" customWidth="1"/>
    <col min="14597" max="14849" width="9.33203125" style="72"/>
    <col min="14850" max="14850" width="73.83203125" style="72" customWidth="1"/>
    <col min="14851" max="14851" width="33" style="72" customWidth="1"/>
    <col min="14852" max="14852" width="43.6640625" style="72" customWidth="1"/>
    <col min="14853" max="15105" width="9.33203125" style="72"/>
    <col min="15106" max="15106" width="73.83203125" style="72" customWidth="1"/>
    <col min="15107" max="15107" width="33" style="72" customWidth="1"/>
    <col min="15108" max="15108" width="43.6640625" style="72" customWidth="1"/>
    <col min="15109" max="15361" width="9.33203125" style="72"/>
    <col min="15362" max="15362" width="73.83203125" style="72" customWidth="1"/>
    <col min="15363" max="15363" width="33" style="72" customWidth="1"/>
    <col min="15364" max="15364" width="43.6640625" style="72" customWidth="1"/>
    <col min="15365" max="15617" width="9.33203125" style="72"/>
    <col min="15618" max="15618" width="73.83203125" style="72" customWidth="1"/>
    <col min="15619" max="15619" width="33" style="72" customWidth="1"/>
    <col min="15620" max="15620" width="43.6640625" style="72" customWidth="1"/>
    <col min="15621" max="15873" width="9.33203125" style="72"/>
    <col min="15874" max="15874" width="73.83203125" style="72" customWidth="1"/>
    <col min="15875" max="15875" width="33" style="72" customWidth="1"/>
    <col min="15876" max="15876" width="43.6640625" style="72" customWidth="1"/>
    <col min="15877" max="16129" width="9.33203125" style="72"/>
    <col min="16130" max="16130" width="73.83203125" style="72" customWidth="1"/>
    <col min="16131" max="16131" width="33" style="72" customWidth="1"/>
    <col min="16132" max="16132" width="43.6640625" style="72" customWidth="1"/>
    <col min="16133" max="16384" width="9.33203125" style="72"/>
  </cols>
  <sheetData>
    <row r="2" spans="1:7" ht="20.25" x14ac:dyDescent="0.3">
      <c r="B2" s="71" t="s">
        <v>885</v>
      </c>
    </row>
    <row r="4" spans="1:7" x14ac:dyDescent="0.2">
      <c r="A4" s="73"/>
      <c r="B4" s="74" t="s">
        <v>886</v>
      </c>
      <c r="C4" s="74"/>
      <c r="D4" s="74"/>
    </row>
    <row r="5" spans="1:7" x14ac:dyDescent="0.2">
      <c r="A5" s="73"/>
      <c r="B5" s="74" t="s">
        <v>887</v>
      </c>
      <c r="C5" s="74"/>
      <c r="D5" s="74"/>
    </row>
    <row r="6" spans="1:7" x14ac:dyDescent="0.2">
      <c r="A6" s="73"/>
      <c r="B6" s="74" t="s">
        <v>888</v>
      </c>
      <c r="C6" s="74"/>
      <c r="D6" s="74"/>
    </row>
    <row r="7" spans="1:7" x14ac:dyDescent="0.2">
      <c r="A7" s="73"/>
      <c r="B7" s="74"/>
      <c r="C7" s="74"/>
      <c r="D7" s="74"/>
    </row>
    <row r="8" spans="1:7" x14ac:dyDescent="0.2">
      <c r="A8" s="73" t="s">
        <v>269</v>
      </c>
      <c r="B8" s="74" t="s">
        <v>889</v>
      </c>
      <c r="C8" s="74" t="s">
        <v>890</v>
      </c>
      <c r="D8" s="74"/>
    </row>
    <row r="9" spans="1:7" x14ac:dyDescent="0.2">
      <c r="A9" s="73"/>
      <c r="B9" s="74"/>
      <c r="C9" s="74"/>
      <c r="D9" s="74"/>
    </row>
    <row r="10" spans="1:7" x14ac:dyDescent="0.2">
      <c r="A10" s="73"/>
      <c r="B10" s="75" t="s">
        <v>891</v>
      </c>
      <c r="C10" s="74"/>
      <c r="D10" s="74"/>
    </row>
    <row r="11" spans="1:7" ht="53.25" customHeight="1" x14ac:dyDescent="0.2">
      <c r="A11" s="76" t="s">
        <v>404</v>
      </c>
      <c r="B11" s="77" t="s">
        <v>892</v>
      </c>
      <c r="C11" s="78"/>
      <c r="D11" s="74"/>
      <c r="G11" s="79"/>
    </row>
    <row r="12" spans="1:7" ht="53.25" customHeight="1" x14ac:dyDescent="0.2">
      <c r="A12" s="76" t="s">
        <v>426</v>
      </c>
      <c r="B12" s="77" t="s">
        <v>893</v>
      </c>
      <c r="C12" s="78"/>
      <c r="D12" s="74"/>
      <c r="G12" s="79"/>
    </row>
    <row r="13" spans="1:7" ht="57.75" customHeight="1" x14ac:dyDescent="0.2">
      <c r="A13" s="76" t="s">
        <v>419</v>
      </c>
      <c r="B13" s="77" t="s">
        <v>894</v>
      </c>
      <c r="C13" s="78"/>
      <c r="D13" s="74"/>
      <c r="G13" s="79"/>
    </row>
    <row r="14" spans="1:7" ht="55.5" customHeight="1" x14ac:dyDescent="0.2">
      <c r="A14" s="76" t="s">
        <v>412</v>
      </c>
      <c r="B14" s="80" t="s">
        <v>895</v>
      </c>
      <c r="C14" s="78"/>
      <c r="D14" s="74"/>
      <c r="G14" s="79"/>
    </row>
    <row r="15" spans="1:7" ht="83.25" customHeight="1" x14ac:dyDescent="0.2">
      <c r="A15" s="76" t="s">
        <v>414</v>
      </c>
      <c r="B15" s="80" t="s">
        <v>896</v>
      </c>
      <c r="C15" s="78"/>
      <c r="D15" s="74"/>
      <c r="G15" s="79"/>
    </row>
    <row r="16" spans="1:7" ht="61.5" customHeight="1" x14ac:dyDescent="0.2">
      <c r="A16" s="76" t="s">
        <v>416</v>
      </c>
      <c r="B16" s="77" t="s">
        <v>897</v>
      </c>
      <c r="C16" s="78"/>
      <c r="D16" s="74"/>
      <c r="G16" s="79"/>
    </row>
    <row r="17" spans="1:7" ht="63" customHeight="1" x14ac:dyDescent="0.2">
      <c r="A17" s="76" t="s">
        <v>425</v>
      </c>
      <c r="B17" s="77" t="s">
        <v>898</v>
      </c>
      <c r="C17" s="78"/>
      <c r="D17" s="74"/>
      <c r="G17" s="79"/>
    </row>
    <row r="18" spans="1:7" ht="78.75" customHeight="1" x14ac:dyDescent="0.2">
      <c r="A18" s="76" t="s">
        <v>899</v>
      </c>
      <c r="B18" s="80" t="s">
        <v>900</v>
      </c>
      <c r="C18" s="78"/>
      <c r="D18" s="74"/>
      <c r="G18" s="79"/>
    </row>
    <row r="19" spans="1:7" ht="78.75" customHeight="1" x14ac:dyDescent="0.2">
      <c r="A19" s="81" t="s">
        <v>366</v>
      </c>
      <c r="B19" s="82" t="s">
        <v>901</v>
      </c>
      <c r="C19" s="78"/>
      <c r="D19" s="74"/>
      <c r="G19" s="79"/>
    </row>
    <row r="20" spans="1:7" ht="78.75" customHeight="1" x14ac:dyDescent="0.2">
      <c r="A20" s="81" t="s">
        <v>782</v>
      </c>
      <c r="B20" s="82" t="s">
        <v>902</v>
      </c>
      <c r="C20" s="78"/>
      <c r="D20" s="74"/>
      <c r="G20" s="79"/>
    </row>
    <row r="21" spans="1:7" ht="81" customHeight="1" x14ac:dyDescent="0.2">
      <c r="A21" s="76" t="s">
        <v>439</v>
      </c>
      <c r="B21" s="77" t="s">
        <v>903</v>
      </c>
      <c r="C21" s="78"/>
      <c r="D21" s="74"/>
      <c r="G21" s="79"/>
    </row>
    <row r="22" spans="1:7" ht="96" customHeight="1" x14ac:dyDescent="0.2">
      <c r="A22" s="76" t="s">
        <v>904</v>
      </c>
      <c r="B22" s="77" t="s">
        <v>905</v>
      </c>
      <c r="C22" s="78"/>
      <c r="D22" s="83"/>
      <c r="G22" s="79"/>
    </row>
    <row r="23" spans="1:7" ht="80.099999999999994" customHeight="1" x14ac:dyDescent="0.2">
      <c r="A23" s="76" t="s">
        <v>906</v>
      </c>
      <c r="B23" s="77" t="s">
        <v>907</v>
      </c>
      <c r="C23" s="78"/>
      <c r="D23" s="74"/>
      <c r="G23" s="79"/>
    </row>
    <row r="24" spans="1:7" ht="69.95" customHeight="1" x14ac:dyDescent="0.2">
      <c r="A24" s="76" t="s">
        <v>445</v>
      </c>
      <c r="B24" s="77" t="s">
        <v>908</v>
      </c>
      <c r="C24" s="78"/>
      <c r="D24" s="74"/>
      <c r="G24" s="79"/>
    </row>
    <row r="25" spans="1:7" ht="45" customHeight="1" x14ac:dyDescent="0.2">
      <c r="A25" s="76" t="s">
        <v>543</v>
      </c>
      <c r="B25" s="77" t="s">
        <v>909</v>
      </c>
      <c r="C25" s="78"/>
      <c r="D25" s="74"/>
      <c r="G25" s="79"/>
    </row>
    <row r="26" spans="1:7" ht="81" customHeight="1" x14ac:dyDescent="0.2">
      <c r="A26" s="76" t="s">
        <v>442</v>
      </c>
      <c r="B26" s="77" t="s">
        <v>910</v>
      </c>
      <c r="C26" s="78"/>
      <c r="D26" s="84"/>
      <c r="G26" s="79"/>
    </row>
    <row r="27" spans="1:7" ht="69.95" customHeight="1" x14ac:dyDescent="0.2">
      <c r="A27" s="76" t="s">
        <v>911</v>
      </c>
      <c r="B27" s="77" t="s">
        <v>912</v>
      </c>
      <c r="C27" s="78"/>
      <c r="D27" s="84"/>
      <c r="G27" s="79"/>
    </row>
    <row r="28" spans="1:7" ht="33.75" customHeight="1" x14ac:dyDescent="0.2">
      <c r="A28" s="85" t="s">
        <v>433</v>
      </c>
      <c r="B28" s="77" t="s">
        <v>913</v>
      </c>
      <c r="C28" s="78"/>
      <c r="D28" s="74"/>
      <c r="G28" s="79"/>
    </row>
    <row r="29" spans="1:7" ht="39.950000000000003" customHeight="1" x14ac:dyDescent="0.2">
      <c r="A29" s="85" t="s">
        <v>459</v>
      </c>
      <c r="B29" s="77" t="s">
        <v>914</v>
      </c>
      <c r="C29" s="78"/>
      <c r="D29" s="74"/>
      <c r="G29" s="79"/>
    </row>
    <row r="30" spans="1:7" ht="96" customHeight="1" x14ac:dyDescent="0.2">
      <c r="A30" s="76" t="s">
        <v>455</v>
      </c>
      <c r="B30" s="77" t="s">
        <v>915</v>
      </c>
      <c r="C30" s="78"/>
      <c r="D30" s="74"/>
      <c r="G30" s="79"/>
    </row>
    <row r="31" spans="1:7" ht="69" customHeight="1" x14ac:dyDescent="0.2">
      <c r="A31" s="76" t="s">
        <v>916</v>
      </c>
      <c r="B31" s="77" t="s">
        <v>917</v>
      </c>
      <c r="C31" s="78"/>
      <c r="D31" s="74"/>
      <c r="G31" s="79"/>
    </row>
    <row r="32" spans="1:7" ht="36.75" customHeight="1" x14ac:dyDescent="0.2">
      <c r="A32" s="76" t="s">
        <v>918</v>
      </c>
      <c r="B32" s="77" t="s">
        <v>919</v>
      </c>
      <c r="C32" s="78"/>
      <c r="D32" s="74"/>
      <c r="G32" s="79"/>
    </row>
    <row r="33" spans="1:7" ht="69.95" customHeight="1" x14ac:dyDescent="0.2">
      <c r="A33" s="76" t="s">
        <v>369</v>
      </c>
      <c r="B33" s="80" t="s">
        <v>920</v>
      </c>
      <c r="C33" s="78"/>
      <c r="D33" s="74"/>
      <c r="G33" s="79"/>
    </row>
    <row r="34" spans="1:7" x14ac:dyDescent="0.2">
      <c r="A34" s="86"/>
      <c r="B34" s="87"/>
      <c r="C34" s="88"/>
      <c r="D34" s="74"/>
    </row>
    <row r="35" spans="1:7" x14ac:dyDescent="0.2">
      <c r="A35" s="89"/>
      <c r="B35" s="90" t="s">
        <v>921</v>
      </c>
      <c r="C35" s="91"/>
      <c r="D35" s="74"/>
    </row>
    <row r="36" spans="1:7" ht="39.950000000000003" customHeight="1" x14ac:dyDescent="0.2">
      <c r="A36" s="85" t="s">
        <v>499</v>
      </c>
      <c r="B36" s="80" t="s">
        <v>922</v>
      </c>
      <c r="C36" s="78"/>
      <c r="D36" s="74"/>
    </row>
    <row r="37" spans="1:7" ht="50.1" customHeight="1" x14ac:dyDescent="0.2">
      <c r="A37" s="85" t="s">
        <v>496</v>
      </c>
      <c r="B37" s="80" t="s">
        <v>923</v>
      </c>
      <c r="C37" s="78"/>
      <c r="D37" s="74"/>
    </row>
    <row r="38" spans="1:7" ht="69.95" customHeight="1" x14ac:dyDescent="0.2">
      <c r="A38" s="85" t="s">
        <v>497</v>
      </c>
      <c r="B38" s="80" t="s">
        <v>924</v>
      </c>
      <c r="C38" s="78"/>
      <c r="D38" s="74"/>
    </row>
    <row r="39" spans="1:7" ht="53.25" customHeight="1" x14ac:dyDescent="0.2">
      <c r="A39" s="85" t="s">
        <v>511</v>
      </c>
      <c r="B39" s="80" t="s">
        <v>925</v>
      </c>
      <c r="C39" s="78"/>
      <c r="D39" s="74"/>
    </row>
    <row r="40" spans="1:7" ht="53.25" customHeight="1" x14ac:dyDescent="0.2">
      <c r="A40" s="85" t="s">
        <v>926</v>
      </c>
      <c r="B40" s="77" t="s">
        <v>927</v>
      </c>
      <c r="C40" s="78"/>
      <c r="D40" s="74"/>
    </row>
    <row r="41" spans="1:7" ht="53.25" customHeight="1" x14ac:dyDescent="0.2">
      <c r="A41" s="85" t="s">
        <v>464</v>
      </c>
      <c r="B41" s="77" t="s">
        <v>928</v>
      </c>
      <c r="C41" s="78"/>
      <c r="D41" s="74"/>
    </row>
    <row r="42" spans="1:7" ht="51" x14ac:dyDescent="0.2">
      <c r="A42" s="85" t="s">
        <v>467</v>
      </c>
      <c r="B42" s="77" t="s">
        <v>929</v>
      </c>
      <c r="C42" s="78"/>
      <c r="D42" s="74"/>
    </row>
    <row r="43" spans="1:7" ht="38.25" x14ac:dyDescent="0.2">
      <c r="A43" s="85" t="s">
        <v>930</v>
      </c>
      <c r="B43" s="77" t="s">
        <v>931</v>
      </c>
      <c r="C43" s="78"/>
      <c r="D43" s="74"/>
    </row>
    <row r="44" spans="1:7" ht="38.25" x14ac:dyDescent="0.2">
      <c r="A44" s="85" t="s">
        <v>470</v>
      </c>
      <c r="B44" s="80" t="s">
        <v>1064</v>
      </c>
      <c r="C44" s="78"/>
      <c r="D44" s="74"/>
    </row>
    <row r="45" spans="1:7" ht="25.5" x14ac:dyDescent="0.2">
      <c r="A45" s="85" t="s">
        <v>932</v>
      </c>
      <c r="B45" s="80" t="s">
        <v>933</v>
      </c>
      <c r="C45" s="78"/>
      <c r="D45" s="74"/>
    </row>
    <row r="46" spans="1:7" x14ac:dyDescent="0.2">
      <c r="A46" s="85" t="s">
        <v>934</v>
      </c>
      <c r="B46" s="80" t="s">
        <v>935</v>
      </c>
      <c r="C46" s="78"/>
      <c r="D46" s="74"/>
    </row>
    <row r="47" spans="1:7" x14ac:dyDescent="0.2">
      <c r="A47" s="85" t="s">
        <v>936</v>
      </c>
      <c r="B47" s="80" t="s">
        <v>937</v>
      </c>
      <c r="C47" s="78"/>
      <c r="D47" s="74"/>
    </row>
    <row r="48" spans="1:7" ht="63.75" x14ac:dyDescent="0.2">
      <c r="A48" s="85" t="s">
        <v>938</v>
      </c>
      <c r="B48" s="80" t="s">
        <v>939</v>
      </c>
      <c r="C48" s="78"/>
      <c r="D48" s="74"/>
    </row>
    <row r="49" spans="1:4" ht="51" x14ac:dyDescent="0.2">
      <c r="A49" s="85" t="s">
        <v>940</v>
      </c>
      <c r="B49" s="80" t="s">
        <v>941</v>
      </c>
      <c r="C49" s="78"/>
      <c r="D49" s="74"/>
    </row>
    <row r="50" spans="1:4" ht="51" x14ac:dyDescent="0.2">
      <c r="A50" s="85" t="s">
        <v>942</v>
      </c>
      <c r="B50" s="80" t="s">
        <v>943</v>
      </c>
      <c r="C50" s="78"/>
      <c r="D50" s="74"/>
    </row>
    <row r="51" spans="1:4" ht="60" customHeight="1" x14ac:dyDescent="0.2">
      <c r="A51" s="85" t="s">
        <v>942</v>
      </c>
      <c r="B51" s="80" t="s">
        <v>944</v>
      </c>
      <c r="C51" s="78"/>
      <c r="D51" s="74"/>
    </row>
    <row r="52" spans="1:4" x14ac:dyDescent="0.2">
      <c r="A52" s="92"/>
      <c r="B52" s="93"/>
      <c r="C52" s="78"/>
      <c r="D52" s="74"/>
    </row>
    <row r="53" spans="1:4" x14ac:dyDescent="0.2">
      <c r="A53" s="94"/>
      <c r="B53" s="95" t="s">
        <v>945</v>
      </c>
      <c r="C53" s="78"/>
      <c r="D53" s="74"/>
    </row>
    <row r="54" spans="1:4" x14ac:dyDescent="0.2">
      <c r="A54" s="94"/>
      <c r="B54" s="95" t="s">
        <v>946</v>
      </c>
      <c r="C54" s="78"/>
      <c r="D54" s="74"/>
    </row>
    <row r="55" spans="1:4" x14ac:dyDescent="0.2">
      <c r="A55" s="94"/>
      <c r="B55" s="95" t="s">
        <v>947</v>
      </c>
      <c r="C55" s="78"/>
      <c r="D55" s="74"/>
    </row>
    <row r="56" spans="1:4" x14ac:dyDescent="0.2">
      <c r="A56" s="73"/>
      <c r="B56" s="74"/>
      <c r="C56" s="78"/>
      <c r="D56" s="74"/>
    </row>
    <row r="57" spans="1:4" x14ac:dyDescent="0.2">
      <c r="A57" s="73"/>
      <c r="B57" s="74"/>
      <c r="C57" s="74"/>
      <c r="D57" s="74"/>
    </row>
    <row r="58" spans="1:4" x14ac:dyDescent="0.2">
      <c r="A58" s="73"/>
      <c r="B58" s="96" t="s">
        <v>948</v>
      </c>
      <c r="C58" s="74"/>
      <c r="D58" s="74"/>
    </row>
    <row r="59" spans="1:4" ht="25.5" x14ac:dyDescent="0.2">
      <c r="A59" s="76" t="s">
        <v>949</v>
      </c>
      <c r="B59" s="97" t="s">
        <v>950</v>
      </c>
      <c r="C59" s="78"/>
      <c r="D59" s="74"/>
    </row>
    <row r="60" spans="1:4" ht="25.5" x14ac:dyDescent="0.2">
      <c r="A60" s="76" t="s">
        <v>951</v>
      </c>
      <c r="B60" s="97" t="s">
        <v>952</v>
      </c>
      <c r="C60" s="78"/>
      <c r="D60" s="74"/>
    </row>
    <row r="61" spans="1:4" ht="25.5" x14ac:dyDescent="0.2">
      <c r="A61" s="76" t="s">
        <v>953</v>
      </c>
      <c r="B61" s="98" t="s">
        <v>954</v>
      </c>
      <c r="C61" s="78"/>
      <c r="D61" s="74"/>
    </row>
    <row r="62" spans="1:4" ht="25.5" x14ac:dyDescent="0.2">
      <c r="A62" s="76" t="s">
        <v>955</v>
      </c>
      <c r="B62" s="98" t="s">
        <v>956</v>
      </c>
      <c r="C62" s="78"/>
      <c r="D62" s="74"/>
    </row>
    <row r="63" spans="1:4" ht="38.25" x14ac:dyDescent="0.2">
      <c r="A63" s="76" t="s">
        <v>957</v>
      </c>
      <c r="B63" s="98" t="s">
        <v>958</v>
      </c>
      <c r="C63" s="78"/>
      <c r="D63" s="74"/>
    </row>
    <row r="64" spans="1:4" x14ac:dyDescent="0.2">
      <c r="A64" s="76" t="s">
        <v>959</v>
      </c>
      <c r="B64" s="98" t="s">
        <v>960</v>
      </c>
      <c r="C64" s="78"/>
      <c r="D64" s="74"/>
    </row>
    <row r="65" spans="1:4" ht="38.25" x14ac:dyDescent="0.2">
      <c r="A65" s="76" t="s">
        <v>961</v>
      </c>
      <c r="B65" s="98" t="s">
        <v>962</v>
      </c>
      <c r="C65" s="78"/>
      <c r="D65" s="74"/>
    </row>
    <row r="66" spans="1:4" ht="25.5" x14ac:dyDescent="0.2">
      <c r="A66" s="76" t="s">
        <v>963</v>
      </c>
      <c r="B66" s="98" t="s">
        <v>964</v>
      </c>
      <c r="C66" s="78"/>
      <c r="D66" s="74"/>
    </row>
    <row r="67" spans="1:4" ht="25.5" x14ac:dyDescent="0.2">
      <c r="A67" s="76" t="s">
        <v>965</v>
      </c>
      <c r="B67" s="98" t="s">
        <v>966</v>
      </c>
      <c r="C67" s="78"/>
      <c r="D67" s="74"/>
    </row>
    <row r="68" spans="1:4" x14ac:dyDescent="0.2">
      <c r="A68" s="73"/>
      <c r="B68" s="99"/>
      <c r="C68" s="74"/>
      <c r="D68" s="74"/>
    </row>
    <row r="69" spans="1:4" x14ac:dyDescent="0.2">
      <c r="A69" s="73"/>
      <c r="B69" s="96" t="s">
        <v>967</v>
      </c>
      <c r="C69" s="74"/>
      <c r="D69" s="74"/>
    </row>
    <row r="70" spans="1:4" ht="63.75" x14ac:dyDescent="0.2">
      <c r="A70" s="76" t="s">
        <v>968</v>
      </c>
      <c r="B70" s="100" t="s">
        <v>969</v>
      </c>
      <c r="C70" s="78"/>
      <c r="D70" s="74"/>
    </row>
    <row r="71" spans="1:4" ht="63.75" x14ac:dyDescent="0.2">
      <c r="A71" s="76" t="s">
        <v>91</v>
      </c>
      <c r="B71" s="100" t="s">
        <v>970</v>
      </c>
      <c r="C71" s="78"/>
      <c r="D71" s="74"/>
    </row>
    <row r="72" spans="1:4" ht="80.25" customHeight="1" x14ac:dyDescent="0.2">
      <c r="A72" s="76" t="s">
        <v>971</v>
      </c>
      <c r="B72" s="100" t="s">
        <v>972</v>
      </c>
      <c r="C72" s="78"/>
      <c r="D72" s="74"/>
    </row>
    <row r="73" spans="1:4" ht="80.25" customHeight="1" x14ac:dyDescent="0.2">
      <c r="A73" s="76" t="s">
        <v>973</v>
      </c>
      <c r="B73" s="100" t="s">
        <v>974</v>
      </c>
      <c r="C73" s="78"/>
      <c r="D73" s="101"/>
    </row>
    <row r="74" spans="1:4" ht="80.25" customHeight="1" x14ac:dyDescent="0.2">
      <c r="A74" s="76" t="s">
        <v>93</v>
      </c>
      <c r="B74" s="100" t="s">
        <v>975</v>
      </c>
      <c r="C74" s="78"/>
      <c r="D74" s="74"/>
    </row>
    <row r="75" spans="1:4" ht="102" x14ac:dyDescent="0.2">
      <c r="A75" s="76" t="s">
        <v>976</v>
      </c>
      <c r="B75" s="100" t="s">
        <v>977</v>
      </c>
      <c r="C75" s="78"/>
      <c r="D75" s="74"/>
    </row>
    <row r="76" spans="1:4" ht="89.25" x14ac:dyDescent="0.2">
      <c r="A76" s="76" t="s">
        <v>94</v>
      </c>
      <c r="B76" s="100" t="s">
        <v>978</v>
      </c>
      <c r="C76" s="78"/>
      <c r="D76" s="74"/>
    </row>
    <row r="77" spans="1:4" ht="69.95" customHeight="1" x14ac:dyDescent="0.2">
      <c r="A77" s="85" t="s">
        <v>95</v>
      </c>
      <c r="B77" s="102" t="s">
        <v>979</v>
      </c>
      <c r="C77" s="78"/>
      <c r="D77" s="74"/>
    </row>
    <row r="78" spans="1:4" ht="80.099999999999994" customHeight="1" x14ac:dyDescent="0.2">
      <c r="A78" s="85" t="s">
        <v>980</v>
      </c>
      <c r="B78" s="102" t="s">
        <v>981</v>
      </c>
      <c r="C78" s="78"/>
      <c r="D78" s="74"/>
    </row>
    <row r="79" spans="1:4" ht="30" customHeight="1" x14ac:dyDescent="0.2">
      <c r="A79" s="85" t="s">
        <v>982</v>
      </c>
      <c r="B79" s="100" t="s">
        <v>983</v>
      </c>
      <c r="C79" s="78"/>
      <c r="D79" s="74"/>
    </row>
    <row r="80" spans="1:4" ht="30" customHeight="1" x14ac:dyDescent="0.2">
      <c r="A80" s="85" t="s">
        <v>117</v>
      </c>
      <c r="B80" s="100" t="s">
        <v>984</v>
      </c>
      <c r="C80" s="78"/>
      <c r="D80" s="74"/>
    </row>
    <row r="81" spans="1:7" ht="30" customHeight="1" x14ac:dyDescent="0.2">
      <c r="A81" s="85" t="s">
        <v>205</v>
      </c>
      <c r="B81" s="100" t="s">
        <v>985</v>
      </c>
      <c r="C81" s="78"/>
      <c r="D81" s="74"/>
    </row>
    <row r="82" spans="1:7" ht="49.5" customHeight="1" x14ac:dyDescent="0.2">
      <c r="A82" s="76" t="s">
        <v>986</v>
      </c>
      <c r="B82" s="103" t="s">
        <v>987</v>
      </c>
      <c r="C82" s="78"/>
      <c r="D82" s="74"/>
    </row>
    <row r="83" spans="1:7" ht="48.75" customHeight="1" x14ac:dyDescent="0.2">
      <c r="A83" s="76" t="s">
        <v>116</v>
      </c>
      <c r="B83" s="103" t="s">
        <v>988</v>
      </c>
      <c r="C83" s="78"/>
      <c r="D83" s="74"/>
    </row>
    <row r="84" spans="1:7" ht="48.75" customHeight="1" x14ac:dyDescent="0.2">
      <c r="A84" s="76" t="s">
        <v>202</v>
      </c>
      <c r="B84" s="103" t="s">
        <v>989</v>
      </c>
      <c r="C84" s="78"/>
      <c r="D84" s="74"/>
    </row>
    <row r="85" spans="1:7" ht="48.75" customHeight="1" x14ac:dyDescent="0.2">
      <c r="A85" s="76" t="s">
        <v>114</v>
      </c>
      <c r="B85" s="103" t="s">
        <v>990</v>
      </c>
      <c r="C85" s="78"/>
      <c r="D85" s="74"/>
    </row>
    <row r="86" spans="1:7" ht="48.75" customHeight="1" x14ac:dyDescent="0.2">
      <c r="A86" s="76" t="s">
        <v>991</v>
      </c>
      <c r="B86" s="103" t="s">
        <v>992</v>
      </c>
      <c r="C86" s="78"/>
      <c r="D86" s="74"/>
    </row>
    <row r="87" spans="1:7" ht="80.099999999999994" customHeight="1" x14ac:dyDescent="0.2">
      <c r="A87" s="76" t="s">
        <v>131</v>
      </c>
      <c r="B87" s="100" t="s">
        <v>993</v>
      </c>
      <c r="C87" s="78"/>
      <c r="D87" s="74"/>
    </row>
    <row r="88" spans="1:7" ht="80.099999999999994" customHeight="1" x14ac:dyDescent="0.2">
      <c r="A88" s="76" t="s">
        <v>170</v>
      </c>
      <c r="B88" s="100" t="s">
        <v>994</v>
      </c>
      <c r="C88" s="78"/>
      <c r="D88" s="74"/>
    </row>
    <row r="89" spans="1:7" ht="84" customHeight="1" x14ac:dyDescent="0.2">
      <c r="A89" s="76" t="s">
        <v>995</v>
      </c>
      <c r="B89" s="100" t="s">
        <v>996</v>
      </c>
      <c r="C89" s="78"/>
      <c r="D89" s="74"/>
    </row>
    <row r="90" spans="1:7" ht="84" customHeight="1" x14ac:dyDescent="0.2">
      <c r="A90" s="76" t="s">
        <v>124</v>
      </c>
      <c r="B90" s="100" t="s">
        <v>997</v>
      </c>
      <c r="C90" s="78"/>
      <c r="D90" s="74"/>
    </row>
    <row r="91" spans="1:7" ht="64.5" customHeight="1" x14ac:dyDescent="0.2">
      <c r="A91" s="76" t="s">
        <v>153</v>
      </c>
      <c r="B91" s="100" t="s">
        <v>998</v>
      </c>
      <c r="C91" s="78"/>
      <c r="D91" s="74"/>
    </row>
    <row r="92" spans="1:7" ht="39.75" customHeight="1" x14ac:dyDescent="0.2">
      <c r="A92" s="76" t="s">
        <v>999</v>
      </c>
      <c r="B92" s="100" t="s">
        <v>1000</v>
      </c>
      <c r="C92" s="78"/>
      <c r="D92" s="74"/>
    </row>
    <row r="93" spans="1:7" ht="54.95" customHeight="1" x14ac:dyDescent="0.2">
      <c r="A93" s="76" t="s">
        <v>107</v>
      </c>
      <c r="B93" s="100" t="s">
        <v>1001</v>
      </c>
      <c r="C93" s="78"/>
      <c r="D93" s="74"/>
    </row>
    <row r="94" spans="1:7" ht="12.75" customHeight="1" x14ac:dyDescent="0.2">
      <c r="A94" s="76" t="s">
        <v>105</v>
      </c>
      <c r="B94" s="100" t="s">
        <v>1002</v>
      </c>
      <c r="C94" s="78"/>
      <c r="D94" s="74"/>
    </row>
    <row r="95" spans="1:7" ht="69.95" customHeight="1" x14ac:dyDescent="0.2">
      <c r="A95" s="76" t="s">
        <v>216</v>
      </c>
      <c r="B95" s="100" t="s">
        <v>1003</v>
      </c>
      <c r="C95" s="78"/>
      <c r="D95" s="74"/>
      <c r="G95" s="79"/>
    </row>
    <row r="96" spans="1:7" ht="80.099999999999994" customHeight="1" x14ac:dyDescent="0.2">
      <c r="A96" s="76" t="s">
        <v>1004</v>
      </c>
      <c r="B96" s="100" t="s">
        <v>1005</v>
      </c>
      <c r="C96" s="78"/>
      <c r="D96" s="74"/>
      <c r="G96" s="79"/>
    </row>
    <row r="97" spans="1:7" ht="39.950000000000003" customHeight="1" x14ac:dyDescent="0.2">
      <c r="A97" s="76" t="s">
        <v>1006</v>
      </c>
      <c r="B97" s="80" t="s">
        <v>1007</v>
      </c>
      <c r="C97" s="78"/>
      <c r="D97" s="74"/>
      <c r="G97" s="79"/>
    </row>
    <row r="98" spans="1:7" ht="12.75" customHeight="1" x14ac:dyDescent="0.2">
      <c r="A98" s="76" t="s">
        <v>1008</v>
      </c>
      <c r="B98" s="80" t="s">
        <v>1009</v>
      </c>
      <c r="C98" s="78"/>
      <c r="D98" s="74"/>
      <c r="G98" s="79"/>
    </row>
    <row r="99" spans="1:7" ht="39.950000000000003" customHeight="1" x14ac:dyDescent="0.2">
      <c r="A99" s="76" t="s">
        <v>1010</v>
      </c>
      <c r="B99" s="80" t="s">
        <v>1011</v>
      </c>
      <c r="C99" s="78"/>
      <c r="D99" s="74"/>
      <c r="G99" s="79"/>
    </row>
    <row r="100" spans="1:7" ht="63.75" x14ac:dyDescent="0.2">
      <c r="A100" s="76" t="s">
        <v>1012</v>
      </c>
      <c r="B100" s="98" t="s">
        <v>1013</v>
      </c>
      <c r="C100" s="78"/>
      <c r="D100" s="74"/>
      <c r="G100" s="79"/>
    </row>
    <row r="101" spans="1:7" ht="122.25" customHeight="1" x14ac:dyDescent="0.2">
      <c r="A101" s="76" t="s">
        <v>139</v>
      </c>
      <c r="B101" s="100" t="s">
        <v>1014</v>
      </c>
      <c r="C101" s="78"/>
      <c r="D101" s="74"/>
    </row>
    <row r="102" spans="1:7" ht="25.5" x14ac:dyDescent="0.2">
      <c r="A102" s="76" t="s">
        <v>1015</v>
      </c>
      <c r="B102" s="98" t="s">
        <v>1016</v>
      </c>
      <c r="C102" s="78"/>
      <c r="D102" s="74"/>
    </row>
    <row r="103" spans="1:7" ht="63.75" x14ac:dyDescent="0.2">
      <c r="A103" s="76" t="s">
        <v>148</v>
      </c>
      <c r="B103" s="98" t="s">
        <v>1017</v>
      </c>
      <c r="C103" s="78"/>
      <c r="D103" s="74"/>
    </row>
    <row r="104" spans="1:7" ht="63.75" x14ac:dyDescent="0.2">
      <c r="A104" s="76" t="s">
        <v>1018</v>
      </c>
      <c r="B104" s="98" t="s">
        <v>1019</v>
      </c>
      <c r="C104" s="78"/>
      <c r="D104" s="74"/>
    </row>
    <row r="105" spans="1:7" ht="51" x14ac:dyDescent="0.2">
      <c r="A105" s="76" t="s">
        <v>113</v>
      </c>
      <c r="B105" s="98" t="s">
        <v>1020</v>
      </c>
      <c r="C105" s="78"/>
      <c r="D105" s="74"/>
    </row>
    <row r="106" spans="1:7" ht="51" x14ac:dyDescent="0.2">
      <c r="A106" s="76" t="s">
        <v>112</v>
      </c>
      <c r="B106" s="98" t="s">
        <v>1021</v>
      </c>
      <c r="C106" s="78"/>
      <c r="D106" s="74"/>
    </row>
    <row r="107" spans="1:7" ht="51" x14ac:dyDescent="0.2">
      <c r="A107" s="76" t="s">
        <v>1022</v>
      </c>
      <c r="B107" s="98" t="s">
        <v>1023</v>
      </c>
      <c r="C107" s="78"/>
      <c r="D107" s="74"/>
    </row>
    <row r="108" spans="1:7" ht="51" x14ac:dyDescent="0.2">
      <c r="A108" s="76" t="s">
        <v>1024</v>
      </c>
      <c r="B108" s="98" t="s">
        <v>1025</v>
      </c>
      <c r="C108" s="78"/>
      <c r="D108" s="74"/>
    </row>
    <row r="109" spans="1:7" ht="25.5" x14ac:dyDescent="0.2">
      <c r="A109" s="76" t="s">
        <v>180</v>
      </c>
      <c r="B109" s="98" t="s">
        <v>1026</v>
      </c>
      <c r="C109" s="78"/>
      <c r="D109" s="74"/>
    </row>
    <row r="110" spans="1:7" x14ac:dyDescent="0.2">
      <c r="A110" s="89"/>
      <c r="B110" s="104"/>
      <c r="C110" s="91"/>
      <c r="D110" s="74"/>
    </row>
    <row r="111" spans="1:7" x14ac:dyDescent="0.2">
      <c r="A111" s="73"/>
      <c r="B111" s="95" t="s">
        <v>1027</v>
      </c>
      <c r="C111" s="74"/>
      <c r="D111" s="74"/>
    </row>
    <row r="112" spans="1:7" x14ac:dyDescent="0.2">
      <c r="A112" s="105"/>
      <c r="B112" s="95" t="s">
        <v>1028</v>
      </c>
      <c r="C112" s="74"/>
      <c r="D112" s="74"/>
    </row>
    <row r="113" spans="1:4" x14ac:dyDescent="0.2">
      <c r="A113" s="105"/>
      <c r="B113" s="95" t="s">
        <v>1029</v>
      </c>
      <c r="C113" s="74"/>
      <c r="D113" s="74"/>
    </row>
    <row r="114" spans="1:4" x14ac:dyDescent="0.2">
      <c r="A114" s="105"/>
      <c r="B114" s="95" t="s">
        <v>1030</v>
      </c>
      <c r="C114" s="74"/>
      <c r="D114" s="74"/>
    </row>
    <row r="115" spans="1:4" x14ac:dyDescent="0.2">
      <c r="A115" s="105"/>
      <c r="B115" s="95" t="s">
        <v>1031</v>
      </c>
      <c r="C115" s="74"/>
      <c r="D115" s="74"/>
    </row>
    <row r="116" spans="1:4" x14ac:dyDescent="0.2">
      <c r="A116" s="105"/>
      <c r="B116" s="95"/>
      <c r="C116" s="74"/>
      <c r="D116" s="74"/>
    </row>
    <row r="117" spans="1:4" x14ac:dyDescent="0.2">
      <c r="A117" s="73"/>
      <c r="B117" s="95" t="s">
        <v>1032</v>
      </c>
      <c r="C117" s="74"/>
      <c r="D117" s="74"/>
    </row>
    <row r="118" spans="1:4" x14ac:dyDescent="0.2">
      <c r="A118" s="73"/>
      <c r="B118" s="95" t="s">
        <v>1033</v>
      </c>
      <c r="C118" s="74"/>
      <c r="D118" s="74"/>
    </row>
    <row r="119" spans="1:4" x14ac:dyDescent="0.2">
      <c r="A119" s="73"/>
      <c r="B119" s="95" t="s">
        <v>1034</v>
      </c>
      <c r="C119" s="74"/>
      <c r="D119" s="74"/>
    </row>
    <row r="120" spans="1:4" x14ac:dyDescent="0.2">
      <c r="A120" s="73"/>
      <c r="B120" s="95"/>
      <c r="C120" s="74"/>
      <c r="D120" s="74"/>
    </row>
    <row r="121" spans="1:4" x14ac:dyDescent="0.2">
      <c r="A121" s="73"/>
      <c r="B121" s="95" t="s">
        <v>1035</v>
      </c>
      <c r="C121" s="74"/>
      <c r="D121" s="74"/>
    </row>
    <row r="122" spans="1:4" x14ac:dyDescent="0.2">
      <c r="A122" s="73"/>
      <c r="B122" s="95" t="s">
        <v>1036</v>
      </c>
      <c r="C122" s="74"/>
      <c r="D122" s="74"/>
    </row>
    <row r="123" spans="1:4" x14ac:dyDescent="0.2">
      <c r="A123" s="73"/>
      <c r="B123" s="95" t="s">
        <v>1037</v>
      </c>
      <c r="C123" s="74"/>
      <c r="D123" s="74"/>
    </row>
    <row r="124" spans="1:4" x14ac:dyDescent="0.2">
      <c r="A124" s="73"/>
      <c r="B124" s="95" t="s">
        <v>1038</v>
      </c>
      <c r="C124" s="74"/>
      <c r="D124" s="74"/>
    </row>
    <row r="125" spans="1:4" x14ac:dyDescent="0.2">
      <c r="A125" s="73"/>
      <c r="B125" s="95"/>
      <c r="C125" s="74"/>
      <c r="D125" s="74"/>
    </row>
    <row r="126" spans="1:4" x14ac:dyDescent="0.2">
      <c r="A126" s="73"/>
      <c r="B126" s="95" t="s">
        <v>1039</v>
      </c>
      <c r="C126" s="74"/>
      <c r="D126" s="74"/>
    </row>
    <row r="127" spans="1:4" x14ac:dyDescent="0.2">
      <c r="A127" s="73"/>
      <c r="B127" s="95" t="s">
        <v>1040</v>
      </c>
      <c r="C127" s="74"/>
      <c r="D127" s="74"/>
    </row>
    <row r="128" spans="1:4" x14ac:dyDescent="0.2">
      <c r="A128" s="73"/>
      <c r="B128" s="95" t="s">
        <v>1041</v>
      </c>
      <c r="C128" s="74"/>
      <c r="D128" s="74"/>
    </row>
    <row r="129" spans="1:4" x14ac:dyDescent="0.2">
      <c r="A129" s="73"/>
      <c r="B129" s="95"/>
      <c r="C129" s="74"/>
      <c r="D129" s="74"/>
    </row>
    <row r="130" spans="1:4" x14ac:dyDescent="0.2">
      <c r="A130" s="73"/>
      <c r="B130" s="106" t="s">
        <v>1042</v>
      </c>
      <c r="C130" s="74"/>
      <c r="D130" s="74"/>
    </row>
    <row r="131" spans="1:4" x14ac:dyDescent="0.2">
      <c r="A131" s="73"/>
      <c r="B131" s="106" t="s">
        <v>1043</v>
      </c>
      <c r="C131" s="74"/>
      <c r="D131" s="74"/>
    </row>
    <row r="132" spans="1:4" x14ac:dyDescent="0.2">
      <c r="A132" s="73"/>
      <c r="B132" s="106" t="s">
        <v>1044</v>
      </c>
      <c r="C132" s="74"/>
      <c r="D132" s="74"/>
    </row>
    <row r="133" spans="1:4" x14ac:dyDescent="0.2">
      <c r="A133" s="73"/>
      <c r="B133" s="74"/>
      <c r="C133" s="74"/>
      <c r="D133" s="74"/>
    </row>
  </sheetData>
  <pageMargins left="0.62992125984251968" right="0.62992125984251968" top="0.55118110236220474" bottom="0.55118110236220474" header="0.31496062992125984" footer="0.31496062992125984"/>
  <pageSetup paperSize="9" orientation="landscape" horizontalDpi="300" verticalDpi="300" r:id="rId1"/>
  <headerFooter>
    <oddHeader>&amp;L&amp;"Arial,Obyčejné"KRYTÝ BAZÉN ZNOJMO - LOUKA SO 101&amp;R&amp;"Arial,Obyčejné"DPS</oddHeader>
    <oddFooter>Stránka &amp;P z &amp;N</oddFooter>
  </headerFooter>
  <colBreaks count="1" manualBreakCount="1">
    <brk id="11"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4"/>
  <dimension ref="A1:O20"/>
  <sheetViews>
    <sheetView workbookViewId="0">
      <selection activeCell="S244" sqref="S244"/>
    </sheetView>
  </sheetViews>
  <sheetFormatPr defaultRowHeight="12.75" x14ac:dyDescent="0.2"/>
  <cols>
    <col min="1" max="1" width="26.83203125" customWidth="1"/>
    <col min="2" max="3" width="13.83203125" customWidth="1"/>
    <col min="4" max="4" width="5.83203125" customWidth="1"/>
    <col min="5" max="5" width="7.83203125" customWidth="1"/>
    <col min="6" max="6" width="3.83203125" customWidth="1"/>
    <col min="7" max="7" width="10.83203125" customWidth="1"/>
    <col min="8" max="8" width="11.83203125" customWidth="1"/>
    <col min="9" max="9" width="11.83203125" style="4" customWidth="1"/>
    <col min="10" max="10" width="11.83203125" customWidth="1"/>
    <col min="11" max="11" width="9.33203125" style="4"/>
  </cols>
  <sheetData>
    <row r="1" spans="1:15" ht="25.5" x14ac:dyDescent="0.35">
      <c r="B1" s="2" t="s">
        <v>235</v>
      </c>
    </row>
    <row r="3" spans="1:15" s="7" customFormat="1" x14ac:dyDescent="0.2">
      <c r="A3" s="6" t="s">
        <v>34</v>
      </c>
      <c r="E3" s="20" t="s">
        <v>35</v>
      </c>
      <c r="F3" s="6" t="s">
        <v>13</v>
      </c>
      <c r="G3" s="11" t="s">
        <v>250</v>
      </c>
      <c r="H3" s="11" t="s">
        <v>14</v>
      </c>
      <c r="I3" s="11"/>
      <c r="J3" s="6"/>
      <c r="K3" s="18"/>
    </row>
    <row r="5" spans="1:15" s="7" customFormat="1" x14ac:dyDescent="0.2">
      <c r="A5" s="6" t="s">
        <v>236</v>
      </c>
      <c r="B5" s="7" t="s">
        <v>237</v>
      </c>
      <c r="D5" s="6"/>
      <c r="E5" s="13">
        <v>1</v>
      </c>
      <c r="F5" s="6" t="s">
        <v>15</v>
      </c>
      <c r="G5" s="11">
        <f>'RH2'!J56</f>
        <v>0</v>
      </c>
      <c r="H5" s="11">
        <f t="shared" ref="H5:H18" si="0">G5*E5</f>
        <v>0</v>
      </c>
      <c r="I5" s="8"/>
      <c r="K5" s="28"/>
      <c r="L5" s="12"/>
      <c r="M5" s="31"/>
      <c r="N5" s="14"/>
      <c r="O5" s="14"/>
    </row>
    <row r="6" spans="1:15" s="7" customFormat="1" x14ac:dyDescent="0.2">
      <c r="A6" s="6" t="s">
        <v>236</v>
      </c>
      <c r="B6" s="7" t="s">
        <v>238</v>
      </c>
      <c r="C6" s="6"/>
      <c r="D6" s="6"/>
      <c r="E6" s="13">
        <v>1</v>
      </c>
      <c r="F6" s="6" t="s">
        <v>15</v>
      </c>
      <c r="G6" s="11">
        <f>R1.1!J26</f>
        <v>0</v>
      </c>
      <c r="H6" s="11">
        <f t="shared" si="0"/>
        <v>0</v>
      </c>
      <c r="I6" s="8"/>
      <c r="K6" s="28"/>
      <c r="L6" s="12"/>
      <c r="N6" s="14"/>
      <c r="O6" s="14"/>
    </row>
    <row r="7" spans="1:15" s="7" customFormat="1" x14ac:dyDescent="0.2">
      <c r="A7" s="6" t="s">
        <v>236</v>
      </c>
      <c r="B7" s="6" t="s">
        <v>239</v>
      </c>
      <c r="D7" s="6"/>
      <c r="E7" s="13">
        <v>1</v>
      </c>
      <c r="F7" s="6" t="s">
        <v>15</v>
      </c>
      <c r="G7" s="11">
        <f>R1.2!J45</f>
        <v>0</v>
      </c>
      <c r="H7" s="11">
        <f t="shared" si="0"/>
        <v>0</v>
      </c>
      <c r="I7" s="8"/>
      <c r="J7" s="6"/>
      <c r="K7" s="18"/>
      <c r="L7" s="12"/>
      <c r="M7" s="12"/>
      <c r="N7" s="14"/>
      <c r="O7" s="14"/>
    </row>
    <row r="8" spans="1:15" s="7" customFormat="1" x14ac:dyDescent="0.2">
      <c r="A8" s="6" t="s">
        <v>236</v>
      </c>
      <c r="B8" s="6" t="s">
        <v>240</v>
      </c>
      <c r="D8" s="6"/>
      <c r="E8" s="13">
        <v>1</v>
      </c>
      <c r="F8" s="6" t="s">
        <v>15</v>
      </c>
      <c r="G8" s="11">
        <f>R1.3!J22</f>
        <v>0</v>
      </c>
      <c r="H8" s="11">
        <f t="shared" si="0"/>
        <v>0</v>
      </c>
      <c r="I8" s="8"/>
      <c r="J8" s="6"/>
      <c r="K8" s="18"/>
      <c r="L8" s="12"/>
      <c r="M8" s="12"/>
      <c r="N8" s="14"/>
      <c r="O8" s="14"/>
    </row>
    <row r="9" spans="1:15" s="7" customFormat="1" x14ac:dyDescent="0.2">
      <c r="A9" s="6" t="s">
        <v>236</v>
      </c>
      <c r="B9" s="6" t="s">
        <v>241</v>
      </c>
      <c r="D9" s="6"/>
      <c r="E9" s="13">
        <v>1</v>
      </c>
      <c r="F9" s="6" t="s">
        <v>15</v>
      </c>
      <c r="G9" s="11">
        <f>R1.4!J23</f>
        <v>0</v>
      </c>
      <c r="H9" s="11">
        <f t="shared" si="0"/>
        <v>0</v>
      </c>
      <c r="I9" s="8"/>
      <c r="J9" s="6"/>
      <c r="K9" s="18"/>
      <c r="L9" s="12"/>
      <c r="M9" s="12"/>
      <c r="N9" s="14"/>
      <c r="O9" s="14"/>
    </row>
    <row r="10" spans="1:15" s="7" customFormat="1" x14ac:dyDescent="0.2">
      <c r="A10" s="6" t="s">
        <v>236</v>
      </c>
      <c r="B10" s="6" t="s">
        <v>242</v>
      </c>
      <c r="C10" s="6"/>
      <c r="D10" s="6"/>
      <c r="E10" s="13">
        <v>1</v>
      </c>
      <c r="F10" s="6" t="s">
        <v>15</v>
      </c>
      <c r="G10" s="11">
        <f>R2.1!J32</f>
        <v>0</v>
      </c>
      <c r="H10" s="11">
        <f t="shared" si="0"/>
        <v>0</v>
      </c>
      <c r="I10" s="8"/>
      <c r="J10" s="6"/>
      <c r="K10" s="18"/>
      <c r="L10" s="12"/>
      <c r="M10" s="12"/>
      <c r="N10" s="14"/>
      <c r="O10" s="14"/>
    </row>
    <row r="11" spans="1:15" s="7" customFormat="1" x14ac:dyDescent="0.2">
      <c r="A11" s="6" t="s">
        <v>236</v>
      </c>
      <c r="B11" s="6" t="s">
        <v>243</v>
      </c>
      <c r="C11" s="6"/>
      <c r="D11" s="6"/>
      <c r="E11" s="13">
        <v>1</v>
      </c>
      <c r="F11" s="6" t="s">
        <v>15</v>
      </c>
      <c r="G11" s="11">
        <f>R2.2!J44</f>
        <v>0</v>
      </c>
      <c r="H11" s="11">
        <f t="shared" si="0"/>
        <v>0</v>
      </c>
      <c r="I11" s="8"/>
      <c r="J11" s="6"/>
      <c r="K11" s="18"/>
      <c r="L11" s="12"/>
      <c r="M11" s="12"/>
      <c r="N11" s="14"/>
      <c r="O11" s="14"/>
    </row>
    <row r="12" spans="1:15" s="7" customFormat="1" x14ac:dyDescent="0.2">
      <c r="A12" s="6" t="s">
        <v>236</v>
      </c>
      <c r="B12" s="6" t="s">
        <v>244</v>
      </c>
      <c r="C12" s="6"/>
      <c r="D12" s="6"/>
      <c r="E12" s="13">
        <v>1</v>
      </c>
      <c r="F12" s="6" t="s">
        <v>15</v>
      </c>
      <c r="G12" s="11">
        <f>R2.3!J23</f>
        <v>0</v>
      </c>
      <c r="H12" s="11">
        <f t="shared" si="0"/>
        <v>0</v>
      </c>
      <c r="I12" s="8"/>
      <c r="J12" s="6"/>
      <c r="K12" s="18"/>
      <c r="L12" s="12"/>
      <c r="M12" s="12"/>
      <c r="N12" s="14"/>
      <c r="O12" s="14"/>
    </row>
    <row r="13" spans="1:15" s="7" customFormat="1" x14ac:dyDescent="0.2">
      <c r="A13" s="6" t="s">
        <v>236</v>
      </c>
      <c r="B13" s="6" t="s">
        <v>245</v>
      </c>
      <c r="C13" s="6"/>
      <c r="D13" s="6"/>
      <c r="E13" s="13">
        <v>1</v>
      </c>
      <c r="F13" s="6" t="s">
        <v>15</v>
      </c>
      <c r="G13" s="11">
        <f>RP!J16</f>
        <v>0</v>
      </c>
      <c r="H13" s="11">
        <f t="shared" si="0"/>
        <v>0</v>
      </c>
      <c r="I13" s="8"/>
      <c r="J13" s="6"/>
      <c r="K13" s="18"/>
      <c r="L13" s="12"/>
      <c r="M13" s="12"/>
      <c r="N13" s="14"/>
      <c r="O13" s="14"/>
    </row>
    <row r="14" spans="1:15" s="7" customFormat="1" x14ac:dyDescent="0.2">
      <c r="A14" s="6" t="s">
        <v>236</v>
      </c>
      <c r="B14" s="6" t="s">
        <v>246</v>
      </c>
      <c r="C14" s="6"/>
      <c r="D14" s="6"/>
      <c r="E14" s="13">
        <v>1</v>
      </c>
      <c r="F14" s="6" t="s">
        <v>15</v>
      </c>
      <c r="G14" s="11">
        <f>RU!J20</f>
        <v>0</v>
      </c>
      <c r="H14" s="11">
        <f t="shared" si="0"/>
        <v>0</v>
      </c>
      <c r="I14" s="8"/>
      <c r="J14" s="6"/>
      <c r="K14" s="18"/>
      <c r="L14" s="12"/>
      <c r="M14" s="12"/>
      <c r="N14" s="14"/>
      <c r="O14" s="14"/>
    </row>
    <row r="15" spans="1:15" s="7" customFormat="1" x14ac:dyDescent="0.2">
      <c r="A15" s="6" t="s">
        <v>267</v>
      </c>
      <c r="B15" s="6" t="s">
        <v>268</v>
      </c>
      <c r="C15" s="6"/>
      <c r="D15" s="6"/>
      <c r="E15" s="13">
        <v>2</v>
      </c>
      <c r="F15" s="6" t="s">
        <v>15</v>
      </c>
      <c r="G15" s="11">
        <f>OS!J13</f>
        <v>0</v>
      </c>
      <c r="H15" s="11">
        <f t="shared" si="0"/>
        <v>0</v>
      </c>
      <c r="I15" s="8"/>
      <c r="J15" s="6"/>
      <c r="K15" s="18"/>
      <c r="L15" s="12"/>
      <c r="M15" s="12"/>
      <c r="N15" s="14"/>
      <c r="O15" s="14"/>
    </row>
    <row r="16" spans="1:15" s="7" customFormat="1" x14ac:dyDescent="0.2">
      <c r="A16" s="6" t="s">
        <v>361</v>
      </c>
      <c r="B16" s="6" t="s">
        <v>360</v>
      </c>
      <c r="C16" s="6"/>
      <c r="D16" s="6"/>
      <c r="E16" s="13">
        <v>1</v>
      </c>
      <c r="F16" s="6" t="s">
        <v>15</v>
      </c>
      <c r="G16" s="11">
        <f>RNO!J13</f>
        <v>0</v>
      </c>
      <c r="H16" s="11">
        <f t="shared" ref="H16" si="1">G16*E16</f>
        <v>0</v>
      </c>
      <c r="I16" s="8"/>
      <c r="J16" s="6"/>
      <c r="K16" s="18"/>
      <c r="L16" s="12"/>
      <c r="M16" s="12"/>
      <c r="N16" s="14"/>
      <c r="O16" s="14"/>
    </row>
    <row r="17" spans="1:15" s="7" customFormat="1" x14ac:dyDescent="0.2">
      <c r="A17" s="6" t="s">
        <v>247</v>
      </c>
      <c r="B17" s="6" t="s">
        <v>248</v>
      </c>
      <c r="C17" s="6"/>
      <c r="D17" s="6"/>
      <c r="E17" s="13">
        <v>1</v>
      </c>
      <c r="F17" s="6" t="s">
        <v>15</v>
      </c>
      <c r="G17" s="11">
        <f>UPS!J13</f>
        <v>0</v>
      </c>
      <c r="H17" s="11">
        <f t="shared" si="0"/>
        <v>0</v>
      </c>
      <c r="I17" s="8"/>
      <c r="J17" s="6"/>
      <c r="K17" s="18"/>
      <c r="L17" s="12"/>
      <c r="M17" s="12"/>
      <c r="N17" s="14"/>
      <c r="O17" s="14"/>
    </row>
    <row r="18" spans="1:15" s="7" customFormat="1" x14ac:dyDescent="0.2">
      <c r="A18" s="6" t="s">
        <v>232</v>
      </c>
      <c r="B18" s="6" t="s">
        <v>249</v>
      </c>
      <c r="C18" s="6"/>
      <c r="D18" s="6"/>
      <c r="E18" s="13">
        <v>1</v>
      </c>
      <c r="F18" s="6" t="s">
        <v>15</v>
      </c>
      <c r="G18" s="11">
        <f>'Motor generátor'!J13</f>
        <v>0</v>
      </c>
      <c r="H18" s="11">
        <f t="shared" si="0"/>
        <v>0</v>
      </c>
      <c r="I18" s="8"/>
      <c r="J18" s="6"/>
      <c r="K18" s="18"/>
      <c r="L18" s="12"/>
      <c r="M18" s="12"/>
      <c r="N18" s="14"/>
      <c r="O18" s="14"/>
    </row>
    <row r="19" spans="1:15" s="7" customFormat="1" x14ac:dyDescent="0.2">
      <c r="A19" s="6"/>
      <c r="B19" s="20"/>
      <c r="C19" s="6"/>
      <c r="D19" s="6"/>
      <c r="E19" s="13"/>
      <c r="F19" s="6"/>
      <c r="G19" s="8"/>
      <c r="H19" s="8"/>
      <c r="I19" s="8"/>
      <c r="K19" s="29"/>
      <c r="M19" s="14"/>
      <c r="N19" s="14"/>
    </row>
    <row r="20" spans="1:15" s="7" customFormat="1" x14ac:dyDescent="0.2">
      <c r="A20" s="27" t="s">
        <v>29</v>
      </c>
      <c r="B20" s="47"/>
      <c r="C20" s="27"/>
      <c r="D20" s="27"/>
      <c r="E20" s="48"/>
      <c r="F20" s="27"/>
      <c r="G20" s="49"/>
      <c r="H20" s="49">
        <f>SUM(H5:H19)</f>
        <v>0</v>
      </c>
      <c r="I20" s="8"/>
      <c r="K20" s="29"/>
      <c r="M20" s="14"/>
      <c r="N20" s="14"/>
    </row>
  </sheetData>
  <pageMargins left="0.62992125984251968" right="0.62992125984251968" top="0.55118110236220474" bottom="0.55118110236220474" header="0.31496062992125984" footer="0.31496062992125984"/>
  <pageSetup paperSize="9" orientation="landscape" horizontalDpi="300" verticalDpi="300" r:id="rId1"/>
  <headerFooter>
    <oddHeader>&amp;L&amp;"Arial,Obyčejné"KRYTÝ BAZÉN ZNOJMO - LOUKA SO 101&amp;R&amp;"Arial,Obyčejné"DPS</oddHeader>
    <oddFooter>Stránka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T56"/>
  <sheetViews>
    <sheetView workbookViewId="0">
      <selection activeCell="S244" sqref="S244"/>
    </sheetView>
  </sheetViews>
  <sheetFormatPr defaultRowHeight="12.75" x14ac:dyDescent="0.2"/>
  <cols>
    <col min="1" max="1" width="26.83203125" customWidth="1"/>
    <col min="2" max="3" width="13.83203125" customWidth="1"/>
    <col min="4" max="4" width="5.83203125" customWidth="1"/>
    <col min="5" max="5" width="7.83203125" customWidth="1"/>
    <col min="6" max="6" width="3.83203125" customWidth="1"/>
    <col min="7" max="8" width="10.83203125" customWidth="1"/>
    <col min="9" max="9" width="11.83203125" customWidth="1"/>
    <col min="10" max="10" width="11.83203125" style="4" customWidth="1"/>
    <col min="11" max="11" width="11.83203125" customWidth="1"/>
    <col min="12" max="12" width="9.33203125" style="4"/>
  </cols>
  <sheetData>
    <row r="1" spans="1:16" ht="25.5" x14ac:dyDescent="0.35">
      <c r="B1" s="2" t="s">
        <v>78</v>
      </c>
    </row>
    <row r="2" spans="1:16" x14ac:dyDescent="0.2">
      <c r="A2" t="s">
        <v>59</v>
      </c>
      <c r="C2" t="s">
        <v>102</v>
      </c>
      <c r="E2">
        <v>1</v>
      </c>
      <c r="F2" t="s">
        <v>15</v>
      </c>
    </row>
    <row r="4" spans="1:16" x14ac:dyDescent="0.2">
      <c r="A4" t="s">
        <v>60</v>
      </c>
      <c r="C4" t="s">
        <v>157</v>
      </c>
    </row>
    <row r="5" spans="1:16" x14ac:dyDescent="0.2">
      <c r="H5" s="3"/>
    </row>
    <row r="6" spans="1:16" s="7" customFormat="1" x14ac:dyDescent="0.2">
      <c r="A6" s="6" t="s">
        <v>34</v>
      </c>
      <c r="E6" s="20" t="s">
        <v>35</v>
      </c>
      <c r="F6" s="6" t="s">
        <v>13</v>
      </c>
      <c r="G6" s="11" t="s">
        <v>30</v>
      </c>
      <c r="H6" s="11" t="s">
        <v>31</v>
      </c>
      <c r="I6" s="11" t="s">
        <v>32</v>
      </c>
      <c r="J6" s="11" t="s">
        <v>33</v>
      </c>
      <c r="K6" s="6" t="s">
        <v>61</v>
      </c>
      <c r="L6" s="18" t="s">
        <v>269</v>
      </c>
    </row>
    <row r="8" spans="1:16" s="7" customFormat="1" x14ac:dyDescent="0.2">
      <c r="A8" s="6" t="s">
        <v>62</v>
      </c>
      <c r="D8" s="6"/>
      <c r="E8" s="30">
        <f>2*2.4</f>
        <v>4.8</v>
      </c>
      <c r="F8" s="6" t="s">
        <v>26</v>
      </c>
      <c r="G8" s="109"/>
      <c r="H8" s="109"/>
      <c r="I8" s="11">
        <f>G8*E8</f>
        <v>0</v>
      </c>
      <c r="J8" s="8">
        <f>H8*E8</f>
        <v>0</v>
      </c>
      <c r="L8" s="28"/>
      <c r="M8" s="12"/>
      <c r="N8" s="31"/>
      <c r="O8" s="14"/>
      <c r="P8" s="14"/>
    </row>
    <row r="9" spans="1:16" s="7" customFormat="1" x14ac:dyDescent="0.2">
      <c r="A9" s="6" t="s">
        <v>63</v>
      </c>
      <c r="C9" s="6" t="s">
        <v>24</v>
      </c>
      <c r="D9" s="6"/>
      <c r="E9" s="13">
        <v>1</v>
      </c>
      <c r="F9" s="6" t="s">
        <v>15</v>
      </c>
      <c r="G9" s="109"/>
      <c r="H9" s="110"/>
      <c r="I9" s="11">
        <f>G9*E9</f>
        <v>0</v>
      </c>
      <c r="J9" s="8">
        <f>H9*E9</f>
        <v>0</v>
      </c>
      <c r="L9" s="28"/>
      <c r="M9" s="12"/>
      <c r="O9" s="14"/>
      <c r="P9" s="14"/>
    </row>
    <row r="10" spans="1:16" s="7" customFormat="1" x14ac:dyDescent="0.2">
      <c r="A10" s="6" t="s">
        <v>90</v>
      </c>
      <c r="B10" s="6" t="s">
        <v>1075</v>
      </c>
      <c r="D10" s="6"/>
      <c r="E10" s="40">
        <v>6</v>
      </c>
      <c r="F10" s="6" t="s">
        <v>15</v>
      </c>
      <c r="G10" s="109"/>
      <c r="H10" s="109"/>
      <c r="I10" s="11">
        <f>G10*E10</f>
        <v>0</v>
      </c>
      <c r="J10" s="8">
        <f>H10*E10</f>
        <v>0</v>
      </c>
      <c r="K10" s="6" t="s">
        <v>40</v>
      </c>
      <c r="L10" s="18" t="s">
        <v>91</v>
      </c>
      <c r="M10" s="12"/>
      <c r="N10" s="12"/>
      <c r="O10" s="14"/>
      <c r="P10" s="14"/>
    </row>
    <row r="11" spans="1:16" s="7" customFormat="1" x14ac:dyDescent="0.2">
      <c r="A11" s="6" t="s">
        <v>92</v>
      </c>
      <c r="B11" s="6" t="s">
        <v>1076</v>
      </c>
      <c r="D11" s="6"/>
      <c r="E11" s="40">
        <v>7</v>
      </c>
      <c r="F11" s="6" t="s">
        <v>15</v>
      </c>
      <c r="G11" s="109"/>
      <c r="H11" s="109"/>
      <c r="I11" s="11">
        <f t="shared" ref="I11" si="0">G11*E11</f>
        <v>0</v>
      </c>
      <c r="J11" s="8">
        <f t="shared" ref="J11" si="1">H11*E11</f>
        <v>0</v>
      </c>
      <c r="K11" s="6" t="s">
        <v>39</v>
      </c>
      <c r="L11" s="18" t="s">
        <v>93</v>
      </c>
      <c r="M11" s="12"/>
      <c r="N11" s="12"/>
      <c r="O11" s="14"/>
      <c r="P11" s="14"/>
    </row>
    <row r="12" spans="1:16" s="7" customFormat="1" x14ac:dyDescent="0.2">
      <c r="A12" s="6" t="s">
        <v>92</v>
      </c>
      <c r="B12" s="6" t="s">
        <v>1077</v>
      </c>
      <c r="D12" s="6"/>
      <c r="E12" s="40">
        <v>8</v>
      </c>
      <c r="F12" s="6" t="s">
        <v>15</v>
      </c>
      <c r="G12" s="109"/>
      <c r="H12" s="109"/>
      <c r="I12" s="11">
        <f>G12*E12</f>
        <v>0</v>
      </c>
      <c r="J12" s="8">
        <f>H12*E12</f>
        <v>0</v>
      </c>
      <c r="K12" s="6" t="s">
        <v>39</v>
      </c>
      <c r="L12" s="18" t="s">
        <v>94</v>
      </c>
      <c r="M12" s="12"/>
      <c r="N12" s="12"/>
      <c r="O12" s="14"/>
      <c r="P12" s="14"/>
    </row>
    <row r="13" spans="1:16" s="7" customFormat="1" x14ac:dyDescent="0.2">
      <c r="A13" s="6" t="s">
        <v>21</v>
      </c>
      <c r="B13" s="6" t="s">
        <v>22</v>
      </c>
      <c r="C13" s="6" t="s">
        <v>43</v>
      </c>
      <c r="D13" s="6"/>
      <c r="E13" s="13">
        <v>14</v>
      </c>
      <c r="F13" s="6" t="s">
        <v>15</v>
      </c>
      <c r="G13" s="109"/>
      <c r="H13" s="109"/>
      <c r="I13" s="11">
        <f t="shared" ref="I13:I21" si="2">G13*E13</f>
        <v>0</v>
      </c>
      <c r="J13" s="8">
        <f t="shared" ref="J13:J21" si="3">H13*E13</f>
        <v>0</v>
      </c>
      <c r="K13" s="6" t="s">
        <v>39</v>
      </c>
      <c r="L13" s="18" t="s">
        <v>95</v>
      </c>
      <c r="M13" s="12"/>
      <c r="N13" s="12"/>
      <c r="O13" s="14"/>
      <c r="P13" s="14"/>
    </row>
    <row r="14" spans="1:16" s="7" customFormat="1" x14ac:dyDescent="0.2">
      <c r="A14" s="6" t="s">
        <v>21</v>
      </c>
      <c r="B14" s="6" t="s">
        <v>22</v>
      </c>
      <c r="C14" s="6" t="s">
        <v>65</v>
      </c>
      <c r="D14" s="6"/>
      <c r="E14" s="13">
        <v>3</v>
      </c>
      <c r="F14" s="6" t="s">
        <v>15</v>
      </c>
      <c r="G14" s="109"/>
      <c r="H14" s="109"/>
      <c r="I14" s="11">
        <f t="shared" si="2"/>
        <v>0</v>
      </c>
      <c r="J14" s="8">
        <f t="shared" si="3"/>
        <v>0</v>
      </c>
      <c r="K14" s="6" t="s">
        <v>39</v>
      </c>
      <c r="L14" s="18" t="s">
        <v>95</v>
      </c>
      <c r="M14" s="12"/>
      <c r="N14" s="12"/>
      <c r="O14" s="14"/>
      <c r="P14" s="14"/>
    </row>
    <row r="15" spans="1:16" s="7" customFormat="1" x14ac:dyDescent="0.2">
      <c r="A15" s="6" t="s">
        <v>21</v>
      </c>
      <c r="B15" s="6" t="s">
        <v>22</v>
      </c>
      <c r="C15" s="6" t="s">
        <v>96</v>
      </c>
      <c r="D15" s="6"/>
      <c r="E15" s="13">
        <v>5</v>
      </c>
      <c r="F15" s="6" t="s">
        <v>15</v>
      </c>
      <c r="G15" s="109"/>
      <c r="H15" s="109"/>
      <c r="I15" s="11">
        <f t="shared" si="2"/>
        <v>0</v>
      </c>
      <c r="J15" s="8">
        <f t="shared" si="3"/>
        <v>0</v>
      </c>
      <c r="K15" s="6" t="s">
        <v>39</v>
      </c>
      <c r="L15" s="18" t="s">
        <v>95</v>
      </c>
      <c r="M15" s="12"/>
      <c r="N15" s="12"/>
      <c r="O15" s="14"/>
      <c r="P15" s="14"/>
    </row>
    <row r="16" spans="1:16" s="7" customFormat="1" x14ac:dyDescent="0.2">
      <c r="A16" s="6" t="s">
        <v>21</v>
      </c>
      <c r="B16" s="6" t="s">
        <v>22</v>
      </c>
      <c r="C16" s="6" t="s">
        <v>97</v>
      </c>
      <c r="D16" s="6"/>
      <c r="E16" s="13">
        <v>8</v>
      </c>
      <c r="F16" s="6" t="s">
        <v>15</v>
      </c>
      <c r="G16" s="109"/>
      <c r="H16" s="109"/>
      <c r="I16" s="11">
        <f t="shared" si="2"/>
        <v>0</v>
      </c>
      <c r="J16" s="8">
        <f t="shared" si="3"/>
        <v>0</v>
      </c>
      <c r="K16" s="6" t="s">
        <v>39</v>
      </c>
      <c r="L16" s="18" t="s">
        <v>95</v>
      </c>
      <c r="M16" s="12"/>
      <c r="N16" s="12"/>
      <c r="O16" s="14"/>
      <c r="P16" s="14"/>
    </row>
    <row r="17" spans="1:16" s="7" customFormat="1" x14ac:dyDescent="0.2">
      <c r="A17" s="6" t="s">
        <v>21</v>
      </c>
      <c r="B17" s="6" t="s">
        <v>98</v>
      </c>
      <c r="C17" s="6" t="s">
        <v>65</v>
      </c>
      <c r="D17" s="6"/>
      <c r="E17" s="13">
        <v>21</v>
      </c>
      <c r="F17" s="6" t="s">
        <v>15</v>
      </c>
      <c r="G17" s="109"/>
      <c r="H17" s="109"/>
      <c r="I17" s="11">
        <f t="shared" si="2"/>
        <v>0</v>
      </c>
      <c r="J17" s="8">
        <f t="shared" si="3"/>
        <v>0</v>
      </c>
      <c r="K17" s="6" t="s">
        <v>39</v>
      </c>
      <c r="L17" s="18" t="s">
        <v>95</v>
      </c>
      <c r="M17" s="12"/>
      <c r="N17" s="12"/>
      <c r="O17" s="14"/>
      <c r="P17" s="14"/>
    </row>
    <row r="18" spans="1:16" s="7" customFormat="1" x14ac:dyDescent="0.2">
      <c r="A18" s="6" t="s">
        <v>21</v>
      </c>
      <c r="B18" s="6" t="s">
        <v>66</v>
      </c>
      <c r="C18" s="6" t="s">
        <v>65</v>
      </c>
      <c r="D18" s="6"/>
      <c r="E18" s="13">
        <v>3</v>
      </c>
      <c r="F18" s="6" t="s">
        <v>15</v>
      </c>
      <c r="G18" s="109"/>
      <c r="H18" s="109"/>
      <c r="I18" s="11">
        <f t="shared" si="2"/>
        <v>0</v>
      </c>
      <c r="J18" s="8">
        <f t="shared" si="3"/>
        <v>0</v>
      </c>
      <c r="K18" s="6" t="s">
        <v>40</v>
      </c>
      <c r="L18" s="18" t="s">
        <v>95</v>
      </c>
      <c r="M18" s="12"/>
      <c r="N18" s="12"/>
      <c r="O18" s="14"/>
      <c r="P18" s="14"/>
    </row>
    <row r="19" spans="1:16" s="7" customFormat="1" x14ac:dyDescent="0.2">
      <c r="A19" s="6" t="s">
        <v>21</v>
      </c>
      <c r="B19" s="6" t="s">
        <v>66</v>
      </c>
      <c r="C19" s="6" t="s">
        <v>99</v>
      </c>
      <c r="D19" s="6"/>
      <c r="E19" s="13">
        <v>1</v>
      </c>
      <c r="F19" s="6" t="s">
        <v>15</v>
      </c>
      <c r="G19" s="109"/>
      <c r="H19" s="109"/>
      <c r="I19" s="11">
        <f t="shared" si="2"/>
        <v>0</v>
      </c>
      <c r="J19" s="8">
        <f t="shared" si="3"/>
        <v>0</v>
      </c>
      <c r="K19" s="6" t="s">
        <v>40</v>
      </c>
      <c r="L19" s="18" t="s">
        <v>95</v>
      </c>
      <c r="M19" s="12"/>
      <c r="N19" s="12"/>
      <c r="O19" s="14"/>
      <c r="P19" s="14"/>
    </row>
    <row r="20" spans="1:16" s="7" customFormat="1" x14ac:dyDescent="0.2">
      <c r="A20" s="6" t="s">
        <v>21</v>
      </c>
      <c r="B20" s="6" t="s">
        <v>66</v>
      </c>
      <c r="C20" s="6" t="s">
        <v>100</v>
      </c>
      <c r="D20" s="6"/>
      <c r="E20" s="13">
        <v>1</v>
      </c>
      <c r="F20" s="6" t="s">
        <v>15</v>
      </c>
      <c r="G20" s="109"/>
      <c r="H20" s="109"/>
      <c r="I20" s="11">
        <f t="shared" si="2"/>
        <v>0</v>
      </c>
      <c r="J20" s="8">
        <f t="shared" si="3"/>
        <v>0</v>
      </c>
      <c r="K20" s="6" t="s">
        <v>40</v>
      </c>
      <c r="L20" s="18" t="s">
        <v>95</v>
      </c>
      <c r="M20" s="12"/>
      <c r="N20" s="12"/>
      <c r="O20" s="14"/>
      <c r="P20" s="14"/>
    </row>
    <row r="21" spans="1:16" s="7" customFormat="1" x14ac:dyDescent="0.2">
      <c r="A21" s="6" t="s">
        <v>21</v>
      </c>
      <c r="B21" s="6" t="s">
        <v>101</v>
      </c>
      <c r="C21" s="6" t="s">
        <v>65</v>
      </c>
      <c r="D21" s="6"/>
      <c r="E21" s="13">
        <v>5</v>
      </c>
      <c r="F21" s="6" t="s">
        <v>15</v>
      </c>
      <c r="G21" s="109"/>
      <c r="H21" s="109"/>
      <c r="I21" s="11">
        <f t="shared" si="2"/>
        <v>0</v>
      </c>
      <c r="J21" s="8">
        <f t="shared" si="3"/>
        <v>0</v>
      </c>
      <c r="K21" s="6" t="s">
        <v>40</v>
      </c>
      <c r="L21" s="18" t="s">
        <v>95</v>
      </c>
      <c r="M21" s="12"/>
      <c r="N21" s="12"/>
      <c r="O21" s="14"/>
      <c r="P21" s="14"/>
    </row>
    <row r="22" spans="1:16" s="7" customFormat="1" x14ac:dyDescent="0.2">
      <c r="A22" s="6" t="s">
        <v>1078</v>
      </c>
      <c r="B22" s="6" t="s">
        <v>103</v>
      </c>
      <c r="C22" s="6" t="s">
        <v>104</v>
      </c>
      <c r="D22" s="6"/>
      <c r="E22" s="13">
        <v>3</v>
      </c>
      <c r="F22" s="6" t="s">
        <v>15</v>
      </c>
      <c r="G22" s="109"/>
      <c r="H22" s="109"/>
      <c r="I22" s="11">
        <f>G22*E22</f>
        <v>0</v>
      </c>
      <c r="J22" s="8">
        <f>H22*E22</f>
        <v>0</v>
      </c>
      <c r="K22" s="6">
        <v>210170307</v>
      </c>
      <c r="L22" s="18" t="s">
        <v>105</v>
      </c>
      <c r="M22" s="12"/>
      <c r="N22" s="12"/>
      <c r="O22" s="14"/>
      <c r="P22" s="14"/>
    </row>
    <row r="23" spans="1:16" s="7" customFormat="1" x14ac:dyDescent="0.2">
      <c r="A23" s="41" t="s">
        <v>106</v>
      </c>
      <c r="B23" s="41" t="s">
        <v>108</v>
      </c>
      <c r="C23" s="41" t="s">
        <v>109</v>
      </c>
      <c r="D23" s="41"/>
      <c r="E23" s="41">
        <v>1</v>
      </c>
      <c r="F23" s="6" t="s">
        <v>15</v>
      </c>
      <c r="G23" s="109"/>
      <c r="H23" s="110"/>
      <c r="I23" s="11">
        <f>G23*E23</f>
        <v>0</v>
      </c>
      <c r="J23" s="8">
        <f>H23*E23</f>
        <v>0</v>
      </c>
      <c r="K23" s="42">
        <v>210160905</v>
      </c>
      <c r="L23" s="43" t="s">
        <v>107</v>
      </c>
      <c r="M23" s="39"/>
      <c r="O23" s="14"/>
      <c r="P23" s="14"/>
    </row>
    <row r="24" spans="1:16" s="7" customFormat="1" x14ac:dyDescent="0.2">
      <c r="A24" s="6" t="s">
        <v>110</v>
      </c>
      <c r="B24" s="6" t="s">
        <v>127</v>
      </c>
      <c r="C24" s="6"/>
      <c r="D24" s="6"/>
      <c r="E24" s="13">
        <v>1</v>
      </c>
      <c r="F24" s="6" t="s">
        <v>15</v>
      </c>
      <c r="G24" s="110"/>
      <c r="H24" s="109"/>
      <c r="I24" s="11">
        <f>G24*E24</f>
        <v>0</v>
      </c>
      <c r="J24" s="8">
        <f>H24*E24</f>
        <v>0</v>
      </c>
      <c r="K24" s="6" t="s">
        <v>111</v>
      </c>
      <c r="L24" s="18" t="s">
        <v>112</v>
      </c>
      <c r="M24" s="12"/>
      <c r="N24" s="12"/>
      <c r="O24" s="14"/>
      <c r="P24" s="14"/>
    </row>
    <row r="25" spans="1:16" s="7" customFormat="1" x14ac:dyDescent="0.2">
      <c r="A25" s="6" t="s">
        <v>84</v>
      </c>
      <c r="B25" s="6" t="s">
        <v>1079</v>
      </c>
      <c r="C25" s="7" t="s">
        <v>1080</v>
      </c>
      <c r="D25" s="6"/>
      <c r="E25" s="13">
        <v>1</v>
      </c>
      <c r="F25" s="6" t="s">
        <v>15</v>
      </c>
      <c r="G25" s="110"/>
      <c r="H25" s="110"/>
      <c r="I25" s="11">
        <f t="shared" ref="I25:I26" si="4">G25*E25</f>
        <v>0</v>
      </c>
      <c r="J25" s="8">
        <f>H25*E25</f>
        <v>0</v>
      </c>
      <c r="L25" s="28"/>
      <c r="M25" s="12"/>
      <c r="O25" s="14"/>
      <c r="P25" s="14"/>
    </row>
    <row r="26" spans="1:16" s="7" customFormat="1" x14ac:dyDescent="0.2">
      <c r="A26" s="6" t="s">
        <v>1082</v>
      </c>
      <c r="B26" s="6" t="s">
        <v>1083</v>
      </c>
      <c r="D26" s="6"/>
      <c r="E26" s="13">
        <v>1</v>
      </c>
      <c r="F26" s="6" t="s">
        <v>15</v>
      </c>
      <c r="G26" s="110"/>
      <c r="H26" s="109"/>
      <c r="I26" s="11">
        <f t="shared" si="4"/>
        <v>0</v>
      </c>
      <c r="J26" s="8">
        <f t="shared" ref="J26" si="5">H26*E26</f>
        <v>0</v>
      </c>
      <c r="K26" s="6" t="s">
        <v>111</v>
      </c>
      <c r="L26" s="18" t="s">
        <v>112</v>
      </c>
      <c r="M26" s="12"/>
      <c r="N26" s="12"/>
      <c r="O26" s="14"/>
      <c r="P26" s="14"/>
    </row>
    <row r="27" spans="1:16" s="7" customFormat="1" x14ac:dyDescent="0.2">
      <c r="A27" s="6" t="s">
        <v>110</v>
      </c>
      <c r="B27" s="6" t="s">
        <v>1084</v>
      </c>
      <c r="C27" s="6"/>
      <c r="D27" s="6"/>
      <c r="E27" s="13">
        <v>1</v>
      </c>
      <c r="F27" s="6" t="s">
        <v>15</v>
      </c>
      <c r="G27" s="110"/>
      <c r="H27" s="109"/>
      <c r="I27" s="11">
        <f>G27*E27</f>
        <v>0</v>
      </c>
      <c r="J27" s="8">
        <f>H27*E27</f>
        <v>0</v>
      </c>
      <c r="K27" s="6">
        <v>210120502</v>
      </c>
      <c r="L27" s="18" t="s">
        <v>113</v>
      </c>
      <c r="M27" s="12"/>
      <c r="N27" s="12"/>
      <c r="O27" s="14"/>
      <c r="P27" s="14"/>
    </row>
    <row r="28" spans="1:16" s="7" customFormat="1" x14ac:dyDescent="0.2">
      <c r="A28" s="6" t="s">
        <v>84</v>
      </c>
      <c r="B28" s="6" t="s">
        <v>1079</v>
      </c>
      <c r="C28" s="7" t="s">
        <v>1080</v>
      </c>
      <c r="D28" s="6"/>
      <c r="E28" s="13">
        <v>1</v>
      </c>
      <c r="F28" s="6" t="s">
        <v>15</v>
      </c>
      <c r="G28" s="110"/>
      <c r="H28" s="110"/>
      <c r="I28" s="11">
        <f t="shared" ref="I28:I29" si="6">G28*E28</f>
        <v>0</v>
      </c>
      <c r="J28" s="8">
        <f>H28*E28</f>
        <v>0</v>
      </c>
      <c r="L28" s="28"/>
      <c r="M28" s="12"/>
      <c r="O28" s="14"/>
      <c r="P28" s="14"/>
    </row>
    <row r="29" spans="1:16" s="7" customFormat="1" x14ac:dyDescent="0.2">
      <c r="A29" s="6" t="s">
        <v>1081</v>
      </c>
      <c r="B29" s="6" t="s">
        <v>1085</v>
      </c>
      <c r="D29" s="6"/>
      <c r="E29" s="13">
        <v>1</v>
      </c>
      <c r="F29" s="6" t="s">
        <v>15</v>
      </c>
      <c r="G29" s="110"/>
      <c r="H29" s="109"/>
      <c r="I29" s="11">
        <f t="shared" si="6"/>
        <v>0</v>
      </c>
      <c r="J29" s="8">
        <f t="shared" ref="J29:J34" si="7">H29*E29</f>
        <v>0</v>
      </c>
      <c r="K29" s="6">
        <v>210120502</v>
      </c>
      <c r="L29" s="18" t="s">
        <v>113</v>
      </c>
      <c r="M29" s="12"/>
      <c r="N29" s="12"/>
      <c r="O29" s="14"/>
      <c r="P29" s="14"/>
    </row>
    <row r="30" spans="1:16" s="7" customFormat="1" x14ac:dyDescent="0.2">
      <c r="A30" s="6" t="s">
        <v>41</v>
      </c>
      <c r="B30" s="6" t="s">
        <v>1086</v>
      </c>
      <c r="D30" s="6"/>
      <c r="E30" s="13">
        <v>11</v>
      </c>
      <c r="F30" s="6" t="s">
        <v>15</v>
      </c>
      <c r="G30" s="109"/>
      <c r="H30" s="109"/>
      <c r="I30" s="11">
        <f>G30*E30</f>
        <v>0</v>
      </c>
      <c r="J30" s="11">
        <f t="shared" si="7"/>
        <v>0</v>
      </c>
      <c r="L30" s="28" t="s">
        <v>114</v>
      </c>
      <c r="M30" s="12"/>
      <c r="O30" s="14"/>
      <c r="P30" s="14"/>
    </row>
    <row r="31" spans="1:16" s="7" customFormat="1" x14ac:dyDescent="0.2">
      <c r="A31" s="6" t="s">
        <v>41</v>
      </c>
      <c r="B31" s="6" t="s">
        <v>115</v>
      </c>
      <c r="D31" s="6"/>
      <c r="E31" s="13">
        <v>5</v>
      </c>
      <c r="F31" s="6" t="s">
        <v>15</v>
      </c>
      <c r="G31" s="109"/>
      <c r="H31" s="109"/>
      <c r="I31" s="11">
        <f t="shared" ref="I31:I34" si="8">G31*E31</f>
        <v>0</v>
      </c>
      <c r="J31" s="8">
        <f t="shared" si="7"/>
        <v>0</v>
      </c>
      <c r="K31" s="6" t="s">
        <v>39</v>
      </c>
      <c r="L31" s="18" t="s">
        <v>116</v>
      </c>
      <c r="M31" s="12"/>
      <c r="N31" s="12"/>
      <c r="O31" s="14"/>
      <c r="P31" s="14"/>
    </row>
    <row r="32" spans="1:16" s="7" customFormat="1" x14ac:dyDescent="0.2">
      <c r="A32" s="6" t="s">
        <v>41</v>
      </c>
      <c r="B32" s="6" t="s">
        <v>54</v>
      </c>
      <c r="D32" s="6"/>
      <c r="E32" s="13">
        <v>8</v>
      </c>
      <c r="F32" s="6" t="s">
        <v>15</v>
      </c>
      <c r="G32" s="109"/>
      <c r="H32" s="109"/>
      <c r="I32" s="11">
        <f t="shared" si="8"/>
        <v>0</v>
      </c>
      <c r="J32" s="8">
        <f t="shared" si="7"/>
        <v>0</v>
      </c>
      <c r="K32" s="6" t="s">
        <v>40</v>
      </c>
      <c r="L32" s="18" t="s">
        <v>116</v>
      </c>
      <c r="M32" s="12"/>
      <c r="N32" s="12"/>
      <c r="O32" s="14"/>
      <c r="P32" s="14"/>
    </row>
    <row r="33" spans="1:19" s="7" customFormat="1" x14ac:dyDescent="0.2">
      <c r="A33" s="6" t="s">
        <v>45</v>
      </c>
      <c r="B33" s="6" t="s">
        <v>46</v>
      </c>
      <c r="C33" s="6" t="s">
        <v>118</v>
      </c>
      <c r="D33" s="6"/>
      <c r="E33" s="13">
        <v>26</v>
      </c>
      <c r="F33" s="6" t="s">
        <v>15</v>
      </c>
      <c r="G33" s="109"/>
      <c r="H33" s="109"/>
      <c r="I33" s="11">
        <f t="shared" si="8"/>
        <v>0</v>
      </c>
      <c r="J33" s="8">
        <f t="shared" si="7"/>
        <v>0</v>
      </c>
      <c r="K33" s="6" t="s">
        <v>47</v>
      </c>
      <c r="L33" s="18" t="s">
        <v>117</v>
      </c>
      <c r="M33" s="12"/>
      <c r="N33" s="12"/>
      <c r="O33" s="14"/>
      <c r="P33" s="14"/>
    </row>
    <row r="34" spans="1:19" s="7" customFormat="1" x14ac:dyDescent="0.2">
      <c r="A34" s="6" t="s">
        <v>119</v>
      </c>
      <c r="B34" s="6" t="s">
        <v>120</v>
      </c>
      <c r="C34" s="6" t="s">
        <v>122</v>
      </c>
      <c r="D34" s="6"/>
      <c r="E34" s="13">
        <v>30</v>
      </c>
      <c r="F34" s="6" t="s">
        <v>15</v>
      </c>
      <c r="G34" s="110"/>
      <c r="H34" s="109"/>
      <c r="I34" s="11">
        <f t="shared" si="8"/>
        <v>0</v>
      </c>
      <c r="J34" s="8">
        <f t="shared" si="7"/>
        <v>0</v>
      </c>
      <c r="K34" s="6" t="s">
        <v>121</v>
      </c>
      <c r="L34" s="18"/>
      <c r="M34" s="44"/>
      <c r="N34" s="12"/>
      <c r="O34" s="14"/>
      <c r="P34" s="14"/>
    </row>
    <row r="35" spans="1:19" s="7" customFormat="1" x14ac:dyDescent="0.2">
      <c r="A35" s="32" t="s">
        <v>123</v>
      </c>
      <c r="B35" s="33" t="s">
        <v>1087</v>
      </c>
      <c r="C35" s="32" t="s">
        <v>1088</v>
      </c>
      <c r="D35" s="32"/>
      <c r="E35" s="34">
        <v>1</v>
      </c>
      <c r="F35" s="6" t="s">
        <v>15</v>
      </c>
      <c r="G35" s="116"/>
      <c r="H35" s="109"/>
      <c r="I35" s="11">
        <f>G35*E35</f>
        <v>0</v>
      </c>
      <c r="J35" s="8">
        <f>H35*E35</f>
        <v>0</v>
      </c>
      <c r="K35" s="6" t="s">
        <v>40</v>
      </c>
      <c r="L35" s="18" t="s">
        <v>124</v>
      </c>
      <c r="M35" s="38"/>
      <c r="N35" s="12"/>
      <c r="O35" s="14"/>
      <c r="P35" s="14"/>
    </row>
    <row r="36" spans="1:19" s="7" customFormat="1" x14ac:dyDescent="0.2">
      <c r="A36" s="6" t="s">
        <v>69</v>
      </c>
      <c r="C36" s="6" t="s">
        <v>125</v>
      </c>
      <c r="D36" s="6"/>
      <c r="E36" s="13">
        <v>3</v>
      </c>
      <c r="F36" s="6" t="s">
        <v>15</v>
      </c>
      <c r="G36" s="109"/>
      <c r="H36" s="109"/>
      <c r="I36" s="11">
        <f t="shared" ref="I36:I40" si="9">G36*E36</f>
        <v>0</v>
      </c>
      <c r="J36" s="8">
        <f t="shared" ref="J36:J40" si="10">H36*E36</f>
        <v>0</v>
      </c>
      <c r="K36" s="25">
        <v>210070403</v>
      </c>
      <c r="L36" s="43"/>
      <c r="M36" s="12"/>
      <c r="N36" s="12"/>
      <c r="O36" s="14"/>
      <c r="P36" s="14"/>
      <c r="S36" s="6"/>
    </row>
    <row r="37" spans="1:19" s="7" customFormat="1" x14ac:dyDescent="0.2">
      <c r="A37" s="6" t="s">
        <v>70</v>
      </c>
      <c r="C37" s="6" t="s">
        <v>125</v>
      </c>
      <c r="D37" s="6"/>
      <c r="E37" s="13">
        <v>2</v>
      </c>
      <c r="F37" s="6" t="s">
        <v>15</v>
      </c>
      <c r="G37" s="109"/>
      <c r="H37" s="109"/>
      <c r="I37" s="11">
        <f t="shared" si="9"/>
        <v>0</v>
      </c>
      <c r="J37" s="8">
        <f t="shared" si="10"/>
        <v>0</v>
      </c>
      <c r="K37" s="25">
        <v>210070402</v>
      </c>
      <c r="L37" s="43"/>
      <c r="M37" s="12"/>
      <c r="N37" s="12"/>
      <c r="O37" s="14"/>
      <c r="P37" s="14"/>
      <c r="S37" s="6"/>
    </row>
    <row r="38" spans="1:19" s="7" customFormat="1" x14ac:dyDescent="0.2">
      <c r="A38" s="6" t="s">
        <v>69</v>
      </c>
      <c r="C38" s="6" t="s">
        <v>126</v>
      </c>
      <c r="D38" s="6"/>
      <c r="E38" s="13">
        <v>3</v>
      </c>
      <c r="F38" s="6" t="s">
        <v>15</v>
      </c>
      <c r="G38" s="109"/>
      <c r="H38" s="109"/>
      <c r="I38" s="11">
        <f t="shared" si="9"/>
        <v>0</v>
      </c>
      <c r="J38" s="8">
        <f t="shared" si="10"/>
        <v>0</v>
      </c>
      <c r="K38" s="25">
        <v>210070401</v>
      </c>
      <c r="L38" s="43"/>
      <c r="M38" s="12"/>
      <c r="N38" s="12"/>
      <c r="O38" s="14"/>
      <c r="P38" s="14"/>
      <c r="S38" s="6"/>
    </row>
    <row r="39" spans="1:19" s="7" customFormat="1" x14ac:dyDescent="0.2">
      <c r="A39" s="6" t="s">
        <v>70</v>
      </c>
      <c r="C39" s="6" t="s">
        <v>126</v>
      </c>
      <c r="D39" s="6"/>
      <c r="E39" s="13">
        <v>2</v>
      </c>
      <c r="F39" s="6" t="s">
        <v>15</v>
      </c>
      <c r="G39" s="109"/>
      <c r="H39" s="109"/>
      <c r="I39" s="11">
        <f t="shared" si="9"/>
        <v>0</v>
      </c>
      <c r="J39" s="8">
        <f t="shared" si="10"/>
        <v>0</v>
      </c>
      <c r="K39" s="25">
        <v>210070401</v>
      </c>
      <c r="L39" s="43"/>
      <c r="M39" s="12"/>
      <c r="N39" s="12"/>
      <c r="O39" s="14"/>
      <c r="P39" s="14"/>
      <c r="S39" s="6"/>
    </row>
    <row r="40" spans="1:19" s="7" customFormat="1" x14ac:dyDescent="0.2">
      <c r="A40" s="6" t="s">
        <v>71</v>
      </c>
      <c r="C40" s="6" t="s">
        <v>127</v>
      </c>
      <c r="E40" s="13">
        <v>1</v>
      </c>
      <c r="F40" s="6" t="s">
        <v>15</v>
      </c>
      <c r="G40" s="109"/>
      <c r="H40" s="109"/>
      <c r="I40" s="11">
        <f t="shared" si="9"/>
        <v>0</v>
      </c>
      <c r="J40" s="11">
        <f t="shared" si="10"/>
        <v>0</v>
      </c>
      <c r="L40" s="28"/>
      <c r="M40" s="12"/>
      <c r="O40" s="14"/>
      <c r="P40" s="14"/>
    </row>
    <row r="41" spans="1:19" s="7" customFormat="1" x14ac:dyDescent="0.2">
      <c r="A41" s="6" t="s">
        <v>128</v>
      </c>
      <c r="B41" s="6" t="s">
        <v>1089</v>
      </c>
      <c r="C41" s="6" t="s">
        <v>44</v>
      </c>
      <c r="D41" s="6"/>
      <c r="E41" s="13">
        <v>1</v>
      </c>
      <c r="F41" s="6" t="s">
        <v>15</v>
      </c>
      <c r="G41" s="109"/>
      <c r="H41" s="109"/>
      <c r="I41" s="11">
        <f t="shared" ref="I41:I42" si="11">G41*E41</f>
        <v>0</v>
      </c>
      <c r="J41" s="8">
        <f t="shared" ref="J41:J42" si="12">H41*E41</f>
        <v>0</v>
      </c>
      <c r="K41" s="6" t="s">
        <v>129</v>
      </c>
      <c r="L41" s="18"/>
      <c r="M41" s="12"/>
      <c r="N41" s="12"/>
      <c r="O41" s="14"/>
      <c r="P41" s="14"/>
    </row>
    <row r="42" spans="1:19" s="7" customFormat="1" x14ac:dyDescent="0.2">
      <c r="A42" s="6" t="s">
        <v>68</v>
      </c>
      <c r="B42" s="6" t="s">
        <v>1090</v>
      </c>
      <c r="C42" s="6" t="s">
        <v>130</v>
      </c>
      <c r="D42" s="6"/>
      <c r="E42" s="13">
        <v>1</v>
      </c>
      <c r="F42" s="6" t="s">
        <v>15</v>
      </c>
      <c r="G42" s="109"/>
      <c r="H42" s="109"/>
      <c r="I42" s="11">
        <f t="shared" si="11"/>
        <v>0</v>
      </c>
      <c r="J42" s="8">
        <f t="shared" si="12"/>
        <v>0</v>
      </c>
      <c r="K42" s="6" t="s">
        <v>39</v>
      </c>
      <c r="L42" s="18" t="s">
        <v>131</v>
      </c>
      <c r="M42" s="12"/>
      <c r="N42" s="12"/>
      <c r="O42" s="14"/>
      <c r="P42" s="14"/>
    </row>
    <row r="43" spans="1:19" s="7" customFormat="1" x14ac:dyDescent="0.2">
      <c r="A43" s="6" t="s">
        <v>84</v>
      </c>
      <c r="B43" s="6" t="s">
        <v>1090</v>
      </c>
      <c r="C43" s="7" t="s">
        <v>1080</v>
      </c>
      <c r="D43" s="6"/>
      <c r="E43" s="13">
        <v>1</v>
      </c>
      <c r="F43" s="6" t="s">
        <v>15</v>
      </c>
      <c r="G43" s="109"/>
      <c r="H43" s="109"/>
      <c r="I43" s="11">
        <f>G43*E43</f>
        <v>0</v>
      </c>
      <c r="J43" s="8">
        <f>H43*E43</f>
        <v>0</v>
      </c>
      <c r="K43" s="6" t="s">
        <v>39</v>
      </c>
      <c r="L43" s="18"/>
      <c r="M43" s="12"/>
      <c r="N43" s="12"/>
      <c r="O43" s="14"/>
      <c r="P43" s="14"/>
    </row>
    <row r="44" spans="1:19" s="7" customFormat="1" x14ac:dyDescent="0.2">
      <c r="A44" s="6" t="s">
        <v>1091</v>
      </c>
      <c r="D44" s="6"/>
      <c r="E44" s="13">
        <v>3</v>
      </c>
      <c r="F44" s="6" t="s">
        <v>15</v>
      </c>
      <c r="G44" s="110"/>
      <c r="H44" s="110"/>
      <c r="I44" s="11">
        <f>G44*E44</f>
        <v>0</v>
      </c>
      <c r="J44" s="8">
        <f>H44*E44</f>
        <v>0</v>
      </c>
      <c r="K44" s="25">
        <v>210190052</v>
      </c>
      <c r="L44" s="43"/>
      <c r="M44" s="12"/>
      <c r="N44" s="12"/>
      <c r="O44" s="14"/>
      <c r="P44" s="14"/>
    </row>
    <row r="45" spans="1:19" s="7" customFormat="1" x14ac:dyDescent="0.2">
      <c r="A45" s="6" t="s">
        <v>132</v>
      </c>
      <c r="D45" s="6"/>
      <c r="E45" s="13">
        <v>2</v>
      </c>
      <c r="F45" s="6" t="s">
        <v>15</v>
      </c>
      <c r="G45" s="110"/>
      <c r="H45" s="110"/>
      <c r="I45" s="11">
        <f>G45*E45</f>
        <v>0</v>
      </c>
      <c r="J45" s="8">
        <f>H45*E45</f>
        <v>0</v>
      </c>
      <c r="K45" s="25">
        <v>210191020</v>
      </c>
      <c r="L45" s="43"/>
      <c r="M45" s="12"/>
      <c r="O45" s="14"/>
      <c r="P45" s="14"/>
    </row>
    <row r="46" spans="1:19" s="7" customFormat="1" x14ac:dyDescent="0.2">
      <c r="A46" s="6" t="s">
        <v>133</v>
      </c>
      <c r="D46" s="6"/>
      <c r="E46" s="13">
        <v>3</v>
      </c>
      <c r="F46" s="6" t="s">
        <v>15</v>
      </c>
      <c r="G46" s="110"/>
      <c r="H46" s="110"/>
      <c r="I46" s="11">
        <f t="shared" ref="I46" si="13">G46*E46</f>
        <v>0</v>
      </c>
      <c r="J46" s="8">
        <f t="shared" ref="J46" si="14">H46*E46</f>
        <v>0</v>
      </c>
      <c r="K46" s="25">
        <v>210191010</v>
      </c>
      <c r="L46" s="43"/>
      <c r="M46" s="12"/>
      <c r="N46" s="12"/>
      <c r="O46" s="14"/>
      <c r="P46" s="14"/>
    </row>
    <row r="47" spans="1:19" s="7" customFormat="1" x14ac:dyDescent="0.2">
      <c r="A47" s="6" t="s">
        <v>135</v>
      </c>
      <c r="D47" s="6"/>
      <c r="E47" s="13">
        <v>3</v>
      </c>
      <c r="F47" s="6" t="s">
        <v>15</v>
      </c>
      <c r="G47" s="110"/>
      <c r="H47" s="110"/>
      <c r="I47" s="11">
        <f t="shared" ref="I47:I50" si="15">G47*E47</f>
        <v>0</v>
      </c>
      <c r="J47" s="8">
        <f t="shared" ref="J47:J50" si="16">H47*E47</f>
        <v>0</v>
      </c>
      <c r="K47" s="25">
        <v>210191023</v>
      </c>
      <c r="L47" s="43"/>
      <c r="M47" s="12"/>
      <c r="O47" s="14"/>
      <c r="P47" s="14"/>
    </row>
    <row r="48" spans="1:19" s="7" customFormat="1" x14ac:dyDescent="0.2">
      <c r="A48" s="6" t="s">
        <v>136</v>
      </c>
      <c r="D48" s="6"/>
      <c r="E48" s="13">
        <v>3</v>
      </c>
      <c r="F48" s="6" t="s">
        <v>134</v>
      </c>
      <c r="G48" s="110"/>
      <c r="H48" s="110"/>
      <c r="I48" s="8">
        <f t="shared" si="15"/>
        <v>0</v>
      </c>
      <c r="J48" s="8">
        <f t="shared" si="16"/>
        <v>0</v>
      </c>
      <c r="L48" s="28"/>
      <c r="M48" s="12"/>
      <c r="O48" s="14"/>
      <c r="P48" s="14"/>
    </row>
    <row r="49" spans="1:20" s="7" customFormat="1" x14ac:dyDescent="0.2">
      <c r="A49" s="6" t="s">
        <v>137</v>
      </c>
      <c r="B49" s="6" t="s">
        <v>1092</v>
      </c>
      <c r="D49" s="6"/>
      <c r="E49" s="13">
        <v>1</v>
      </c>
      <c r="F49" s="6" t="s">
        <v>15</v>
      </c>
      <c r="G49" s="109"/>
      <c r="H49" s="109"/>
      <c r="I49" s="11">
        <f t="shared" si="15"/>
        <v>0</v>
      </c>
      <c r="J49" s="11">
        <f t="shared" si="16"/>
        <v>0</v>
      </c>
      <c r="L49" s="28"/>
      <c r="M49" s="12"/>
      <c r="O49" s="14"/>
      <c r="P49" s="14"/>
    </row>
    <row r="50" spans="1:20" s="7" customFormat="1" x14ac:dyDescent="0.2">
      <c r="A50" s="6" t="s">
        <v>72</v>
      </c>
      <c r="B50" s="6" t="s">
        <v>1093</v>
      </c>
      <c r="C50" s="18" t="s">
        <v>74</v>
      </c>
      <c r="D50" s="6"/>
      <c r="E50" s="13">
        <v>147</v>
      </c>
      <c r="F50" s="6" t="s">
        <v>15</v>
      </c>
      <c r="G50" s="110"/>
      <c r="H50" s="109"/>
      <c r="I50" s="11">
        <f t="shared" si="15"/>
        <v>0</v>
      </c>
      <c r="J50" s="11">
        <f t="shared" si="16"/>
        <v>0</v>
      </c>
      <c r="K50" s="6">
        <v>210192571</v>
      </c>
      <c r="L50" s="18" t="s">
        <v>139</v>
      </c>
      <c r="M50" s="12"/>
      <c r="N50" s="12"/>
      <c r="O50" s="14"/>
      <c r="P50" s="14"/>
      <c r="T50" s="11"/>
    </row>
    <row r="51" spans="1:20" s="46" customFormat="1" x14ac:dyDescent="0.2">
      <c r="A51" s="6" t="s">
        <v>140</v>
      </c>
      <c r="B51" s="6" t="s">
        <v>141</v>
      </c>
      <c r="C51" s="6" t="s">
        <v>1094</v>
      </c>
      <c r="D51" s="6"/>
      <c r="E51" s="22">
        <v>1</v>
      </c>
      <c r="F51" s="6" t="s">
        <v>15</v>
      </c>
      <c r="G51" s="109"/>
      <c r="H51" s="109"/>
      <c r="I51" s="11">
        <f>G51*E51</f>
        <v>0</v>
      </c>
      <c r="J51" s="11">
        <f>H51*E51</f>
        <v>0</v>
      </c>
      <c r="K51" s="6" t="s">
        <v>40</v>
      </c>
      <c r="L51" s="18"/>
      <c r="M51" s="45"/>
      <c r="N51" s="12"/>
      <c r="O51" s="9"/>
      <c r="P51" s="9"/>
      <c r="Q51" s="10"/>
      <c r="R51" s="10"/>
      <c r="S51" s="10"/>
      <c r="T51" s="11"/>
    </row>
    <row r="52" spans="1:20" s="7" customFormat="1" x14ac:dyDescent="0.2">
      <c r="A52" s="6"/>
      <c r="B52" s="20"/>
      <c r="C52" s="6"/>
      <c r="D52" s="6"/>
      <c r="E52" s="13"/>
      <c r="F52" s="6"/>
      <c r="G52" s="8"/>
      <c r="H52" s="8"/>
      <c r="I52" s="8"/>
      <c r="J52" s="8"/>
      <c r="L52" s="29"/>
      <c r="N52" s="14"/>
      <c r="O52" s="14"/>
    </row>
    <row r="53" spans="1:20" s="7" customFormat="1" x14ac:dyDescent="0.2">
      <c r="A53" s="6" t="s">
        <v>29</v>
      </c>
      <c r="B53" s="20"/>
      <c r="C53" s="6"/>
      <c r="D53" s="6"/>
      <c r="E53" s="13"/>
      <c r="F53" s="6"/>
      <c r="G53" s="8"/>
      <c r="I53" s="8">
        <f>SUM(I8:I52)</f>
        <v>0</v>
      </c>
      <c r="J53" s="8"/>
      <c r="L53" s="29"/>
      <c r="N53" s="14"/>
      <c r="O53" s="14"/>
    </row>
    <row r="54" spans="1:20" x14ac:dyDescent="0.2">
      <c r="A54" s="6" t="s">
        <v>75</v>
      </c>
      <c r="I54" s="3"/>
      <c r="J54" s="3">
        <f>SUM(J8:J53)</f>
        <v>0</v>
      </c>
    </row>
    <row r="55" spans="1:20" x14ac:dyDescent="0.2">
      <c r="A55" s="6"/>
      <c r="I55" s="3"/>
      <c r="J55" s="3"/>
    </row>
    <row r="56" spans="1:20" x14ac:dyDescent="0.2">
      <c r="A56" s="35" t="s">
        <v>76</v>
      </c>
      <c r="B56" s="36"/>
      <c r="C56" s="36"/>
      <c r="D56" s="36"/>
      <c r="E56" s="36"/>
      <c r="F56" s="36"/>
      <c r="G56" s="36"/>
      <c r="I56" s="37"/>
      <c r="J56" s="5">
        <f>J54+I53</f>
        <v>0</v>
      </c>
    </row>
  </sheetData>
  <pageMargins left="0.62992125984251968" right="0.62992125984251968" top="0.55118110236220474" bottom="0.55118110236220474" header="0.31496062992125984" footer="0.31496062992125984"/>
  <pageSetup paperSize="9" orientation="landscape" horizontalDpi="300" verticalDpi="300" r:id="rId1"/>
  <headerFooter>
    <oddHeader>&amp;L&amp;"Arial,Obyčejné"KRYTÝ BAZÉN ZNOJMO - LOUKA SO 101&amp;R&amp;"Arial,Obyčejné"DPS</oddHeader>
    <oddFooter>Stránka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A1:T26"/>
  <sheetViews>
    <sheetView workbookViewId="0">
      <selection activeCell="S244" sqref="S244"/>
    </sheetView>
  </sheetViews>
  <sheetFormatPr defaultRowHeight="12.75" x14ac:dyDescent="0.2"/>
  <cols>
    <col min="1" max="1" width="26.83203125" customWidth="1"/>
    <col min="2" max="3" width="13.83203125" customWidth="1"/>
    <col min="4" max="4" width="5.83203125" customWidth="1"/>
    <col min="5" max="5" width="7.83203125" customWidth="1"/>
    <col min="6" max="6" width="3.83203125" customWidth="1"/>
    <col min="7" max="8" width="10.83203125" customWidth="1"/>
    <col min="9" max="9" width="11.83203125" customWidth="1"/>
    <col min="10" max="10" width="11.83203125" style="4" customWidth="1"/>
    <col min="11" max="11" width="11.83203125" customWidth="1"/>
    <col min="12" max="12" width="9.33203125" style="4"/>
  </cols>
  <sheetData>
    <row r="1" spans="1:20" ht="25.5" x14ac:dyDescent="0.35">
      <c r="B1" s="2" t="s">
        <v>77</v>
      </c>
    </row>
    <row r="2" spans="1:20" x14ac:dyDescent="0.2">
      <c r="A2" t="s">
        <v>59</v>
      </c>
      <c r="C2" t="s">
        <v>142</v>
      </c>
      <c r="E2">
        <v>1</v>
      </c>
      <c r="F2" t="s">
        <v>15</v>
      </c>
    </row>
    <row r="4" spans="1:20" x14ac:dyDescent="0.2">
      <c r="A4" t="s">
        <v>60</v>
      </c>
      <c r="C4" t="s">
        <v>176</v>
      </c>
    </row>
    <row r="5" spans="1:20" x14ac:dyDescent="0.2">
      <c r="H5" s="3"/>
    </row>
    <row r="6" spans="1:20" s="7" customFormat="1" x14ac:dyDescent="0.2">
      <c r="A6" s="6" t="s">
        <v>34</v>
      </c>
      <c r="E6" s="20" t="s">
        <v>35</v>
      </c>
      <c r="F6" s="6" t="s">
        <v>13</v>
      </c>
      <c r="G6" s="11" t="s">
        <v>30</v>
      </c>
      <c r="H6" s="11" t="s">
        <v>31</v>
      </c>
      <c r="I6" s="11" t="s">
        <v>32</v>
      </c>
      <c r="J6" s="11" t="s">
        <v>33</v>
      </c>
      <c r="K6" s="6" t="s">
        <v>61</v>
      </c>
      <c r="L6" s="18" t="s">
        <v>269</v>
      </c>
    </row>
    <row r="8" spans="1:20" s="7" customFormat="1" x14ac:dyDescent="0.2">
      <c r="A8" s="6" t="s">
        <v>90</v>
      </c>
      <c r="B8" s="6" t="s">
        <v>1075</v>
      </c>
      <c r="D8" s="6"/>
      <c r="E8" s="40">
        <v>2</v>
      </c>
      <c r="F8" s="6" t="s">
        <v>15</v>
      </c>
      <c r="G8" s="109"/>
      <c r="H8" s="109"/>
      <c r="I8" s="11">
        <f>G8*E8</f>
        <v>0</v>
      </c>
      <c r="J8" s="8">
        <f>H8*E8</f>
        <v>0</v>
      </c>
      <c r="K8" s="6" t="s">
        <v>40</v>
      </c>
      <c r="L8" s="18" t="s">
        <v>91</v>
      </c>
      <c r="M8" s="12"/>
      <c r="N8" s="12"/>
      <c r="O8" s="14"/>
      <c r="P8" s="14"/>
    </row>
    <row r="9" spans="1:20" s="7" customFormat="1" x14ac:dyDescent="0.2">
      <c r="A9" s="6" t="s">
        <v>92</v>
      </c>
      <c r="B9" s="6" t="s">
        <v>1076</v>
      </c>
      <c r="D9" s="6"/>
      <c r="E9" s="40">
        <v>2</v>
      </c>
      <c r="F9" s="6" t="s">
        <v>15</v>
      </c>
      <c r="G9" s="109"/>
      <c r="H9" s="109"/>
      <c r="I9" s="11">
        <f t="shared" ref="I9" si="0">G9*E9</f>
        <v>0</v>
      </c>
      <c r="J9" s="8">
        <f t="shared" ref="J9" si="1">H9*E9</f>
        <v>0</v>
      </c>
      <c r="K9" s="6" t="s">
        <v>39</v>
      </c>
      <c r="L9" s="18" t="s">
        <v>93</v>
      </c>
      <c r="M9" s="12"/>
      <c r="N9" s="12"/>
      <c r="O9" s="14"/>
      <c r="P9" s="14"/>
    </row>
    <row r="10" spans="1:20" s="7" customFormat="1" x14ac:dyDescent="0.2">
      <c r="A10" s="6" t="s">
        <v>143</v>
      </c>
      <c r="B10" s="7" t="s">
        <v>144</v>
      </c>
      <c r="C10" s="6" t="s">
        <v>145</v>
      </c>
      <c r="D10" s="6"/>
      <c r="E10" s="40">
        <v>1</v>
      </c>
      <c r="F10" s="6" t="s">
        <v>15</v>
      </c>
      <c r="G10" s="109"/>
      <c r="H10" s="109"/>
      <c r="I10" s="11">
        <f t="shared" ref="I10:I14" si="2">G10*E10</f>
        <v>0</v>
      </c>
      <c r="J10" s="8">
        <f t="shared" ref="J10:J14" si="3">H10*E10</f>
        <v>0</v>
      </c>
      <c r="K10" s="6"/>
      <c r="L10" s="18" t="s">
        <v>180</v>
      </c>
      <c r="M10" s="12"/>
      <c r="N10" s="12"/>
      <c r="O10" s="14"/>
      <c r="P10" s="14"/>
    </row>
    <row r="11" spans="1:20" s="7" customFormat="1" x14ac:dyDescent="0.2">
      <c r="A11" s="6" t="s">
        <v>21</v>
      </c>
      <c r="B11" s="6" t="s">
        <v>22</v>
      </c>
      <c r="C11" s="6" t="s">
        <v>64</v>
      </c>
      <c r="D11" s="6"/>
      <c r="E11" s="13">
        <v>4</v>
      </c>
      <c r="F11" s="6" t="s">
        <v>15</v>
      </c>
      <c r="G11" s="109"/>
      <c r="H11" s="109"/>
      <c r="I11" s="11">
        <f t="shared" si="2"/>
        <v>0</v>
      </c>
      <c r="J11" s="8">
        <f t="shared" si="3"/>
        <v>0</v>
      </c>
      <c r="K11" s="6" t="s">
        <v>39</v>
      </c>
      <c r="L11" s="18" t="s">
        <v>95</v>
      </c>
      <c r="M11" s="12"/>
      <c r="N11" s="12"/>
      <c r="O11" s="14"/>
      <c r="P11" s="14"/>
    </row>
    <row r="12" spans="1:20" s="7" customFormat="1" x14ac:dyDescent="0.2">
      <c r="A12" s="6" t="s">
        <v>21</v>
      </c>
      <c r="B12" s="6" t="s">
        <v>22</v>
      </c>
      <c r="C12" s="6" t="s">
        <v>43</v>
      </c>
      <c r="D12" s="6"/>
      <c r="E12" s="13">
        <v>10</v>
      </c>
      <c r="F12" s="6" t="s">
        <v>15</v>
      </c>
      <c r="G12" s="109"/>
      <c r="H12" s="109"/>
      <c r="I12" s="11">
        <f t="shared" si="2"/>
        <v>0</v>
      </c>
      <c r="J12" s="8">
        <f t="shared" si="3"/>
        <v>0</v>
      </c>
      <c r="K12" s="6" t="s">
        <v>39</v>
      </c>
      <c r="L12" s="18" t="s">
        <v>95</v>
      </c>
      <c r="M12" s="12"/>
      <c r="N12" s="12"/>
      <c r="O12" s="14"/>
      <c r="P12" s="14"/>
    </row>
    <row r="13" spans="1:20" s="7" customFormat="1" x14ac:dyDescent="0.2">
      <c r="A13" s="6" t="s">
        <v>21</v>
      </c>
      <c r="B13" s="6" t="s">
        <v>22</v>
      </c>
      <c r="C13" s="6" t="s">
        <v>65</v>
      </c>
      <c r="D13" s="6"/>
      <c r="E13" s="13">
        <v>5</v>
      </c>
      <c r="F13" s="6" t="s">
        <v>15</v>
      </c>
      <c r="G13" s="109"/>
      <c r="H13" s="109"/>
      <c r="I13" s="11">
        <f t="shared" si="2"/>
        <v>0</v>
      </c>
      <c r="J13" s="8">
        <f t="shared" si="3"/>
        <v>0</v>
      </c>
      <c r="K13" s="6" t="s">
        <v>39</v>
      </c>
      <c r="L13" s="18" t="s">
        <v>95</v>
      </c>
      <c r="M13" s="12"/>
      <c r="N13" s="12"/>
      <c r="O13" s="14"/>
      <c r="P13" s="14"/>
    </row>
    <row r="14" spans="1:20" s="7" customFormat="1" x14ac:dyDescent="0.2">
      <c r="A14" s="6" t="s">
        <v>21</v>
      </c>
      <c r="B14" s="6" t="s">
        <v>98</v>
      </c>
      <c r="C14" s="6" t="s">
        <v>65</v>
      </c>
      <c r="D14" s="6"/>
      <c r="E14" s="13">
        <v>12</v>
      </c>
      <c r="F14" s="6" t="s">
        <v>15</v>
      </c>
      <c r="G14" s="109"/>
      <c r="H14" s="109"/>
      <c r="I14" s="11">
        <f t="shared" si="2"/>
        <v>0</v>
      </c>
      <c r="J14" s="8">
        <f t="shared" si="3"/>
        <v>0</v>
      </c>
      <c r="K14" s="6" t="s">
        <v>39</v>
      </c>
      <c r="L14" s="18" t="s">
        <v>95</v>
      </c>
      <c r="M14" s="12"/>
      <c r="N14" s="12"/>
      <c r="O14" s="14"/>
      <c r="P14" s="14"/>
    </row>
    <row r="15" spans="1:20" s="46" customFormat="1" x14ac:dyDescent="0.2">
      <c r="A15" s="6" t="s">
        <v>140</v>
      </c>
      <c r="B15" s="6" t="s">
        <v>141</v>
      </c>
      <c r="C15" s="6" t="s">
        <v>1094</v>
      </c>
      <c r="D15" s="6"/>
      <c r="E15" s="22">
        <v>1</v>
      </c>
      <c r="F15" s="6" t="s">
        <v>15</v>
      </c>
      <c r="G15" s="109"/>
      <c r="H15" s="109"/>
      <c r="I15" s="11">
        <f>G15*E15</f>
        <v>0</v>
      </c>
      <c r="J15" s="11">
        <f>H15*E15</f>
        <v>0</v>
      </c>
      <c r="K15" s="6" t="s">
        <v>40</v>
      </c>
      <c r="L15" s="18"/>
      <c r="M15" s="45"/>
      <c r="N15" s="12"/>
      <c r="O15" s="9"/>
      <c r="P15" s="9"/>
      <c r="Q15" s="10"/>
      <c r="R15" s="10"/>
      <c r="S15" s="10"/>
      <c r="T15" s="11"/>
    </row>
    <row r="16" spans="1:20" s="7" customFormat="1" x14ac:dyDescent="0.2">
      <c r="A16" s="6" t="s">
        <v>1095</v>
      </c>
      <c r="B16" s="6" t="s">
        <v>24</v>
      </c>
      <c r="C16" s="6" t="s">
        <v>146</v>
      </c>
      <c r="D16" s="6"/>
      <c r="E16" s="13">
        <v>1</v>
      </c>
      <c r="F16" s="6" t="s">
        <v>15</v>
      </c>
      <c r="G16" s="117"/>
      <c r="H16" s="109"/>
      <c r="I16" s="11">
        <f t="shared" ref="I16:I21" si="4">G16*E16</f>
        <v>0</v>
      </c>
      <c r="J16" s="8">
        <f t="shared" ref="J16:J21" si="5">H16*E16</f>
        <v>0</v>
      </c>
      <c r="K16" s="6" t="s">
        <v>147</v>
      </c>
      <c r="L16" s="18" t="s">
        <v>148</v>
      </c>
      <c r="M16" s="12"/>
      <c r="N16" s="12"/>
      <c r="O16" s="14"/>
      <c r="P16" s="14"/>
    </row>
    <row r="17" spans="1:16" s="7" customFormat="1" x14ac:dyDescent="0.2">
      <c r="A17" s="6" t="s">
        <v>1096</v>
      </c>
      <c r="B17" s="6" t="s">
        <v>24</v>
      </c>
      <c r="D17" s="6"/>
      <c r="E17" s="13">
        <v>1</v>
      </c>
      <c r="F17" s="6" t="s">
        <v>15</v>
      </c>
      <c r="G17" s="117"/>
      <c r="H17" s="110"/>
      <c r="I17" s="11">
        <f t="shared" si="4"/>
        <v>0</v>
      </c>
      <c r="J17" s="8">
        <f t="shared" si="5"/>
        <v>0</v>
      </c>
      <c r="L17" s="18" t="s">
        <v>148</v>
      </c>
      <c r="M17" s="12"/>
      <c r="O17" s="14"/>
      <c r="P17" s="14"/>
    </row>
    <row r="18" spans="1:16" s="7" customFormat="1" x14ac:dyDescent="0.2">
      <c r="A18" s="6" t="s">
        <v>149</v>
      </c>
      <c r="B18" s="6" t="s">
        <v>150</v>
      </c>
      <c r="D18" s="6"/>
      <c r="E18" s="13">
        <v>1</v>
      </c>
      <c r="F18" s="6" t="s">
        <v>15</v>
      </c>
      <c r="G18" s="109"/>
      <c r="H18" s="109"/>
      <c r="I18" s="11">
        <f t="shared" si="4"/>
        <v>0</v>
      </c>
      <c r="J18" s="8">
        <f t="shared" si="5"/>
        <v>0</v>
      </c>
      <c r="L18" s="28"/>
      <c r="M18" s="12"/>
      <c r="O18" s="14"/>
      <c r="P18" s="14"/>
    </row>
    <row r="19" spans="1:16" s="7" customFormat="1" x14ac:dyDescent="0.2">
      <c r="A19" s="6" t="s">
        <v>151</v>
      </c>
      <c r="B19" s="6" t="s">
        <v>152</v>
      </c>
      <c r="D19" s="6"/>
      <c r="E19" s="13">
        <v>2</v>
      </c>
      <c r="F19" s="6" t="s">
        <v>15</v>
      </c>
      <c r="G19" s="109"/>
      <c r="H19" s="109"/>
      <c r="I19" s="11">
        <f t="shared" si="4"/>
        <v>0</v>
      </c>
      <c r="J19" s="8">
        <f t="shared" si="5"/>
        <v>0</v>
      </c>
      <c r="L19" s="28"/>
      <c r="M19" s="12"/>
      <c r="O19" s="14"/>
      <c r="P19" s="14"/>
    </row>
    <row r="20" spans="1:16" s="7" customFormat="1" x14ac:dyDescent="0.2">
      <c r="A20" s="32" t="s">
        <v>67</v>
      </c>
      <c r="B20" s="33" t="s">
        <v>1097</v>
      </c>
      <c r="C20" s="32" t="s">
        <v>1098</v>
      </c>
      <c r="D20" s="32"/>
      <c r="E20" s="34">
        <v>1</v>
      </c>
      <c r="F20" s="6" t="s">
        <v>15</v>
      </c>
      <c r="G20" s="116"/>
      <c r="H20" s="109"/>
      <c r="I20" s="11">
        <f t="shared" si="4"/>
        <v>0</v>
      </c>
      <c r="J20" s="8">
        <f t="shared" si="5"/>
        <v>0</v>
      </c>
      <c r="K20" s="6" t="s">
        <v>40</v>
      </c>
      <c r="L20" s="18" t="s">
        <v>153</v>
      </c>
      <c r="M20" s="38"/>
      <c r="N20" s="12"/>
      <c r="O20" s="14"/>
      <c r="P20" s="14"/>
    </row>
    <row r="21" spans="1:16" s="7" customFormat="1" x14ac:dyDescent="0.2">
      <c r="A21" s="6" t="s">
        <v>68</v>
      </c>
      <c r="B21" s="6" t="s">
        <v>1090</v>
      </c>
      <c r="C21" s="6" t="s">
        <v>154</v>
      </c>
      <c r="D21" s="6"/>
      <c r="E21" s="13">
        <v>1</v>
      </c>
      <c r="F21" s="6" t="s">
        <v>15</v>
      </c>
      <c r="G21" s="109"/>
      <c r="H21" s="109"/>
      <c r="I21" s="11">
        <f t="shared" si="4"/>
        <v>0</v>
      </c>
      <c r="J21" s="8">
        <f t="shared" si="5"/>
        <v>0</v>
      </c>
      <c r="K21" s="6" t="s">
        <v>40</v>
      </c>
      <c r="L21" s="18" t="s">
        <v>131</v>
      </c>
      <c r="M21" s="12"/>
      <c r="N21" s="12"/>
      <c r="O21" s="14"/>
      <c r="P21" s="14"/>
    </row>
    <row r="22" spans="1:16" s="7" customFormat="1" x14ac:dyDescent="0.2">
      <c r="A22" s="6"/>
      <c r="B22" s="20"/>
      <c r="C22" s="6"/>
      <c r="D22" s="6"/>
      <c r="E22" s="13"/>
      <c r="F22" s="6"/>
      <c r="G22" s="8"/>
      <c r="H22" s="8"/>
      <c r="I22" s="8"/>
      <c r="J22" s="8"/>
      <c r="L22" s="29"/>
      <c r="N22" s="14"/>
      <c r="O22" s="14"/>
    </row>
    <row r="23" spans="1:16" s="7" customFormat="1" x14ac:dyDescent="0.2">
      <c r="A23" s="6" t="s">
        <v>29</v>
      </c>
      <c r="B23" s="20"/>
      <c r="C23" s="6"/>
      <c r="D23" s="6"/>
      <c r="E23" s="13"/>
      <c r="F23" s="6"/>
      <c r="G23" s="8"/>
      <c r="I23" s="8">
        <f>SUM(I8:I22)</f>
        <v>0</v>
      </c>
      <c r="J23" s="8"/>
      <c r="L23" s="29"/>
      <c r="N23" s="14"/>
      <c r="O23" s="14"/>
    </row>
    <row r="24" spans="1:16" x14ac:dyDescent="0.2">
      <c r="A24" s="6" t="s">
        <v>75</v>
      </c>
      <c r="I24" s="3"/>
      <c r="J24" s="3">
        <f>SUM(J8:J23)</f>
        <v>0</v>
      </c>
    </row>
    <row r="25" spans="1:16" x14ac:dyDescent="0.2">
      <c r="A25" s="6"/>
      <c r="I25" s="3"/>
      <c r="J25" s="3"/>
    </row>
    <row r="26" spans="1:16" x14ac:dyDescent="0.2">
      <c r="A26" s="35" t="s">
        <v>76</v>
      </c>
      <c r="B26" s="36"/>
      <c r="C26" s="36"/>
      <c r="D26" s="36"/>
      <c r="E26" s="36"/>
      <c r="F26" s="36"/>
      <c r="G26" s="36"/>
      <c r="I26" s="37"/>
      <c r="J26" s="5">
        <f>J24+I23</f>
        <v>0</v>
      </c>
    </row>
  </sheetData>
  <pageMargins left="0.62992125984251968" right="0.62992125984251968" top="0.55118110236220474" bottom="0.55118110236220474" header="0.31496062992125984" footer="0.31496062992125984"/>
  <pageSetup paperSize="9" orientation="landscape" horizontalDpi="300" verticalDpi="300" r:id="rId1"/>
  <headerFooter>
    <oddHeader>&amp;L&amp;"Arial,Obyčejné"KRYTÝ BAZÉN ZNOJMO - LOUKA SO 101&amp;R&amp;"Arial,Obyčejné"DPS</oddHeader>
    <oddFooter>Stránka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T45"/>
  <sheetViews>
    <sheetView workbookViewId="0">
      <selection activeCell="S244" sqref="S244"/>
    </sheetView>
  </sheetViews>
  <sheetFormatPr defaultRowHeight="12.75" x14ac:dyDescent="0.2"/>
  <cols>
    <col min="1" max="1" width="26.83203125" customWidth="1"/>
    <col min="2" max="3" width="13.83203125" customWidth="1"/>
    <col min="4" max="4" width="5.83203125" customWidth="1"/>
    <col min="5" max="5" width="7.83203125" customWidth="1"/>
    <col min="6" max="6" width="3.83203125" customWidth="1"/>
    <col min="7" max="8" width="10.83203125" customWidth="1"/>
    <col min="9" max="9" width="11.83203125" customWidth="1"/>
    <col min="10" max="10" width="11.83203125" style="4" customWidth="1"/>
    <col min="11" max="11" width="11.83203125" customWidth="1"/>
    <col min="12" max="12" width="9.33203125" style="4"/>
  </cols>
  <sheetData>
    <row r="1" spans="1:16" ht="25.5" x14ac:dyDescent="0.35">
      <c r="B1" s="2" t="s">
        <v>155</v>
      </c>
    </row>
    <row r="2" spans="1:16" x14ac:dyDescent="0.2">
      <c r="A2" t="s">
        <v>59</v>
      </c>
      <c r="C2" t="s">
        <v>156</v>
      </c>
      <c r="E2">
        <v>1</v>
      </c>
      <c r="F2" t="s">
        <v>15</v>
      </c>
    </row>
    <row r="4" spans="1:16" x14ac:dyDescent="0.2">
      <c r="A4" t="s">
        <v>60</v>
      </c>
      <c r="C4" t="s">
        <v>178</v>
      </c>
    </row>
    <row r="5" spans="1:16" x14ac:dyDescent="0.2">
      <c r="H5" s="3"/>
    </row>
    <row r="6" spans="1:16" s="7" customFormat="1" x14ac:dyDescent="0.2">
      <c r="A6" s="6" t="s">
        <v>34</v>
      </c>
      <c r="E6" s="20" t="s">
        <v>35</v>
      </c>
      <c r="F6" s="6" t="s">
        <v>13</v>
      </c>
      <c r="G6" s="11" t="s">
        <v>30</v>
      </c>
      <c r="H6" s="11" t="s">
        <v>31</v>
      </c>
      <c r="I6" s="11" t="s">
        <v>32</v>
      </c>
      <c r="J6" s="11" t="s">
        <v>33</v>
      </c>
      <c r="K6" s="6" t="s">
        <v>61</v>
      </c>
      <c r="L6" s="18" t="s">
        <v>269</v>
      </c>
    </row>
    <row r="7" spans="1:16" x14ac:dyDescent="0.2">
      <c r="E7" s="127"/>
    </row>
    <row r="8" spans="1:16" s="7" customFormat="1" x14ac:dyDescent="0.2">
      <c r="A8" s="6" t="s">
        <v>90</v>
      </c>
      <c r="B8" s="6" t="s">
        <v>1075</v>
      </c>
      <c r="D8" s="6"/>
      <c r="E8" s="128">
        <v>4</v>
      </c>
      <c r="F8" s="6" t="s">
        <v>15</v>
      </c>
      <c r="G8" s="109"/>
      <c r="H8" s="109"/>
      <c r="I8" s="11">
        <f>G8*E8</f>
        <v>0</v>
      </c>
      <c r="J8" s="8">
        <f>H8*E8</f>
        <v>0</v>
      </c>
      <c r="K8" s="6" t="s">
        <v>40</v>
      </c>
      <c r="L8" s="18" t="s">
        <v>91</v>
      </c>
      <c r="M8" s="12"/>
      <c r="N8" s="12"/>
      <c r="O8" s="14"/>
      <c r="P8" s="14"/>
    </row>
    <row r="9" spans="1:16" s="7" customFormat="1" x14ac:dyDescent="0.2">
      <c r="A9" s="6" t="s">
        <v>90</v>
      </c>
      <c r="B9" s="6" t="s">
        <v>1099</v>
      </c>
      <c r="D9" s="6"/>
      <c r="E9" s="128">
        <v>1</v>
      </c>
      <c r="F9" s="6" t="s">
        <v>15</v>
      </c>
      <c r="G9" s="109"/>
      <c r="H9" s="109"/>
      <c r="I9" s="11">
        <f>G9*E9</f>
        <v>0</v>
      </c>
      <c r="J9" s="8">
        <f>H9*E9</f>
        <v>0</v>
      </c>
      <c r="K9" s="6" t="s">
        <v>40</v>
      </c>
      <c r="L9" s="18" t="s">
        <v>91</v>
      </c>
      <c r="M9" s="12"/>
      <c r="N9" s="12"/>
      <c r="O9" s="14"/>
      <c r="P9" s="14"/>
    </row>
    <row r="10" spans="1:16" s="7" customFormat="1" x14ac:dyDescent="0.2">
      <c r="A10" s="6" t="s">
        <v>92</v>
      </c>
      <c r="B10" s="6" t="s">
        <v>1100</v>
      </c>
      <c r="D10" s="6"/>
      <c r="E10" s="128">
        <v>1</v>
      </c>
      <c r="F10" s="6" t="s">
        <v>15</v>
      </c>
      <c r="G10" s="109"/>
      <c r="H10" s="109"/>
      <c r="I10" s="11">
        <f t="shared" ref="I10" si="0">G10*E10</f>
        <v>0</v>
      </c>
      <c r="J10" s="8">
        <f t="shared" ref="J10" si="1">H10*E10</f>
        <v>0</v>
      </c>
      <c r="K10" s="6" t="s">
        <v>39</v>
      </c>
      <c r="L10" s="18" t="s">
        <v>93</v>
      </c>
      <c r="M10" s="12"/>
      <c r="N10" s="12"/>
      <c r="O10" s="14"/>
      <c r="P10" s="14"/>
    </row>
    <row r="11" spans="1:16" s="7" customFormat="1" x14ac:dyDescent="0.2">
      <c r="A11" s="6" t="s">
        <v>92</v>
      </c>
      <c r="B11" s="6" t="s">
        <v>1076</v>
      </c>
      <c r="D11" s="6"/>
      <c r="E11" s="128">
        <v>11</v>
      </c>
      <c r="F11" s="6" t="s">
        <v>15</v>
      </c>
      <c r="G11" s="109"/>
      <c r="H11" s="109"/>
      <c r="I11" s="11">
        <f t="shared" ref="I11:I24" si="2">G11*E11</f>
        <v>0</v>
      </c>
      <c r="J11" s="8">
        <f t="shared" ref="J11:J24" si="3">H11*E11</f>
        <v>0</v>
      </c>
      <c r="K11" s="6" t="s">
        <v>39</v>
      </c>
      <c r="L11" s="18" t="s">
        <v>93</v>
      </c>
      <c r="M11" s="12"/>
      <c r="N11" s="12"/>
      <c r="O11" s="14"/>
      <c r="P11" s="14"/>
    </row>
    <row r="12" spans="1:16" s="7" customFormat="1" x14ac:dyDescent="0.2">
      <c r="A12" s="6" t="s">
        <v>143</v>
      </c>
      <c r="B12" s="7" t="s">
        <v>144</v>
      </c>
      <c r="C12" s="6" t="s">
        <v>145</v>
      </c>
      <c r="D12" s="6"/>
      <c r="E12" s="128">
        <v>1</v>
      </c>
      <c r="F12" s="6" t="s">
        <v>15</v>
      </c>
      <c r="G12" s="109"/>
      <c r="H12" s="109"/>
      <c r="I12" s="11">
        <f t="shared" si="2"/>
        <v>0</v>
      </c>
      <c r="J12" s="8">
        <f t="shared" si="3"/>
        <v>0</v>
      </c>
      <c r="K12" s="6"/>
      <c r="L12" s="18" t="s">
        <v>180</v>
      </c>
      <c r="M12" s="12"/>
      <c r="N12" s="12"/>
      <c r="O12" s="14"/>
      <c r="P12" s="14"/>
    </row>
    <row r="13" spans="1:16" s="7" customFormat="1" x14ac:dyDescent="0.2">
      <c r="A13" s="6" t="s">
        <v>143</v>
      </c>
      <c r="B13" s="7" t="s">
        <v>144</v>
      </c>
      <c r="C13" s="6" t="s">
        <v>158</v>
      </c>
      <c r="D13" s="6"/>
      <c r="E13" s="128">
        <v>1</v>
      </c>
      <c r="F13" s="6" t="s">
        <v>15</v>
      </c>
      <c r="G13" s="109"/>
      <c r="H13" s="109"/>
      <c r="I13" s="11">
        <f t="shared" ref="I13" si="4">G13*E13</f>
        <v>0</v>
      </c>
      <c r="J13" s="8">
        <f t="shared" ref="J13" si="5">H13*E13</f>
        <v>0</v>
      </c>
      <c r="K13" s="6"/>
      <c r="L13" s="18" t="s">
        <v>180</v>
      </c>
      <c r="M13" s="12"/>
      <c r="N13" s="12"/>
      <c r="O13" s="14"/>
      <c r="P13" s="14"/>
    </row>
    <row r="14" spans="1:16" s="7" customFormat="1" x14ac:dyDescent="0.2">
      <c r="A14" s="6" t="s">
        <v>159</v>
      </c>
      <c r="B14" s="7" t="s">
        <v>144</v>
      </c>
      <c r="C14" s="6" t="s">
        <v>160</v>
      </c>
      <c r="D14" s="6"/>
      <c r="E14" s="128">
        <v>1</v>
      </c>
      <c r="F14" s="6" t="s">
        <v>15</v>
      </c>
      <c r="G14" s="109"/>
      <c r="H14" s="109"/>
      <c r="I14" s="11">
        <f t="shared" ref="I14" si="6">G14*E14</f>
        <v>0</v>
      </c>
      <c r="J14" s="8">
        <f t="shared" ref="J14" si="7">H14*E14</f>
        <v>0</v>
      </c>
      <c r="K14" s="6"/>
      <c r="L14" s="18" t="s">
        <v>180</v>
      </c>
      <c r="M14" s="12"/>
      <c r="N14" s="12"/>
      <c r="O14" s="14"/>
      <c r="P14" s="14"/>
    </row>
    <row r="15" spans="1:16" s="7" customFormat="1" x14ac:dyDescent="0.2">
      <c r="A15" s="6" t="s">
        <v>161</v>
      </c>
      <c r="B15" s="7" t="s">
        <v>144</v>
      </c>
      <c r="C15" s="6" t="s">
        <v>162</v>
      </c>
      <c r="D15" s="6"/>
      <c r="E15" s="128">
        <v>1</v>
      </c>
      <c r="F15" s="6" t="s">
        <v>15</v>
      </c>
      <c r="G15" s="109"/>
      <c r="H15" s="109"/>
      <c r="I15" s="11">
        <f t="shared" ref="I15" si="8">G15*E15</f>
        <v>0</v>
      </c>
      <c r="J15" s="8">
        <f t="shared" ref="J15" si="9">H15*E15</f>
        <v>0</v>
      </c>
      <c r="K15" s="6"/>
      <c r="L15" s="18"/>
      <c r="M15" s="12"/>
      <c r="N15" s="12"/>
      <c r="O15" s="14"/>
      <c r="P15" s="14"/>
    </row>
    <row r="16" spans="1:16" s="7" customFormat="1" x14ac:dyDescent="0.2">
      <c r="A16" s="6" t="s">
        <v>163</v>
      </c>
      <c r="B16" s="7" t="s">
        <v>144</v>
      </c>
      <c r="C16" s="6" t="s">
        <v>162</v>
      </c>
      <c r="D16" s="6"/>
      <c r="E16" s="128">
        <v>1</v>
      </c>
      <c r="F16" s="6" t="s">
        <v>15</v>
      </c>
      <c r="G16" s="109"/>
      <c r="H16" s="109"/>
      <c r="I16" s="11">
        <f t="shared" ref="I16:I17" si="10">G16*E16</f>
        <v>0</v>
      </c>
      <c r="J16" s="8">
        <f t="shared" ref="J16:J17" si="11">H16*E16</f>
        <v>0</v>
      </c>
      <c r="K16" s="6"/>
      <c r="L16" s="18"/>
      <c r="M16" s="12"/>
      <c r="N16" s="12"/>
      <c r="O16" s="14"/>
      <c r="P16" s="14"/>
    </row>
    <row r="17" spans="1:20" s="7" customFormat="1" x14ac:dyDescent="0.2">
      <c r="A17" s="6" t="s">
        <v>21</v>
      </c>
      <c r="B17" s="6" t="s">
        <v>22</v>
      </c>
      <c r="C17" s="6" t="s">
        <v>164</v>
      </c>
      <c r="D17" s="6"/>
      <c r="E17" s="129">
        <v>1</v>
      </c>
      <c r="F17" s="6" t="s">
        <v>15</v>
      </c>
      <c r="G17" s="109"/>
      <c r="H17" s="109"/>
      <c r="I17" s="11">
        <f t="shared" si="10"/>
        <v>0</v>
      </c>
      <c r="J17" s="8">
        <f t="shared" si="11"/>
        <v>0</v>
      </c>
      <c r="K17" s="6" t="s">
        <v>39</v>
      </c>
      <c r="L17" s="18" t="s">
        <v>95</v>
      </c>
      <c r="M17" s="12"/>
      <c r="N17" s="12"/>
      <c r="O17" s="14"/>
      <c r="P17" s="14"/>
    </row>
    <row r="18" spans="1:20" s="7" customFormat="1" x14ac:dyDescent="0.2">
      <c r="A18" s="6" t="s">
        <v>21</v>
      </c>
      <c r="B18" s="6" t="s">
        <v>22</v>
      </c>
      <c r="C18" s="6" t="s">
        <v>64</v>
      </c>
      <c r="D18" s="6"/>
      <c r="E18" s="129">
        <v>6</v>
      </c>
      <c r="F18" s="6" t="s">
        <v>15</v>
      </c>
      <c r="G18" s="109"/>
      <c r="H18" s="109"/>
      <c r="I18" s="11">
        <f t="shared" si="2"/>
        <v>0</v>
      </c>
      <c r="J18" s="8">
        <f t="shared" si="3"/>
        <v>0</v>
      </c>
      <c r="K18" s="6" t="s">
        <v>39</v>
      </c>
      <c r="L18" s="18" t="s">
        <v>95</v>
      </c>
      <c r="M18" s="12"/>
      <c r="N18" s="12"/>
      <c r="O18" s="14"/>
      <c r="P18" s="14"/>
    </row>
    <row r="19" spans="1:20" s="7" customFormat="1" x14ac:dyDescent="0.2">
      <c r="A19" s="6" t="s">
        <v>21</v>
      </c>
      <c r="B19" s="6" t="s">
        <v>22</v>
      </c>
      <c r="C19" s="6" t="s">
        <v>43</v>
      </c>
      <c r="D19" s="6"/>
      <c r="E19" s="129">
        <v>16</v>
      </c>
      <c r="F19" s="6" t="s">
        <v>15</v>
      </c>
      <c r="G19" s="109"/>
      <c r="H19" s="109"/>
      <c r="I19" s="11">
        <f t="shared" si="2"/>
        <v>0</v>
      </c>
      <c r="J19" s="8">
        <f t="shared" si="3"/>
        <v>0</v>
      </c>
      <c r="K19" s="6" t="s">
        <v>39</v>
      </c>
      <c r="L19" s="18" t="s">
        <v>95</v>
      </c>
      <c r="M19" s="12"/>
      <c r="N19" s="12"/>
      <c r="O19" s="14"/>
      <c r="P19" s="14"/>
    </row>
    <row r="20" spans="1:20" s="7" customFormat="1" x14ac:dyDescent="0.2">
      <c r="A20" s="6" t="s">
        <v>21</v>
      </c>
      <c r="B20" s="6" t="s">
        <v>22</v>
      </c>
      <c r="C20" s="6" t="s">
        <v>65</v>
      </c>
      <c r="D20" s="6"/>
      <c r="E20" s="129">
        <v>2</v>
      </c>
      <c r="F20" s="6" t="s">
        <v>15</v>
      </c>
      <c r="G20" s="109"/>
      <c r="H20" s="109"/>
      <c r="I20" s="11">
        <f t="shared" si="2"/>
        <v>0</v>
      </c>
      <c r="J20" s="8">
        <f t="shared" si="3"/>
        <v>0</v>
      </c>
      <c r="K20" s="6" t="s">
        <v>39</v>
      </c>
      <c r="L20" s="18" t="s">
        <v>95</v>
      </c>
      <c r="M20" s="12"/>
      <c r="N20" s="12"/>
      <c r="O20" s="14"/>
      <c r="P20" s="14"/>
    </row>
    <row r="21" spans="1:20" s="7" customFormat="1" x14ac:dyDescent="0.2">
      <c r="A21" s="6" t="s">
        <v>21</v>
      </c>
      <c r="B21" s="6" t="s">
        <v>98</v>
      </c>
      <c r="C21" s="6" t="s">
        <v>65</v>
      </c>
      <c r="D21" s="6"/>
      <c r="E21" s="129">
        <v>23</v>
      </c>
      <c r="F21" s="6" t="s">
        <v>15</v>
      </c>
      <c r="G21" s="109"/>
      <c r="H21" s="109"/>
      <c r="I21" s="11">
        <f t="shared" si="2"/>
        <v>0</v>
      </c>
      <c r="J21" s="8">
        <f t="shared" si="3"/>
        <v>0</v>
      </c>
      <c r="K21" s="6" t="s">
        <v>39</v>
      </c>
      <c r="L21" s="18" t="s">
        <v>95</v>
      </c>
      <c r="M21" s="12"/>
      <c r="N21" s="12"/>
      <c r="O21" s="14"/>
      <c r="P21" s="14"/>
    </row>
    <row r="22" spans="1:20" s="7" customFormat="1" x14ac:dyDescent="0.2">
      <c r="A22" s="6" t="s">
        <v>21</v>
      </c>
      <c r="B22" s="6" t="s">
        <v>66</v>
      </c>
      <c r="C22" s="6" t="s">
        <v>100</v>
      </c>
      <c r="D22" s="6"/>
      <c r="E22" s="129">
        <v>1</v>
      </c>
      <c r="F22" s="6" t="s">
        <v>15</v>
      </c>
      <c r="G22" s="109"/>
      <c r="H22" s="109"/>
      <c r="I22" s="11">
        <f t="shared" si="2"/>
        <v>0</v>
      </c>
      <c r="J22" s="8">
        <f t="shared" si="3"/>
        <v>0</v>
      </c>
      <c r="K22" s="6" t="s">
        <v>40</v>
      </c>
      <c r="L22" s="18" t="s">
        <v>95</v>
      </c>
      <c r="M22" s="12"/>
      <c r="N22" s="12"/>
      <c r="O22" s="14"/>
      <c r="P22" s="14"/>
    </row>
    <row r="23" spans="1:20" s="7" customFormat="1" x14ac:dyDescent="0.2">
      <c r="A23" s="6" t="s">
        <v>21</v>
      </c>
      <c r="B23" s="6" t="s">
        <v>66</v>
      </c>
      <c r="C23" s="6" t="s">
        <v>165</v>
      </c>
      <c r="D23" s="6"/>
      <c r="E23" s="129">
        <v>1</v>
      </c>
      <c r="F23" s="6" t="s">
        <v>15</v>
      </c>
      <c r="G23" s="109"/>
      <c r="H23" s="109"/>
      <c r="I23" s="11">
        <f t="shared" si="2"/>
        <v>0</v>
      </c>
      <c r="J23" s="8">
        <f t="shared" si="3"/>
        <v>0</v>
      </c>
      <c r="K23" s="6" t="s">
        <v>40</v>
      </c>
      <c r="L23" s="18" t="s">
        <v>95</v>
      </c>
      <c r="M23" s="12"/>
      <c r="N23" s="12"/>
      <c r="O23" s="14"/>
      <c r="P23" s="14"/>
    </row>
    <row r="24" spans="1:20" s="7" customFormat="1" x14ac:dyDescent="0.2">
      <c r="A24" s="6" t="s">
        <v>21</v>
      </c>
      <c r="B24" s="6" t="s">
        <v>101</v>
      </c>
      <c r="C24" s="6" t="s">
        <v>65</v>
      </c>
      <c r="D24" s="6"/>
      <c r="E24" s="129">
        <v>3</v>
      </c>
      <c r="F24" s="6" t="s">
        <v>15</v>
      </c>
      <c r="G24" s="109"/>
      <c r="H24" s="109"/>
      <c r="I24" s="11">
        <f t="shared" si="2"/>
        <v>0</v>
      </c>
      <c r="J24" s="8">
        <f t="shared" si="3"/>
        <v>0</v>
      </c>
      <c r="K24" s="6" t="s">
        <v>40</v>
      </c>
      <c r="L24" s="18" t="s">
        <v>95</v>
      </c>
      <c r="M24" s="12"/>
      <c r="N24" s="12"/>
      <c r="O24" s="14"/>
      <c r="P24" s="14"/>
    </row>
    <row r="25" spans="1:20" s="7" customFormat="1" x14ac:dyDescent="0.2">
      <c r="A25" s="6" t="s">
        <v>166</v>
      </c>
      <c r="B25" s="6" t="s">
        <v>1079</v>
      </c>
      <c r="C25" s="7" t="s">
        <v>1090</v>
      </c>
      <c r="D25" s="6"/>
      <c r="E25" s="129">
        <v>9</v>
      </c>
      <c r="F25" s="6" t="s">
        <v>15</v>
      </c>
      <c r="G25" s="109"/>
      <c r="H25" s="109"/>
      <c r="I25" s="11">
        <f t="shared" ref="I25:I30" si="12">G25*E25</f>
        <v>0</v>
      </c>
      <c r="J25" s="8">
        <f t="shared" ref="J25:J30" si="13">H25*E25</f>
        <v>0</v>
      </c>
      <c r="K25" s="6" t="s">
        <v>39</v>
      </c>
      <c r="L25" s="18"/>
      <c r="M25" s="12"/>
      <c r="N25" s="12"/>
      <c r="O25" s="14"/>
      <c r="P25" s="14"/>
    </row>
    <row r="26" spans="1:20" s="46" customFormat="1" x14ac:dyDescent="0.2">
      <c r="A26" s="6" t="s">
        <v>140</v>
      </c>
      <c r="B26" s="6" t="s">
        <v>141</v>
      </c>
      <c r="C26" s="6" t="s">
        <v>1094</v>
      </c>
      <c r="D26" s="6"/>
      <c r="E26" s="130">
        <v>1</v>
      </c>
      <c r="F26" s="6" t="s">
        <v>15</v>
      </c>
      <c r="G26" s="109"/>
      <c r="H26" s="109"/>
      <c r="I26" s="11">
        <f t="shared" si="12"/>
        <v>0</v>
      </c>
      <c r="J26" s="11">
        <f t="shared" si="13"/>
        <v>0</v>
      </c>
      <c r="K26" s="6" t="s">
        <v>40</v>
      </c>
      <c r="L26" s="18"/>
      <c r="M26" s="45"/>
      <c r="N26" s="12"/>
      <c r="O26" s="9"/>
      <c r="P26" s="9"/>
      <c r="Q26" s="10"/>
      <c r="R26" s="10"/>
      <c r="S26" s="10"/>
      <c r="T26" s="11"/>
    </row>
    <row r="27" spans="1:20" s="7" customFormat="1" x14ac:dyDescent="0.2">
      <c r="A27" s="6" t="s">
        <v>62</v>
      </c>
      <c r="D27" s="6"/>
      <c r="E27" s="131">
        <v>1.6</v>
      </c>
      <c r="F27" s="6" t="s">
        <v>26</v>
      </c>
      <c r="G27" s="109"/>
      <c r="H27" s="109"/>
      <c r="I27" s="11">
        <f t="shared" si="12"/>
        <v>0</v>
      </c>
      <c r="J27" s="8">
        <f t="shared" si="13"/>
        <v>0</v>
      </c>
      <c r="L27" s="28"/>
      <c r="M27" s="12"/>
      <c r="N27" s="31"/>
      <c r="O27" s="14"/>
      <c r="P27" s="14"/>
    </row>
    <row r="28" spans="1:20" s="7" customFormat="1" x14ac:dyDescent="0.2">
      <c r="A28" s="6" t="s">
        <v>63</v>
      </c>
      <c r="C28" s="6" t="s">
        <v>24</v>
      </c>
      <c r="D28" s="6"/>
      <c r="E28" s="129">
        <v>1</v>
      </c>
      <c r="F28" s="6" t="s">
        <v>15</v>
      </c>
      <c r="G28" s="109"/>
      <c r="H28" s="110"/>
      <c r="I28" s="11">
        <f t="shared" si="12"/>
        <v>0</v>
      </c>
      <c r="J28" s="8">
        <f t="shared" si="13"/>
        <v>0</v>
      </c>
      <c r="L28" s="28"/>
      <c r="M28" s="12"/>
      <c r="O28" s="14"/>
      <c r="P28" s="14"/>
    </row>
    <row r="29" spans="1:20" s="7" customFormat="1" x14ac:dyDescent="0.2">
      <c r="A29" s="6" t="s">
        <v>1101</v>
      </c>
      <c r="D29" s="6"/>
      <c r="E29" s="129">
        <v>1</v>
      </c>
      <c r="F29" s="6" t="s">
        <v>15</v>
      </c>
      <c r="G29" s="110"/>
      <c r="H29" s="110"/>
      <c r="I29" s="11">
        <f t="shared" si="12"/>
        <v>0</v>
      </c>
      <c r="J29" s="8">
        <f t="shared" si="13"/>
        <v>0</v>
      </c>
      <c r="K29" s="25">
        <v>210190051</v>
      </c>
      <c r="L29" s="43"/>
      <c r="M29" s="12"/>
      <c r="N29" s="12"/>
      <c r="O29" s="14"/>
      <c r="P29" s="14"/>
    </row>
    <row r="30" spans="1:20" s="7" customFormat="1" x14ac:dyDescent="0.2">
      <c r="A30" s="6" t="s">
        <v>171</v>
      </c>
      <c r="D30" s="6"/>
      <c r="E30" s="129">
        <v>2</v>
      </c>
      <c r="F30" s="6" t="s">
        <v>15</v>
      </c>
      <c r="G30" s="110"/>
      <c r="H30" s="110"/>
      <c r="I30" s="11">
        <f t="shared" si="12"/>
        <v>0</v>
      </c>
      <c r="J30" s="8">
        <f t="shared" si="13"/>
        <v>0</v>
      </c>
      <c r="K30" s="25">
        <v>210191020</v>
      </c>
      <c r="L30" s="43"/>
      <c r="M30" s="12"/>
      <c r="O30" s="14"/>
      <c r="P30" s="14"/>
    </row>
    <row r="31" spans="1:20" s="7" customFormat="1" x14ac:dyDescent="0.2">
      <c r="A31" s="6" t="s">
        <v>172</v>
      </c>
      <c r="D31" s="6"/>
      <c r="E31" s="129">
        <v>1</v>
      </c>
      <c r="F31" s="6" t="s">
        <v>15</v>
      </c>
      <c r="G31" s="110"/>
      <c r="H31" s="110"/>
      <c r="I31" s="11">
        <f t="shared" ref="I31:I33" si="14">G31*E31</f>
        <v>0</v>
      </c>
      <c r="J31" s="8">
        <f t="shared" ref="J31:J33" si="15">H31*E31</f>
        <v>0</v>
      </c>
      <c r="K31" s="25">
        <v>210191010</v>
      </c>
      <c r="L31" s="43"/>
      <c r="M31" s="12"/>
      <c r="N31" s="12"/>
      <c r="O31" s="14"/>
      <c r="P31" s="14"/>
    </row>
    <row r="32" spans="1:20" s="7" customFormat="1" x14ac:dyDescent="0.2">
      <c r="A32" s="6" t="s">
        <v>135</v>
      </c>
      <c r="D32" s="6"/>
      <c r="E32" s="129">
        <v>1</v>
      </c>
      <c r="F32" s="6" t="s">
        <v>15</v>
      </c>
      <c r="G32" s="110"/>
      <c r="H32" s="110"/>
      <c r="I32" s="11">
        <f t="shared" si="14"/>
        <v>0</v>
      </c>
      <c r="J32" s="8">
        <f t="shared" si="15"/>
        <v>0</v>
      </c>
      <c r="K32" s="25">
        <v>210191023</v>
      </c>
      <c r="L32" s="43"/>
      <c r="M32" s="12"/>
      <c r="O32" s="14"/>
      <c r="P32" s="14"/>
    </row>
    <row r="33" spans="1:20" s="7" customFormat="1" x14ac:dyDescent="0.2">
      <c r="A33" s="6" t="s">
        <v>136</v>
      </c>
      <c r="D33" s="6"/>
      <c r="E33" s="129">
        <v>1</v>
      </c>
      <c r="F33" s="6" t="s">
        <v>134</v>
      </c>
      <c r="G33" s="110"/>
      <c r="H33" s="110"/>
      <c r="I33" s="8">
        <f t="shared" si="14"/>
        <v>0</v>
      </c>
      <c r="J33" s="8">
        <f t="shared" si="15"/>
        <v>0</v>
      </c>
      <c r="L33" s="28"/>
      <c r="M33" s="12"/>
      <c r="O33" s="14"/>
      <c r="P33" s="14"/>
    </row>
    <row r="34" spans="1:20" s="7" customFormat="1" x14ac:dyDescent="0.2">
      <c r="A34" s="6" t="s">
        <v>69</v>
      </c>
      <c r="C34" s="6" t="s">
        <v>167</v>
      </c>
      <c r="D34" s="6"/>
      <c r="E34" s="129">
        <v>3</v>
      </c>
      <c r="F34" s="6" t="s">
        <v>15</v>
      </c>
      <c r="G34" s="109"/>
      <c r="H34" s="109"/>
      <c r="I34" s="11">
        <f t="shared" ref="I34:I36" si="16">G34*E34</f>
        <v>0</v>
      </c>
      <c r="J34" s="8">
        <f t="shared" ref="J34:J36" si="17">H34*E34</f>
        <v>0</v>
      </c>
      <c r="K34" s="25">
        <v>210070401</v>
      </c>
      <c r="L34" s="43"/>
      <c r="M34" s="12"/>
      <c r="N34" s="12"/>
      <c r="O34" s="14"/>
      <c r="P34" s="14"/>
      <c r="S34" s="6"/>
    </row>
    <row r="35" spans="1:20" s="7" customFormat="1" x14ac:dyDescent="0.2">
      <c r="A35" s="6" t="s">
        <v>70</v>
      </c>
      <c r="C35" s="6" t="s">
        <v>167</v>
      </c>
      <c r="D35" s="6"/>
      <c r="E35" s="129">
        <v>2</v>
      </c>
      <c r="F35" s="6" t="s">
        <v>15</v>
      </c>
      <c r="G35" s="109"/>
      <c r="H35" s="109"/>
      <c r="I35" s="11">
        <f t="shared" si="16"/>
        <v>0</v>
      </c>
      <c r="J35" s="8">
        <f t="shared" si="17"/>
        <v>0</v>
      </c>
      <c r="K35" s="25">
        <v>210070401</v>
      </c>
      <c r="L35" s="43"/>
      <c r="M35" s="12"/>
      <c r="N35" s="12"/>
      <c r="O35" s="14"/>
      <c r="P35" s="14"/>
      <c r="S35" s="6"/>
    </row>
    <row r="36" spans="1:20" s="7" customFormat="1" x14ac:dyDescent="0.2">
      <c r="A36" s="6" t="s">
        <v>71</v>
      </c>
      <c r="C36" s="6" t="s">
        <v>168</v>
      </c>
      <c r="E36" s="129">
        <v>1</v>
      </c>
      <c r="F36" s="6" t="s">
        <v>15</v>
      </c>
      <c r="G36" s="109"/>
      <c r="H36" s="109"/>
      <c r="I36" s="11">
        <f t="shared" si="16"/>
        <v>0</v>
      </c>
      <c r="J36" s="11">
        <f t="shared" si="17"/>
        <v>0</v>
      </c>
      <c r="L36" s="28"/>
      <c r="M36" s="12"/>
      <c r="O36" s="14"/>
      <c r="P36" s="14"/>
    </row>
    <row r="37" spans="1:20" s="7" customFormat="1" x14ac:dyDescent="0.2">
      <c r="A37" s="32" t="s">
        <v>67</v>
      </c>
      <c r="B37" s="33" t="s">
        <v>1097</v>
      </c>
      <c r="C37" s="32" t="s">
        <v>1098</v>
      </c>
      <c r="D37" s="32"/>
      <c r="E37" s="34">
        <v>1</v>
      </c>
      <c r="F37" s="6" t="s">
        <v>15</v>
      </c>
      <c r="G37" s="116"/>
      <c r="H37" s="109"/>
      <c r="I37" s="11">
        <f t="shared" ref="I37" si="18">G37*E37</f>
        <v>0</v>
      </c>
      <c r="J37" s="8">
        <f t="shared" ref="J37" si="19">H37*E37</f>
        <v>0</v>
      </c>
      <c r="K37" s="6" t="s">
        <v>40</v>
      </c>
      <c r="L37" s="18" t="s">
        <v>153</v>
      </c>
      <c r="M37" s="38"/>
      <c r="N37" s="12"/>
      <c r="O37" s="14"/>
      <c r="P37" s="14"/>
    </row>
    <row r="38" spans="1:20" s="7" customFormat="1" x14ac:dyDescent="0.2">
      <c r="A38" s="6" t="s">
        <v>68</v>
      </c>
      <c r="B38" s="6" t="s">
        <v>1090</v>
      </c>
      <c r="C38" s="6" t="s">
        <v>169</v>
      </c>
      <c r="D38" s="6"/>
      <c r="E38" s="129">
        <v>1</v>
      </c>
      <c r="F38" s="6" t="s">
        <v>15</v>
      </c>
      <c r="G38" s="109"/>
      <c r="H38" s="109"/>
      <c r="I38" s="11">
        <f>G38*E38</f>
        <v>0</v>
      </c>
      <c r="J38" s="8">
        <f>H38*E38</f>
        <v>0</v>
      </c>
      <c r="K38" s="6" t="s">
        <v>40</v>
      </c>
      <c r="L38" s="18" t="s">
        <v>170</v>
      </c>
      <c r="M38" s="12"/>
      <c r="N38" s="12"/>
      <c r="O38" s="14"/>
      <c r="P38" s="14"/>
    </row>
    <row r="39" spans="1:20" s="7" customFormat="1" x14ac:dyDescent="0.2">
      <c r="A39" s="6" t="s">
        <v>72</v>
      </c>
      <c r="B39" s="6" t="s">
        <v>1093</v>
      </c>
      <c r="C39" s="18" t="s">
        <v>74</v>
      </c>
      <c r="D39" s="6"/>
      <c r="E39" s="129">
        <v>104</v>
      </c>
      <c r="F39" s="6" t="s">
        <v>15</v>
      </c>
      <c r="G39" s="110"/>
      <c r="H39" s="109"/>
      <c r="I39" s="11">
        <f t="shared" ref="I39:I40" si="20">G39*E39</f>
        <v>0</v>
      </c>
      <c r="J39" s="11">
        <f t="shared" ref="J39:J40" si="21">H39*E39</f>
        <v>0</v>
      </c>
      <c r="K39" s="6">
        <v>210192571</v>
      </c>
      <c r="L39" s="18" t="s">
        <v>139</v>
      </c>
      <c r="M39" s="12"/>
      <c r="N39" s="12"/>
      <c r="O39" s="14"/>
      <c r="P39" s="14"/>
      <c r="T39" s="11"/>
    </row>
    <row r="40" spans="1:20" s="7" customFormat="1" x14ac:dyDescent="0.2">
      <c r="A40" s="6" t="s">
        <v>72</v>
      </c>
      <c r="B40" s="6" t="s">
        <v>1093</v>
      </c>
      <c r="C40" s="18" t="s">
        <v>173</v>
      </c>
      <c r="D40" s="6"/>
      <c r="E40" s="129">
        <v>3</v>
      </c>
      <c r="F40" s="6" t="s">
        <v>15</v>
      </c>
      <c r="G40" s="110"/>
      <c r="H40" s="109"/>
      <c r="I40" s="11">
        <f t="shared" si="20"/>
        <v>0</v>
      </c>
      <c r="J40" s="11">
        <f t="shared" si="21"/>
        <v>0</v>
      </c>
      <c r="K40" s="6">
        <v>210192572</v>
      </c>
      <c r="L40" s="18" t="s">
        <v>139</v>
      </c>
      <c r="M40" s="12"/>
      <c r="N40" s="12"/>
      <c r="O40" s="14"/>
      <c r="P40" s="14"/>
      <c r="T40" s="11"/>
    </row>
    <row r="41" spans="1:20" s="7" customFormat="1" x14ac:dyDescent="0.2">
      <c r="A41" s="6"/>
      <c r="B41" s="20"/>
      <c r="C41" s="6"/>
      <c r="D41" s="6"/>
      <c r="E41" s="129"/>
      <c r="F41" s="6"/>
      <c r="G41" s="8"/>
      <c r="H41" s="8"/>
      <c r="I41" s="8"/>
      <c r="J41" s="8"/>
      <c r="L41" s="29"/>
      <c r="N41" s="14"/>
      <c r="O41" s="14"/>
    </row>
    <row r="42" spans="1:20" s="7" customFormat="1" x14ac:dyDescent="0.2">
      <c r="A42" s="6" t="s">
        <v>29</v>
      </c>
      <c r="B42" s="20"/>
      <c r="C42" s="6"/>
      <c r="D42" s="6"/>
      <c r="E42" s="129"/>
      <c r="F42" s="6"/>
      <c r="G42" s="8"/>
      <c r="I42" s="8">
        <f>SUM(I8:I41)</f>
        <v>0</v>
      </c>
      <c r="J42" s="8"/>
      <c r="L42" s="29"/>
      <c r="N42" s="14"/>
      <c r="O42" s="14"/>
    </row>
    <row r="43" spans="1:20" x14ac:dyDescent="0.2">
      <c r="A43" s="6" t="s">
        <v>75</v>
      </c>
      <c r="E43" s="127"/>
      <c r="I43" s="3"/>
      <c r="J43" s="3">
        <f>SUM(J8:J42)</f>
        <v>0</v>
      </c>
    </row>
    <row r="44" spans="1:20" x14ac:dyDescent="0.2">
      <c r="A44" s="6"/>
      <c r="I44" s="3"/>
      <c r="J44" s="3"/>
    </row>
    <row r="45" spans="1:20" x14ac:dyDescent="0.2">
      <c r="A45" s="35" t="s">
        <v>76</v>
      </c>
      <c r="B45" s="36"/>
      <c r="C45" s="36"/>
      <c r="D45" s="36"/>
      <c r="E45" s="36"/>
      <c r="F45" s="36"/>
      <c r="G45" s="36"/>
      <c r="I45" s="37"/>
      <c r="J45" s="5">
        <f>J43+I42</f>
        <v>0</v>
      </c>
    </row>
  </sheetData>
  <pageMargins left="0.62992125984251968" right="0.62992125984251968" top="0.55118110236220474" bottom="0.55118110236220474" header="0.31496062992125984" footer="0.31496062992125984"/>
  <pageSetup paperSize="9" orientation="landscape" horizontalDpi="300" verticalDpi="300" r:id="rId1"/>
  <headerFooter>
    <oddHeader>&amp;L&amp;"Arial,Obyčejné"KRYTÝ BAZÉN ZNOJMO - LOUKA SO 101&amp;R&amp;"Arial,Obyčejné"DPS</oddHeader>
    <oddFooter>Stránka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P22"/>
  <sheetViews>
    <sheetView workbookViewId="0">
      <selection activeCell="S244" sqref="S244"/>
    </sheetView>
  </sheetViews>
  <sheetFormatPr defaultRowHeight="12.75" x14ac:dyDescent="0.2"/>
  <cols>
    <col min="1" max="1" width="26.83203125" customWidth="1"/>
    <col min="2" max="3" width="13.83203125" customWidth="1"/>
    <col min="4" max="4" width="5.83203125" customWidth="1"/>
    <col min="5" max="5" width="7.83203125" customWidth="1"/>
    <col min="6" max="6" width="3.83203125" customWidth="1"/>
    <col min="7" max="8" width="10.83203125" customWidth="1"/>
    <col min="9" max="9" width="11.83203125" customWidth="1"/>
    <col min="10" max="10" width="11.83203125" style="4" customWidth="1"/>
    <col min="11" max="11" width="11.83203125" customWidth="1"/>
    <col min="12" max="12" width="9.33203125" style="4"/>
  </cols>
  <sheetData>
    <row r="1" spans="1:16" ht="25.5" x14ac:dyDescent="0.35">
      <c r="B1" s="2" t="s">
        <v>174</v>
      </c>
    </row>
    <row r="2" spans="1:16" x14ac:dyDescent="0.2">
      <c r="A2" t="s">
        <v>59</v>
      </c>
      <c r="C2" t="s">
        <v>175</v>
      </c>
      <c r="E2">
        <v>1</v>
      </c>
      <c r="F2" t="s">
        <v>15</v>
      </c>
    </row>
    <row r="4" spans="1:16" x14ac:dyDescent="0.2">
      <c r="A4" t="s">
        <v>60</v>
      </c>
      <c r="C4" t="s">
        <v>177</v>
      </c>
    </row>
    <row r="5" spans="1:16" x14ac:dyDescent="0.2">
      <c r="H5" s="3"/>
    </row>
    <row r="6" spans="1:16" s="7" customFormat="1" x14ac:dyDescent="0.2">
      <c r="A6" s="6" t="s">
        <v>34</v>
      </c>
      <c r="E6" s="20" t="s">
        <v>35</v>
      </c>
      <c r="F6" s="6" t="s">
        <v>13</v>
      </c>
      <c r="G6" s="11" t="s">
        <v>30</v>
      </c>
      <c r="H6" s="11" t="s">
        <v>31</v>
      </c>
      <c r="I6" s="11" t="s">
        <v>32</v>
      </c>
      <c r="J6" s="11" t="s">
        <v>33</v>
      </c>
      <c r="K6" s="6" t="s">
        <v>61</v>
      </c>
      <c r="L6" s="18" t="s">
        <v>269</v>
      </c>
    </row>
    <row r="8" spans="1:16" s="7" customFormat="1" x14ac:dyDescent="0.2">
      <c r="A8" s="6" t="s">
        <v>90</v>
      </c>
      <c r="B8" s="6" t="s">
        <v>1075</v>
      </c>
      <c r="D8" s="6"/>
      <c r="E8" s="40">
        <v>3</v>
      </c>
      <c r="F8" s="6" t="s">
        <v>15</v>
      </c>
      <c r="G8" s="109"/>
      <c r="H8" s="109"/>
      <c r="I8" s="11">
        <f>G8*E8</f>
        <v>0</v>
      </c>
      <c r="J8" s="8">
        <f>H8*E8</f>
        <v>0</v>
      </c>
      <c r="K8" s="6" t="s">
        <v>40</v>
      </c>
      <c r="L8" s="18" t="s">
        <v>91</v>
      </c>
      <c r="M8" s="12"/>
      <c r="N8" s="12"/>
      <c r="O8" s="14"/>
      <c r="P8" s="14"/>
    </row>
    <row r="9" spans="1:16" s="7" customFormat="1" x14ac:dyDescent="0.2">
      <c r="A9" s="6" t="s">
        <v>143</v>
      </c>
      <c r="B9" s="7" t="s">
        <v>144</v>
      </c>
      <c r="C9" s="6" t="s">
        <v>179</v>
      </c>
      <c r="D9" s="6"/>
      <c r="E9" s="40">
        <v>1</v>
      </c>
      <c r="F9" s="6" t="s">
        <v>15</v>
      </c>
      <c r="G9" s="109"/>
      <c r="H9" s="109"/>
      <c r="I9" s="11">
        <f t="shared" ref="I9:I12" si="0">G9*E9</f>
        <v>0</v>
      </c>
      <c r="J9" s="8">
        <f t="shared" ref="J9:J12" si="1">H9*E9</f>
        <v>0</v>
      </c>
      <c r="K9" s="6"/>
      <c r="L9" s="18" t="s">
        <v>180</v>
      </c>
      <c r="M9" s="12"/>
      <c r="N9" s="12"/>
      <c r="O9" s="14"/>
      <c r="P9" s="14"/>
    </row>
    <row r="10" spans="1:16" s="7" customFormat="1" x14ac:dyDescent="0.2">
      <c r="A10" s="6" t="s">
        <v>21</v>
      </c>
      <c r="B10" s="6" t="s">
        <v>22</v>
      </c>
      <c r="C10" s="6" t="s">
        <v>64</v>
      </c>
      <c r="D10" s="6"/>
      <c r="E10" s="13">
        <v>1</v>
      </c>
      <c r="F10" s="6" t="s">
        <v>15</v>
      </c>
      <c r="G10" s="109"/>
      <c r="H10" s="109"/>
      <c r="I10" s="11">
        <f t="shared" si="0"/>
        <v>0</v>
      </c>
      <c r="J10" s="8">
        <f t="shared" si="1"/>
        <v>0</v>
      </c>
      <c r="K10" s="6" t="s">
        <v>39</v>
      </c>
      <c r="L10" s="18" t="s">
        <v>95</v>
      </c>
      <c r="M10" s="12"/>
      <c r="N10" s="12"/>
      <c r="O10" s="14"/>
      <c r="P10" s="14"/>
    </row>
    <row r="11" spans="1:16" s="7" customFormat="1" x14ac:dyDescent="0.2">
      <c r="A11" s="6" t="s">
        <v>21</v>
      </c>
      <c r="B11" s="6" t="s">
        <v>22</v>
      </c>
      <c r="C11" s="6" t="s">
        <v>43</v>
      </c>
      <c r="D11" s="6"/>
      <c r="E11" s="13">
        <v>4</v>
      </c>
      <c r="F11" s="6" t="s">
        <v>15</v>
      </c>
      <c r="G11" s="109"/>
      <c r="H11" s="109"/>
      <c r="I11" s="11">
        <f t="shared" si="0"/>
        <v>0</v>
      </c>
      <c r="J11" s="8">
        <f t="shared" si="1"/>
        <v>0</v>
      </c>
      <c r="K11" s="6" t="s">
        <v>39</v>
      </c>
      <c r="L11" s="18" t="s">
        <v>95</v>
      </c>
      <c r="M11" s="12"/>
      <c r="N11" s="12"/>
      <c r="O11" s="14"/>
      <c r="P11" s="14"/>
    </row>
    <row r="12" spans="1:16" s="7" customFormat="1" x14ac:dyDescent="0.2">
      <c r="A12" s="6" t="s">
        <v>21</v>
      </c>
      <c r="B12" s="6" t="s">
        <v>98</v>
      </c>
      <c r="C12" s="6" t="s">
        <v>65</v>
      </c>
      <c r="D12" s="6"/>
      <c r="E12" s="13">
        <v>18</v>
      </c>
      <c r="F12" s="6" t="s">
        <v>15</v>
      </c>
      <c r="G12" s="109"/>
      <c r="H12" s="109"/>
      <c r="I12" s="11">
        <f t="shared" si="0"/>
        <v>0</v>
      </c>
      <c r="J12" s="8">
        <f t="shared" si="1"/>
        <v>0</v>
      </c>
      <c r="K12" s="6" t="s">
        <v>39</v>
      </c>
      <c r="L12" s="18" t="s">
        <v>95</v>
      </c>
      <c r="M12" s="12"/>
      <c r="N12" s="12"/>
      <c r="O12" s="14"/>
      <c r="P12" s="14"/>
    </row>
    <row r="13" spans="1:16" s="7" customFormat="1" x14ac:dyDescent="0.2">
      <c r="A13" s="6" t="s">
        <v>1095</v>
      </c>
      <c r="B13" s="6" t="s">
        <v>24</v>
      </c>
      <c r="C13" s="6" t="s">
        <v>146</v>
      </c>
      <c r="D13" s="6"/>
      <c r="E13" s="13">
        <v>1</v>
      </c>
      <c r="F13" s="6" t="s">
        <v>15</v>
      </c>
      <c r="G13" s="117"/>
      <c r="H13" s="109"/>
      <c r="I13" s="11">
        <f t="shared" ref="I13:I17" si="2">G13*E13</f>
        <v>0</v>
      </c>
      <c r="J13" s="8">
        <f t="shared" ref="J13:J17" si="3">H13*E13</f>
        <v>0</v>
      </c>
      <c r="K13" s="6" t="s">
        <v>147</v>
      </c>
      <c r="L13" s="18" t="s">
        <v>148</v>
      </c>
      <c r="M13" s="12"/>
      <c r="N13" s="12"/>
      <c r="O13" s="14"/>
      <c r="P13" s="14"/>
    </row>
    <row r="14" spans="1:16" s="7" customFormat="1" x14ac:dyDescent="0.2">
      <c r="A14" s="6" t="s">
        <v>149</v>
      </c>
      <c r="B14" s="6" t="s">
        <v>150</v>
      </c>
      <c r="D14" s="6"/>
      <c r="E14" s="13">
        <v>1</v>
      </c>
      <c r="F14" s="6" t="s">
        <v>15</v>
      </c>
      <c r="G14" s="109"/>
      <c r="H14" s="109"/>
      <c r="I14" s="11">
        <f t="shared" si="2"/>
        <v>0</v>
      </c>
      <c r="J14" s="8">
        <f t="shared" si="3"/>
        <v>0</v>
      </c>
      <c r="L14" s="28"/>
      <c r="M14" s="12"/>
      <c r="O14" s="14"/>
      <c r="P14" s="14"/>
    </row>
    <row r="15" spans="1:16" s="7" customFormat="1" x14ac:dyDescent="0.2">
      <c r="A15" s="6" t="s">
        <v>151</v>
      </c>
      <c r="B15" s="6" t="s">
        <v>152</v>
      </c>
      <c r="D15" s="6"/>
      <c r="E15" s="13">
        <v>3</v>
      </c>
      <c r="F15" s="6" t="s">
        <v>15</v>
      </c>
      <c r="G15" s="109"/>
      <c r="H15" s="109"/>
      <c r="I15" s="11">
        <f t="shared" si="2"/>
        <v>0</v>
      </c>
      <c r="J15" s="8">
        <f t="shared" si="3"/>
        <v>0</v>
      </c>
      <c r="L15" s="28"/>
      <c r="M15" s="12"/>
      <c r="O15" s="14"/>
      <c r="P15" s="14"/>
    </row>
    <row r="16" spans="1:16" s="7" customFormat="1" x14ac:dyDescent="0.2">
      <c r="A16" s="32" t="s">
        <v>67</v>
      </c>
      <c r="B16" s="33" t="s">
        <v>1097</v>
      </c>
      <c r="C16" s="32" t="s">
        <v>1098</v>
      </c>
      <c r="D16" s="32"/>
      <c r="E16" s="34">
        <v>1</v>
      </c>
      <c r="F16" s="6" t="s">
        <v>15</v>
      </c>
      <c r="G16" s="116"/>
      <c r="H16" s="109"/>
      <c r="I16" s="11">
        <f t="shared" si="2"/>
        <v>0</v>
      </c>
      <c r="J16" s="8">
        <f t="shared" si="3"/>
        <v>0</v>
      </c>
      <c r="K16" s="6" t="s">
        <v>40</v>
      </c>
      <c r="L16" s="18" t="s">
        <v>153</v>
      </c>
      <c r="M16" s="38"/>
      <c r="N16" s="12"/>
      <c r="O16" s="14"/>
      <c r="P16" s="14"/>
    </row>
    <row r="17" spans="1:16" s="7" customFormat="1" x14ac:dyDescent="0.2">
      <c r="A17" s="6" t="s">
        <v>68</v>
      </c>
      <c r="B17" s="6" t="s">
        <v>1090</v>
      </c>
      <c r="C17" s="6" t="s">
        <v>154</v>
      </c>
      <c r="D17" s="6"/>
      <c r="E17" s="13">
        <v>1</v>
      </c>
      <c r="F17" s="6" t="s">
        <v>15</v>
      </c>
      <c r="G17" s="109"/>
      <c r="H17" s="109"/>
      <c r="I17" s="11">
        <f t="shared" si="2"/>
        <v>0</v>
      </c>
      <c r="J17" s="8">
        <f t="shared" si="3"/>
        <v>0</v>
      </c>
      <c r="K17" s="6" t="s">
        <v>40</v>
      </c>
      <c r="L17" s="18" t="s">
        <v>131</v>
      </c>
      <c r="M17" s="12"/>
      <c r="N17" s="12"/>
      <c r="O17" s="14"/>
      <c r="P17" s="14"/>
    </row>
    <row r="18" spans="1:16" s="7" customFormat="1" x14ac:dyDescent="0.2">
      <c r="A18" s="6"/>
      <c r="B18" s="20"/>
      <c r="C18" s="6"/>
      <c r="D18" s="6"/>
      <c r="E18" s="13"/>
      <c r="F18" s="6"/>
      <c r="G18" s="8"/>
      <c r="H18" s="8"/>
      <c r="I18" s="8"/>
      <c r="J18" s="8"/>
      <c r="L18" s="29"/>
      <c r="N18" s="14"/>
      <c r="O18" s="14"/>
    </row>
    <row r="19" spans="1:16" s="7" customFormat="1" x14ac:dyDescent="0.2">
      <c r="A19" s="6" t="s">
        <v>29</v>
      </c>
      <c r="B19" s="20"/>
      <c r="C19" s="6"/>
      <c r="D19" s="6"/>
      <c r="E19" s="13"/>
      <c r="F19" s="6"/>
      <c r="G19" s="8"/>
      <c r="I19" s="8">
        <f>SUM(I8:I18)</f>
        <v>0</v>
      </c>
      <c r="J19" s="8"/>
      <c r="L19" s="29"/>
      <c r="N19" s="14"/>
      <c r="O19" s="14"/>
    </row>
    <row r="20" spans="1:16" x14ac:dyDescent="0.2">
      <c r="A20" s="6" t="s">
        <v>75</v>
      </c>
      <c r="I20" s="3"/>
      <c r="J20" s="3">
        <f>SUM(J8:J19)</f>
        <v>0</v>
      </c>
    </row>
    <row r="21" spans="1:16" x14ac:dyDescent="0.2">
      <c r="A21" s="6"/>
      <c r="I21" s="3"/>
      <c r="J21" s="3"/>
    </row>
    <row r="22" spans="1:16" x14ac:dyDescent="0.2">
      <c r="A22" s="35" t="s">
        <v>76</v>
      </c>
      <c r="B22" s="36"/>
      <c r="C22" s="36"/>
      <c r="D22" s="36"/>
      <c r="E22" s="36"/>
      <c r="F22" s="36"/>
      <c r="G22" s="36"/>
      <c r="I22" s="37"/>
      <c r="J22" s="5">
        <f>J20+I19</f>
        <v>0</v>
      </c>
    </row>
  </sheetData>
  <pageMargins left="0.62992125984251968" right="0.62992125984251968" top="0.55118110236220474" bottom="0.55118110236220474" header="0.31496062992125984" footer="0.31496062992125984"/>
  <pageSetup paperSize="9" orientation="landscape" horizontalDpi="300" verticalDpi="300" r:id="rId1"/>
  <headerFooter>
    <oddHeader>&amp;L&amp;"Arial,Obyčejné"KRYTÝ BAZÉN ZNOJMO - LOUKA SO 101&amp;R&amp;"Arial,Obyčejné"DPS</oddHeader>
    <oddFooter>Stránka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dimension ref="A1:P23"/>
  <sheetViews>
    <sheetView workbookViewId="0">
      <selection activeCell="S244" sqref="S244"/>
    </sheetView>
  </sheetViews>
  <sheetFormatPr defaultRowHeight="12.75" x14ac:dyDescent="0.2"/>
  <cols>
    <col min="1" max="1" width="26.83203125" customWidth="1"/>
    <col min="2" max="3" width="13.83203125" customWidth="1"/>
    <col min="4" max="4" width="5.83203125" customWidth="1"/>
    <col min="5" max="5" width="7.83203125" customWidth="1"/>
    <col min="6" max="6" width="3.83203125" customWidth="1"/>
    <col min="7" max="8" width="10.83203125" customWidth="1"/>
    <col min="9" max="9" width="11.83203125" customWidth="1"/>
    <col min="10" max="10" width="11.83203125" style="4" customWidth="1"/>
    <col min="11" max="11" width="11.83203125" customWidth="1"/>
    <col min="12" max="12" width="9.33203125" style="4"/>
  </cols>
  <sheetData>
    <row r="1" spans="1:16" ht="25.5" x14ac:dyDescent="0.35">
      <c r="B1" s="2" t="s">
        <v>181</v>
      </c>
    </row>
    <row r="2" spans="1:16" x14ac:dyDescent="0.2">
      <c r="A2" t="s">
        <v>59</v>
      </c>
      <c r="C2" t="s">
        <v>182</v>
      </c>
      <c r="E2">
        <v>1</v>
      </c>
      <c r="F2" t="s">
        <v>15</v>
      </c>
    </row>
    <row r="4" spans="1:16" x14ac:dyDescent="0.2">
      <c r="A4" t="s">
        <v>60</v>
      </c>
      <c r="C4" t="s">
        <v>183</v>
      </c>
    </row>
    <row r="5" spans="1:16" x14ac:dyDescent="0.2">
      <c r="H5" s="3"/>
    </row>
    <row r="6" spans="1:16" s="7" customFormat="1" x14ac:dyDescent="0.2">
      <c r="A6" s="6" t="s">
        <v>34</v>
      </c>
      <c r="E6" s="20" t="s">
        <v>35</v>
      </c>
      <c r="F6" s="6" t="s">
        <v>13</v>
      </c>
      <c r="G6" s="11" t="s">
        <v>30</v>
      </c>
      <c r="H6" s="11" t="s">
        <v>31</v>
      </c>
      <c r="I6" s="11" t="s">
        <v>32</v>
      </c>
      <c r="J6" s="11" t="s">
        <v>33</v>
      </c>
      <c r="K6" s="6" t="s">
        <v>61</v>
      </c>
      <c r="L6" s="18" t="s">
        <v>269</v>
      </c>
    </row>
    <row r="8" spans="1:16" s="7" customFormat="1" x14ac:dyDescent="0.2">
      <c r="A8" s="6" t="s">
        <v>90</v>
      </c>
      <c r="B8" s="6" t="s">
        <v>1075</v>
      </c>
      <c r="D8" s="6"/>
      <c r="E8" s="40">
        <v>1</v>
      </c>
      <c r="F8" s="6" t="s">
        <v>15</v>
      </c>
      <c r="G8" s="109"/>
      <c r="H8" s="109"/>
      <c r="I8" s="11">
        <f>G8*E8</f>
        <v>0</v>
      </c>
      <c r="J8" s="8">
        <f>H8*E8</f>
        <v>0</v>
      </c>
      <c r="K8" s="6" t="s">
        <v>40</v>
      </c>
      <c r="L8" s="18" t="s">
        <v>91</v>
      </c>
      <c r="M8" s="12"/>
      <c r="N8" s="12"/>
      <c r="O8" s="14"/>
      <c r="P8" s="14"/>
    </row>
    <row r="9" spans="1:16" s="7" customFormat="1" x14ac:dyDescent="0.2">
      <c r="A9" s="6" t="s">
        <v>143</v>
      </c>
      <c r="B9" s="7" t="s">
        <v>144</v>
      </c>
      <c r="C9" s="6" t="s">
        <v>179</v>
      </c>
      <c r="D9" s="6"/>
      <c r="E9" s="40">
        <v>1</v>
      </c>
      <c r="F9" s="6" t="s">
        <v>15</v>
      </c>
      <c r="G9" s="109"/>
      <c r="H9" s="109"/>
      <c r="I9" s="11">
        <f t="shared" ref="I9:I18" si="0">G9*E9</f>
        <v>0</v>
      </c>
      <c r="J9" s="8">
        <f t="shared" ref="J9:J18" si="1">H9*E9</f>
        <v>0</v>
      </c>
      <c r="K9" s="6"/>
      <c r="L9" s="18" t="s">
        <v>180</v>
      </c>
      <c r="M9" s="12"/>
      <c r="N9" s="12"/>
      <c r="O9" s="14"/>
      <c r="P9" s="14"/>
    </row>
    <row r="10" spans="1:16" s="7" customFormat="1" x14ac:dyDescent="0.2">
      <c r="A10" s="6" t="s">
        <v>21</v>
      </c>
      <c r="B10" s="6" t="s">
        <v>22</v>
      </c>
      <c r="C10" s="6" t="s">
        <v>64</v>
      </c>
      <c r="D10" s="6"/>
      <c r="E10" s="13">
        <v>1</v>
      </c>
      <c r="F10" s="6" t="s">
        <v>15</v>
      </c>
      <c r="G10" s="109"/>
      <c r="H10" s="109"/>
      <c r="I10" s="11">
        <f t="shared" si="0"/>
        <v>0</v>
      </c>
      <c r="J10" s="8">
        <f t="shared" si="1"/>
        <v>0</v>
      </c>
      <c r="K10" s="6" t="s">
        <v>39</v>
      </c>
      <c r="L10" s="18" t="s">
        <v>95</v>
      </c>
      <c r="M10" s="12"/>
      <c r="N10" s="12"/>
      <c r="O10" s="14"/>
      <c r="P10" s="14"/>
    </row>
    <row r="11" spans="1:16" s="7" customFormat="1" x14ac:dyDescent="0.2">
      <c r="A11" s="6" t="s">
        <v>21</v>
      </c>
      <c r="B11" s="6" t="s">
        <v>22</v>
      </c>
      <c r="C11" s="6" t="s">
        <v>43</v>
      </c>
      <c r="D11" s="6"/>
      <c r="E11" s="13">
        <v>2</v>
      </c>
      <c r="F11" s="6" t="s">
        <v>15</v>
      </c>
      <c r="G11" s="109"/>
      <c r="H11" s="109"/>
      <c r="I11" s="11">
        <f t="shared" si="0"/>
        <v>0</v>
      </c>
      <c r="J11" s="8">
        <f t="shared" si="1"/>
        <v>0</v>
      </c>
      <c r="K11" s="6" t="s">
        <v>39</v>
      </c>
      <c r="L11" s="18" t="s">
        <v>95</v>
      </c>
      <c r="M11" s="12"/>
      <c r="N11" s="12"/>
      <c r="O11" s="14"/>
      <c r="P11" s="14"/>
    </row>
    <row r="12" spans="1:16" s="7" customFormat="1" x14ac:dyDescent="0.2">
      <c r="A12" s="6" t="s">
        <v>21</v>
      </c>
      <c r="B12" s="6" t="s">
        <v>98</v>
      </c>
      <c r="C12" s="6" t="s">
        <v>65</v>
      </c>
      <c r="D12" s="6"/>
      <c r="E12" s="13">
        <v>6</v>
      </c>
      <c r="F12" s="6" t="s">
        <v>15</v>
      </c>
      <c r="G12" s="109"/>
      <c r="H12" s="109"/>
      <c r="I12" s="11">
        <f t="shared" si="0"/>
        <v>0</v>
      </c>
      <c r="J12" s="8">
        <f t="shared" si="1"/>
        <v>0</v>
      </c>
      <c r="K12" s="6" t="s">
        <v>39</v>
      </c>
      <c r="L12" s="18" t="s">
        <v>95</v>
      </c>
      <c r="M12" s="12"/>
      <c r="N12" s="12"/>
      <c r="O12" s="14"/>
      <c r="P12" s="14"/>
    </row>
    <row r="13" spans="1:16" s="7" customFormat="1" x14ac:dyDescent="0.2">
      <c r="A13" s="6" t="s">
        <v>1095</v>
      </c>
      <c r="B13" s="6" t="s">
        <v>24</v>
      </c>
      <c r="C13" s="6" t="s">
        <v>184</v>
      </c>
      <c r="D13" s="6"/>
      <c r="E13" s="13">
        <v>1</v>
      </c>
      <c r="F13" s="6" t="s">
        <v>15</v>
      </c>
      <c r="G13" s="117"/>
      <c r="H13" s="109"/>
      <c r="I13" s="11">
        <f t="shared" si="0"/>
        <v>0</v>
      </c>
      <c r="J13" s="8">
        <f t="shared" si="1"/>
        <v>0</v>
      </c>
      <c r="K13" s="6" t="s">
        <v>147</v>
      </c>
      <c r="L13" s="18" t="s">
        <v>148</v>
      </c>
      <c r="M13" s="12"/>
      <c r="N13" s="12"/>
      <c r="O13" s="14"/>
      <c r="P13" s="14"/>
    </row>
    <row r="14" spans="1:16" s="7" customFormat="1" x14ac:dyDescent="0.2">
      <c r="A14" s="6" t="s">
        <v>1096</v>
      </c>
      <c r="B14" s="6" t="s">
        <v>24</v>
      </c>
      <c r="D14" s="6"/>
      <c r="E14" s="13">
        <v>1</v>
      </c>
      <c r="F14" s="6" t="s">
        <v>15</v>
      </c>
      <c r="G14" s="117"/>
      <c r="H14" s="110"/>
      <c r="I14" s="11">
        <f t="shared" si="0"/>
        <v>0</v>
      </c>
      <c r="J14" s="8">
        <f t="shared" si="1"/>
        <v>0</v>
      </c>
      <c r="L14" s="18" t="s">
        <v>148</v>
      </c>
      <c r="M14" s="12"/>
      <c r="O14" s="14"/>
      <c r="P14" s="14"/>
    </row>
    <row r="15" spans="1:16" s="7" customFormat="1" x14ac:dyDescent="0.2">
      <c r="A15" s="6" t="s">
        <v>149</v>
      </c>
      <c r="B15" s="6" t="s">
        <v>150</v>
      </c>
      <c r="D15" s="6"/>
      <c r="E15" s="13">
        <v>1</v>
      </c>
      <c r="F15" s="6" t="s">
        <v>15</v>
      </c>
      <c r="G15" s="109"/>
      <c r="H15" s="109"/>
      <c r="I15" s="11">
        <f t="shared" si="0"/>
        <v>0</v>
      </c>
      <c r="J15" s="8">
        <f t="shared" si="1"/>
        <v>0</v>
      </c>
      <c r="L15" s="28"/>
      <c r="M15" s="12"/>
      <c r="O15" s="14"/>
      <c r="P15" s="14"/>
    </row>
    <row r="16" spans="1:16" s="7" customFormat="1" x14ac:dyDescent="0.2">
      <c r="A16" s="6" t="s">
        <v>151</v>
      </c>
      <c r="B16" s="6" t="s">
        <v>152</v>
      </c>
      <c r="D16" s="6"/>
      <c r="E16" s="13">
        <v>1</v>
      </c>
      <c r="F16" s="6" t="s">
        <v>15</v>
      </c>
      <c r="G16" s="109"/>
      <c r="H16" s="109"/>
      <c r="I16" s="11">
        <f t="shared" si="0"/>
        <v>0</v>
      </c>
      <c r="J16" s="8">
        <f t="shared" si="1"/>
        <v>0</v>
      </c>
      <c r="L16" s="28"/>
      <c r="M16" s="12"/>
      <c r="O16" s="14"/>
      <c r="P16" s="14"/>
    </row>
    <row r="17" spans="1:16" s="7" customFormat="1" x14ac:dyDescent="0.2">
      <c r="A17" s="32" t="s">
        <v>67</v>
      </c>
      <c r="B17" s="33" t="s">
        <v>1097</v>
      </c>
      <c r="C17" s="32" t="s">
        <v>1098</v>
      </c>
      <c r="D17" s="32"/>
      <c r="E17" s="34">
        <v>1</v>
      </c>
      <c r="F17" s="6" t="s">
        <v>15</v>
      </c>
      <c r="G17" s="116"/>
      <c r="H17" s="109"/>
      <c r="I17" s="11">
        <f t="shared" si="0"/>
        <v>0</v>
      </c>
      <c r="J17" s="8">
        <f t="shared" si="1"/>
        <v>0</v>
      </c>
      <c r="K17" s="6" t="s">
        <v>40</v>
      </c>
      <c r="L17" s="18" t="s">
        <v>153</v>
      </c>
      <c r="M17" s="38"/>
      <c r="N17" s="12"/>
      <c r="O17" s="14"/>
      <c r="P17" s="14"/>
    </row>
    <row r="18" spans="1:16" s="7" customFormat="1" x14ac:dyDescent="0.2">
      <c r="A18" s="6" t="s">
        <v>68</v>
      </c>
      <c r="B18" s="6" t="s">
        <v>1090</v>
      </c>
      <c r="C18" s="6" t="s">
        <v>185</v>
      </c>
      <c r="D18" s="6"/>
      <c r="E18" s="13">
        <v>1</v>
      </c>
      <c r="F18" s="6" t="s">
        <v>15</v>
      </c>
      <c r="G18" s="109"/>
      <c r="H18" s="109"/>
      <c r="I18" s="11">
        <f t="shared" si="0"/>
        <v>0</v>
      </c>
      <c r="J18" s="8">
        <f t="shared" si="1"/>
        <v>0</v>
      </c>
      <c r="K18" s="6" t="s">
        <v>40</v>
      </c>
      <c r="L18" s="18" t="s">
        <v>131</v>
      </c>
      <c r="M18" s="12"/>
      <c r="N18" s="12"/>
      <c r="O18" s="14"/>
      <c r="P18" s="14"/>
    </row>
    <row r="19" spans="1:16" s="7" customFormat="1" x14ac:dyDescent="0.2">
      <c r="A19" s="6"/>
      <c r="B19" s="20"/>
      <c r="C19" s="6"/>
      <c r="D19" s="6"/>
      <c r="E19" s="13"/>
      <c r="F19" s="6"/>
      <c r="G19" s="8"/>
      <c r="H19" s="8"/>
      <c r="I19" s="8"/>
      <c r="J19" s="8"/>
      <c r="L19" s="29"/>
      <c r="N19" s="14"/>
      <c r="O19" s="14"/>
    </row>
    <row r="20" spans="1:16" s="7" customFormat="1" x14ac:dyDescent="0.2">
      <c r="A20" s="6" t="s">
        <v>29</v>
      </c>
      <c r="B20" s="20"/>
      <c r="C20" s="6"/>
      <c r="D20" s="6"/>
      <c r="E20" s="13"/>
      <c r="F20" s="6"/>
      <c r="G20" s="8"/>
      <c r="I20" s="8">
        <f>SUM(I8:I19)</f>
        <v>0</v>
      </c>
      <c r="J20" s="8"/>
      <c r="L20" s="29"/>
      <c r="N20" s="14"/>
      <c r="O20" s="14"/>
    </row>
    <row r="21" spans="1:16" x14ac:dyDescent="0.2">
      <c r="A21" s="6" t="s">
        <v>75</v>
      </c>
      <c r="I21" s="3"/>
      <c r="J21" s="3">
        <f>SUM(J8:J20)</f>
        <v>0</v>
      </c>
    </row>
    <row r="22" spans="1:16" x14ac:dyDescent="0.2">
      <c r="A22" s="6"/>
      <c r="I22" s="3"/>
      <c r="J22" s="3"/>
    </row>
    <row r="23" spans="1:16" x14ac:dyDescent="0.2">
      <c r="A23" s="35" t="s">
        <v>76</v>
      </c>
      <c r="B23" s="36"/>
      <c r="C23" s="36"/>
      <c r="D23" s="36"/>
      <c r="E23" s="36"/>
      <c r="F23" s="36"/>
      <c r="G23" s="36"/>
      <c r="I23" s="37"/>
      <c r="J23" s="5">
        <f>J21+I20</f>
        <v>0</v>
      </c>
    </row>
  </sheetData>
  <pageMargins left="0.62992125984251968" right="0.62992125984251968" top="0.55118110236220474" bottom="0.55118110236220474" header="0.31496062992125984" footer="0.31496062992125984"/>
  <pageSetup paperSize="9" orientation="landscape" horizontalDpi="300" verticalDpi="300" r:id="rId1"/>
  <headerFooter>
    <oddHeader>&amp;L&amp;"Arial,Obyčejné"KRYTÝ BAZÉN ZNOJMO - LOUKA SO 101&amp;R&amp;"Arial,Obyčejné"DPS</oddHeader>
    <oddFooter>Stránka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dimension ref="A1:T32"/>
  <sheetViews>
    <sheetView workbookViewId="0">
      <selection activeCell="S244" sqref="S244"/>
    </sheetView>
  </sheetViews>
  <sheetFormatPr defaultRowHeight="12.75" x14ac:dyDescent="0.2"/>
  <cols>
    <col min="1" max="1" width="26.83203125" customWidth="1"/>
    <col min="2" max="3" width="13.83203125" customWidth="1"/>
    <col min="4" max="4" width="5.83203125" customWidth="1"/>
    <col min="5" max="5" width="7.83203125" customWidth="1"/>
    <col min="6" max="6" width="3.83203125" customWidth="1"/>
    <col min="7" max="8" width="10.83203125" customWidth="1"/>
    <col min="9" max="9" width="11.83203125" customWidth="1"/>
    <col min="10" max="10" width="11.83203125" style="4" customWidth="1"/>
    <col min="11" max="11" width="11.83203125" customWidth="1"/>
    <col min="12" max="12" width="9.33203125" style="4"/>
  </cols>
  <sheetData>
    <row r="1" spans="1:16" ht="25.5" x14ac:dyDescent="0.35">
      <c r="B1" s="2" t="s">
        <v>186</v>
      </c>
    </row>
    <row r="2" spans="1:16" x14ac:dyDescent="0.2">
      <c r="A2" t="s">
        <v>59</v>
      </c>
      <c r="C2" t="s">
        <v>187</v>
      </c>
      <c r="E2">
        <v>1</v>
      </c>
      <c r="F2" t="s">
        <v>15</v>
      </c>
    </row>
    <row r="4" spans="1:16" x14ac:dyDescent="0.2">
      <c r="A4" t="s">
        <v>60</v>
      </c>
      <c r="C4" t="s">
        <v>188</v>
      </c>
    </row>
    <row r="5" spans="1:16" x14ac:dyDescent="0.2">
      <c r="H5" s="3"/>
    </row>
    <row r="6" spans="1:16" s="7" customFormat="1" x14ac:dyDescent="0.2">
      <c r="A6" s="6" t="s">
        <v>34</v>
      </c>
      <c r="E6" s="20" t="s">
        <v>35</v>
      </c>
      <c r="F6" s="6" t="s">
        <v>13</v>
      </c>
      <c r="G6" s="11" t="s">
        <v>30</v>
      </c>
      <c r="H6" s="11" t="s">
        <v>31</v>
      </c>
      <c r="I6" s="11" t="s">
        <v>32</v>
      </c>
      <c r="J6" s="11" t="s">
        <v>33</v>
      </c>
      <c r="K6" s="6" t="s">
        <v>61</v>
      </c>
      <c r="L6" s="18" t="s">
        <v>269</v>
      </c>
    </row>
    <row r="8" spans="1:16" s="7" customFormat="1" x14ac:dyDescent="0.2">
      <c r="A8" s="6" t="s">
        <v>90</v>
      </c>
      <c r="B8" s="6" t="s">
        <v>1075</v>
      </c>
      <c r="D8" s="6"/>
      <c r="E8" s="40">
        <v>2</v>
      </c>
      <c r="F8" s="6" t="s">
        <v>15</v>
      </c>
      <c r="G8" s="109"/>
      <c r="H8" s="109"/>
      <c r="I8" s="11">
        <f>G8*E8</f>
        <v>0</v>
      </c>
      <c r="J8" s="8">
        <f>H8*E8</f>
        <v>0</v>
      </c>
      <c r="K8" s="6" t="s">
        <v>40</v>
      </c>
      <c r="L8" s="18" t="s">
        <v>91</v>
      </c>
      <c r="M8" s="12"/>
      <c r="N8" s="12"/>
      <c r="O8" s="14"/>
      <c r="P8" s="14"/>
    </row>
    <row r="9" spans="1:16" s="7" customFormat="1" x14ac:dyDescent="0.2">
      <c r="A9" s="6" t="s">
        <v>92</v>
      </c>
      <c r="B9" s="6" t="s">
        <v>1100</v>
      </c>
      <c r="D9" s="6"/>
      <c r="E9" s="40">
        <v>2</v>
      </c>
      <c r="F9" s="6" t="s">
        <v>15</v>
      </c>
      <c r="G9" s="109"/>
      <c r="H9" s="109"/>
      <c r="I9" s="11">
        <f t="shared" ref="I9:I27" si="0">G9*E9</f>
        <v>0</v>
      </c>
      <c r="J9" s="8">
        <f t="shared" ref="J9:J27" si="1">H9*E9</f>
        <v>0</v>
      </c>
      <c r="K9" s="6" t="s">
        <v>39</v>
      </c>
      <c r="L9" s="18" t="s">
        <v>93</v>
      </c>
      <c r="M9" s="12"/>
      <c r="N9" s="12"/>
      <c r="O9" s="14"/>
      <c r="P9" s="14"/>
    </row>
    <row r="10" spans="1:16" s="7" customFormat="1" x14ac:dyDescent="0.2">
      <c r="A10" s="6" t="s">
        <v>92</v>
      </c>
      <c r="B10" s="6" t="s">
        <v>1076</v>
      </c>
      <c r="D10" s="6"/>
      <c r="E10" s="40">
        <v>20</v>
      </c>
      <c r="F10" s="6" t="s">
        <v>15</v>
      </c>
      <c r="G10" s="109"/>
      <c r="H10" s="109"/>
      <c r="I10" s="11">
        <f t="shared" si="0"/>
        <v>0</v>
      </c>
      <c r="J10" s="8">
        <f t="shared" si="1"/>
        <v>0</v>
      </c>
      <c r="K10" s="6" t="s">
        <v>39</v>
      </c>
      <c r="L10" s="18" t="s">
        <v>93</v>
      </c>
      <c r="M10" s="12"/>
      <c r="N10" s="12"/>
      <c r="O10" s="14"/>
      <c r="P10" s="14"/>
    </row>
    <row r="11" spans="1:16" s="7" customFormat="1" x14ac:dyDescent="0.2">
      <c r="A11" s="6" t="s">
        <v>92</v>
      </c>
      <c r="B11" s="6" t="s">
        <v>1077</v>
      </c>
      <c r="D11" s="6"/>
      <c r="E11" s="40">
        <v>1</v>
      </c>
      <c r="F11" s="6" t="s">
        <v>15</v>
      </c>
      <c r="G11" s="109"/>
      <c r="H11" s="109"/>
      <c r="I11" s="11">
        <f>G11*E11</f>
        <v>0</v>
      </c>
      <c r="J11" s="8">
        <f>H11*E11</f>
        <v>0</v>
      </c>
      <c r="K11" s="6" t="s">
        <v>39</v>
      </c>
      <c r="L11" s="18" t="s">
        <v>94</v>
      </c>
      <c r="M11" s="12"/>
      <c r="N11" s="12"/>
      <c r="O11" s="14"/>
      <c r="P11" s="14"/>
    </row>
    <row r="12" spans="1:16" s="7" customFormat="1" x14ac:dyDescent="0.2">
      <c r="A12" s="6" t="s">
        <v>143</v>
      </c>
      <c r="B12" s="7" t="s">
        <v>144</v>
      </c>
      <c r="C12" s="6" t="s">
        <v>145</v>
      </c>
      <c r="D12" s="6"/>
      <c r="E12" s="40">
        <v>1</v>
      </c>
      <c r="F12" s="6" t="s">
        <v>15</v>
      </c>
      <c r="G12" s="109"/>
      <c r="H12" s="109"/>
      <c r="I12" s="11">
        <f t="shared" si="0"/>
        <v>0</v>
      </c>
      <c r="J12" s="8">
        <f t="shared" si="1"/>
        <v>0</v>
      </c>
      <c r="K12" s="6"/>
      <c r="L12" s="18" t="s">
        <v>180</v>
      </c>
      <c r="M12" s="12"/>
      <c r="N12" s="12"/>
      <c r="O12" s="14"/>
      <c r="P12" s="14"/>
    </row>
    <row r="13" spans="1:16" s="7" customFormat="1" x14ac:dyDescent="0.2">
      <c r="A13" s="6" t="s">
        <v>159</v>
      </c>
      <c r="B13" s="7" t="s">
        <v>144</v>
      </c>
      <c r="C13" s="6" t="s">
        <v>160</v>
      </c>
      <c r="D13" s="6"/>
      <c r="E13" s="40">
        <v>3</v>
      </c>
      <c r="F13" s="6" t="s">
        <v>15</v>
      </c>
      <c r="G13" s="109"/>
      <c r="H13" s="109"/>
      <c r="I13" s="11">
        <f t="shared" si="0"/>
        <v>0</v>
      </c>
      <c r="J13" s="8">
        <f t="shared" si="1"/>
        <v>0</v>
      </c>
      <c r="K13" s="6"/>
      <c r="L13" s="18" t="s">
        <v>180</v>
      </c>
      <c r="M13" s="12"/>
      <c r="N13" s="12"/>
      <c r="O13" s="14"/>
      <c r="P13" s="14"/>
    </row>
    <row r="14" spans="1:16" s="7" customFormat="1" x14ac:dyDescent="0.2">
      <c r="A14" s="6" t="s">
        <v>21</v>
      </c>
      <c r="B14" s="6" t="s">
        <v>22</v>
      </c>
      <c r="C14" s="6" t="s">
        <v>164</v>
      </c>
      <c r="D14" s="6"/>
      <c r="E14" s="13">
        <v>1</v>
      </c>
      <c r="F14" s="6" t="s">
        <v>15</v>
      </c>
      <c r="G14" s="109"/>
      <c r="H14" s="109"/>
      <c r="I14" s="11">
        <f t="shared" si="0"/>
        <v>0</v>
      </c>
      <c r="J14" s="8">
        <f t="shared" si="1"/>
        <v>0</v>
      </c>
      <c r="K14" s="6" t="s">
        <v>39</v>
      </c>
      <c r="L14" s="18" t="s">
        <v>95</v>
      </c>
      <c r="M14" s="12"/>
      <c r="N14" s="12"/>
      <c r="O14" s="14"/>
      <c r="P14" s="14"/>
    </row>
    <row r="15" spans="1:16" s="7" customFormat="1" x14ac:dyDescent="0.2">
      <c r="A15" s="6" t="s">
        <v>21</v>
      </c>
      <c r="B15" s="6" t="s">
        <v>22</v>
      </c>
      <c r="C15" s="6" t="s">
        <v>64</v>
      </c>
      <c r="D15" s="6"/>
      <c r="E15" s="13">
        <v>4</v>
      </c>
      <c r="F15" s="6" t="s">
        <v>15</v>
      </c>
      <c r="G15" s="109"/>
      <c r="H15" s="109"/>
      <c r="I15" s="11">
        <f t="shared" si="0"/>
        <v>0</v>
      </c>
      <c r="J15" s="8">
        <f t="shared" si="1"/>
        <v>0</v>
      </c>
      <c r="K15" s="6" t="s">
        <v>39</v>
      </c>
      <c r="L15" s="18" t="s">
        <v>95</v>
      </c>
      <c r="M15" s="12"/>
      <c r="N15" s="12"/>
      <c r="O15" s="14"/>
      <c r="P15" s="14"/>
    </row>
    <row r="16" spans="1:16" s="7" customFormat="1" x14ac:dyDescent="0.2">
      <c r="A16" s="6" t="s">
        <v>21</v>
      </c>
      <c r="B16" s="6" t="s">
        <v>22</v>
      </c>
      <c r="C16" s="6" t="s">
        <v>189</v>
      </c>
      <c r="D16" s="6"/>
      <c r="E16" s="13">
        <v>1</v>
      </c>
      <c r="F16" s="6" t="s">
        <v>15</v>
      </c>
      <c r="G16" s="109"/>
      <c r="H16" s="109"/>
      <c r="I16" s="11">
        <f t="shared" si="0"/>
        <v>0</v>
      </c>
      <c r="J16" s="8">
        <f t="shared" si="1"/>
        <v>0</v>
      </c>
      <c r="K16" s="6" t="s">
        <v>39</v>
      </c>
      <c r="L16" s="18" t="s">
        <v>95</v>
      </c>
      <c r="M16" s="12"/>
      <c r="N16" s="12"/>
      <c r="O16" s="14"/>
      <c r="P16" s="14"/>
    </row>
    <row r="17" spans="1:20" s="7" customFormat="1" x14ac:dyDescent="0.2">
      <c r="A17" s="6" t="s">
        <v>21</v>
      </c>
      <c r="B17" s="6" t="s">
        <v>22</v>
      </c>
      <c r="C17" s="6" t="s">
        <v>43</v>
      </c>
      <c r="D17" s="6"/>
      <c r="E17" s="13">
        <v>6</v>
      </c>
      <c r="F17" s="6" t="s">
        <v>15</v>
      </c>
      <c r="G17" s="109"/>
      <c r="H17" s="109"/>
      <c r="I17" s="11">
        <f t="shared" si="0"/>
        <v>0</v>
      </c>
      <c r="J17" s="8">
        <f t="shared" si="1"/>
        <v>0</v>
      </c>
      <c r="K17" s="6" t="s">
        <v>39</v>
      </c>
      <c r="L17" s="18" t="s">
        <v>95</v>
      </c>
      <c r="M17" s="12"/>
      <c r="N17" s="12"/>
      <c r="O17" s="14"/>
      <c r="P17" s="14"/>
    </row>
    <row r="18" spans="1:20" s="7" customFormat="1" x14ac:dyDescent="0.2">
      <c r="A18" s="6" t="s">
        <v>21</v>
      </c>
      <c r="B18" s="6" t="s">
        <v>22</v>
      </c>
      <c r="C18" s="6" t="s">
        <v>65</v>
      </c>
      <c r="D18" s="6"/>
      <c r="E18" s="13">
        <v>1</v>
      </c>
      <c r="F18" s="6" t="s">
        <v>15</v>
      </c>
      <c r="G18" s="109"/>
      <c r="H18" s="109"/>
      <c r="I18" s="11">
        <f t="shared" si="0"/>
        <v>0</v>
      </c>
      <c r="J18" s="8">
        <f t="shared" si="1"/>
        <v>0</v>
      </c>
      <c r="K18" s="6" t="s">
        <v>39</v>
      </c>
      <c r="L18" s="18" t="s">
        <v>95</v>
      </c>
      <c r="M18" s="12"/>
      <c r="N18" s="12"/>
      <c r="O18" s="14"/>
      <c r="P18" s="14"/>
    </row>
    <row r="19" spans="1:20" s="7" customFormat="1" x14ac:dyDescent="0.2">
      <c r="A19" s="6" t="s">
        <v>21</v>
      </c>
      <c r="B19" s="6" t="s">
        <v>98</v>
      </c>
      <c r="C19" s="6" t="s">
        <v>65</v>
      </c>
      <c r="D19" s="6"/>
      <c r="E19" s="13">
        <v>9</v>
      </c>
      <c r="F19" s="6" t="s">
        <v>15</v>
      </c>
      <c r="G19" s="109"/>
      <c r="H19" s="109"/>
      <c r="I19" s="11">
        <f t="shared" si="0"/>
        <v>0</v>
      </c>
      <c r="J19" s="8">
        <f t="shared" si="1"/>
        <v>0</v>
      </c>
      <c r="K19" s="6" t="s">
        <v>39</v>
      </c>
      <c r="L19" s="18" t="s">
        <v>95</v>
      </c>
      <c r="M19" s="12"/>
      <c r="N19" s="12"/>
      <c r="O19" s="14"/>
      <c r="P19" s="14"/>
    </row>
    <row r="20" spans="1:20" s="7" customFormat="1" x14ac:dyDescent="0.2">
      <c r="A20" s="6" t="s">
        <v>166</v>
      </c>
      <c r="B20" s="6" t="s">
        <v>1079</v>
      </c>
      <c r="C20" s="7" t="s">
        <v>1090</v>
      </c>
      <c r="D20" s="6"/>
      <c r="E20" s="13">
        <v>9</v>
      </c>
      <c r="F20" s="6" t="s">
        <v>15</v>
      </c>
      <c r="G20" s="109"/>
      <c r="H20" s="109"/>
      <c r="I20" s="11">
        <f t="shared" si="0"/>
        <v>0</v>
      </c>
      <c r="J20" s="8">
        <f t="shared" si="1"/>
        <v>0</v>
      </c>
      <c r="K20" s="6" t="s">
        <v>39</v>
      </c>
      <c r="L20" s="18"/>
      <c r="M20" s="12"/>
      <c r="N20" s="12"/>
      <c r="O20" s="14"/>
      <c r="P20" s="14"/>
    </row>
    <row r="21" spans="1:20" s="46" customFormat="1" x14ac:dyDescent="0.2">
      <c r="A21" s="6" t="s">
        <v>140</v>
      </c>
      <c r="B21" s="6" t="s">
        <v>141</v>
      </c>
      <c r="C21" s="6" t="s">
        <v>1094</v>
      </c>
      <c r="D21" s="6"/>
      <c r="E21" s="22">
        <v>1</v>
      </c>
      <c r="F21" s="6" t="s">
        <v>15</v>
      </c>
      <c r="G21" s="109"/>
      <c r="H21" s="109"/>
      <c r="I21" s="11">
        <f t="shared" si="0"/>
        <v>0</v>
      </c>
      <c r="J21" s="11">
        <f t="shared" si="1"/>
        <v>0</v>
      </c>
      <c r="K21" s="6" t="s">
        <v>40</v>
      </c>
      <c r="L21" s="18"/>
      <c r="M21" s="45"/>
      <c r="N21" s="12"/>
      <c r="O21" s="9"/>
      <c r="P21" s="9"/>
      <c r="Q21" s="10"/>
      <c r="R21" s="10"/>
      <c r="S21" s="10"/>
      <c r="T21" s="11"/>
    </row>
    <row r="22" spans="1:20" s="7" customFormat="1" x14ac:dyDescent="0.2">
      <c r="A22" s="6" t="s">
        <v>1095</v>
      </c>
      <c r="B22" s="6" t="s">
        <v>24</v>
      </c>
      <c r="C22" s="6" t="s">
        <v>190</v>
      </c>
      <c r="D22" s="6"/>
      <c r="E22" s="13">
        <v>1</v>
      </c>
      <c r="F22" s="6" t="s">
        <v>15</v>
      </c>
      <c r="G22" s="117"/>
      <c r="H22" s="109"/>
      <c r="I22" s="11">
        <f t="shared" si="0"/>
        <v>0</v>
      </c>
      <c r="J22" s="8">
        <f t="shared" si="1"/>
        <v>0</v>
      </c>
      <c r="K22" s="6" t="s">
        <v>147</v>
      </c>
      <c r="L22" s="18" t="s">
        <v>148</v>
      </c>
      <c r="M22" s="12"/>
      <c r="N22" s="12"/>
      <c r="O22" s="14"/>
      <c r="P22" s="14"/>
    </row>
    <row r="23" spans="1:20" s="7" customFormat="1" x14ac:dyDescent="0.2">
      <c r="A23" s="6" t="s">
        <v>1096</v>
      </c>
      <c r="B23" s="6" t="s">
        <v>24</v>
      </c>
      <c r="D23" s="6"/>
      <c r="E23" s="13">
        <v>1</v>
      </c>
      <c r="F23" s="6" t="s">
        <v>15</v>
      </c>
      <c r="G23" s="117"/>
      <c r="H23" s="110"/>
      <c r="I23" s="11">
        <f t="shared" si="0"/>
        <v>0</v>
      </c>
      <c r="J23" s="8">
        <f t="shared" si="1"/>
        <v>0</v>
      </c>
      <c r="L23" s="18" t="s">
        <v>148</v>
      </c>
      <c r="M23" s="12"/>
      <c r="O23" s="14"/>
      <c r="P23" s="14"/>
    </row>
    <row r="24" spans="1:20" s="7" customFormat="1" x14ac:dyDescent="0.2">
      <c r="A24" s="6" t="s">
        <v>149</v>
      </c>
      <c r="B24" s="6" t="s">
        <v>150</v>
      </c>
      <c r="D24" s="6"/>
      <c r="E24" s="13">
        <v>2</v>
      </c>
      <c r="F24" s="6" t="s">
        <v>15</v>
      </c>
      <c r="G24" s="109"/>
      <c r="H24" s="109"/>
      <c r="I24" s="11">
        <f t="shared" si="0"/>
        <v>0</v>
      </c>
      <c r="J24" s="8">
        <f t="shared" si="1"/>
        <v>0</v>
      </c>
      <c r="L24" s="28"/>
      <c r="M24" s="12"/>
      <c r="O24" s="14"/>
      <c r="P24" s="14"/>
    </row>
    <row r="25" spans="1:20" s="7" customFormat="1" x14ac:dyDescent="0.2">
      <c r="A25" s="6" t="s">
        <v>151</v>
      </c>
      <c r="B25" s="6" t="s">
        <v>152</v>
      </c>
      <c r="D25" s="6"/>
      <c r="E25" s="13">
        <v>2</v>
      </c>
      <c r="F25" s="6" t="s">
        <v>15</v>
      </c>
      <c r="G25" s="109"/>
      <c r="H25" s="109"/>
      <c r="I25" s="11">
        <f t="shared" si="0"/>
        <v>0</v>
      </c>
      <c r="J25" s="8">
        <f t="shared" si="1"/>
        <v>0</v>
      </c>
      <c r="L25" s="28"/>
      <c r="M25" s="12"/>
      <c r="O25" s="14"/>
      <c r="P25" s="14"/>
    </row>
    <row r="26" spans="1:20" s="7" customFormat="1" x14ac:dyDescent="0.2">
      <c r="A26" s="32" t="s">
        <v>67</v>
      </c>
      <c r="B26" s="33" t="s">
        <v>1097</v>
      </c>
      <c r="C26" s="32" t="s">
        <v>1098</v>
      </c>
      <c r="D26" s="32"/>
      <c r="E26" s="34">
        <v>1</v>
      </c>
      <c r="F26" s="6" t="s">
        <v>15</v>
      </c>
      <c r="G26" s="116"/>
      <c r="H26" s="109"/>
      <c r="I26" s="11">
        <f t="shared" si="0"/>
        <v>0</v>
      </c>
      <c r="J26" s="8">
        <f t="shared" si="1"/>
        <v>0</v>
      </c>
      <c r="K26" s="6" t="s">
        <v>40</v>
      </c>
      <c r="L26" s="18" t="s">
        <v>153</v>
      </c>
      <c r="M26" s="38"/>
      <c r="N26" s="12"/>
      <c r="O26" s="14"/>
      <c r="P26" s="14"/>
    </row>
    <row r="27" spans="1:20" s="7" customFormat="1" x14ac:dyDescent="0.2">
      <c r="A27" s="6" t="s">
        <v>68</v>
      </c>
      <c r="B27" s="6" t="s">
        <v>1090</v>
      </c>
      <c r="C27" s="6" t="s">
        <v>154</v>
      </c>
      <c r="D27" s="6"/>
      <c r="E27" s="13">
        <v>1</v>
      </c>
      <c r="F27" s="6" t="s">
        <v>15</v>
      </c>
      <c r="G27" s="109"/>
      <c r="H27" s="109"/>
      <c r="I27" s="11">
        <f t="shared" si="0"/>
        <v>0</v>
      </c>
      <c r="J27" s="8">
        <f t="shared" si="1"/>
        <v>0</v>
      </c>
      <c r="K27" s="6" t="s">
        <v>40</v>
      </c>
      <c r="L27" s="18" t="s">
        <v>131</v>
      </c>
      <c r="M27" s="12"/>
      <c r="N27" s="12"/>
      <c r="O27" s="14"/>
      <c r="P27" s="14"/>
    </row>
    <row r="28" spans="1:20" s="7" customFormat="1" x14ac:dyDescent="0.2">
      <c r="A28" s="6"/>
      <c r="B28" s="20"/>
      <c r="C28" s="6"/>
      <c r="D28" s="6"/>
      <c r="E28" s="13"/>
      <c r="F28" s="6"/>
      <c r="G28" s="8"/>
      <c r="H28" s="8"/>
      <c r="I28" s="8"/>
      <c r="J28" s="8"/>
      <c r="L28" s="29"/>
      <c r="N28" s="14"/>
      <c r="O28" s="14"/>
    </row>
    <row r="29" spans="1:20" s="7" customFormat="1" x14ac:dyDescent="0.2">
      <c r="A29" s="6" t="s">
        <v>29</v>
      </c>
      <c r="B29" s="20"/>
      <c r="C29" s="6"/>
      <c r="D29" s="6"/>
      <c r="E29" s="13"/>
      <c r="F29" s="6"/>
      <c r="G29" s="8"/>
      <c r="I29" s="8">
        <f>SUM(I8:I28)</f>
        <v>0</v>
      </c>
      <c r="J29" s="8"/>
      <c r="L29" s="29"/>
      <c r="N29" s="14"/>
      <c r="O29" s="14"/>
    </row>
    <row r="30" spans="1:20" x14ac:dyDescent="0.2">
      <c r="A30" s="6" t="s">
        <v>75</v>
      </c>
      <c r="I30" s="3"/>
      <c r="J30" s="3">
        <f>SUM(J8:J29)</f>
        <v>0</v>
      </c>
    </row>
    <row r="31" spans="1:20" x14ac:dyDescent="0.2">
      <c r="A31" s="6"/>
      <c r="I31" s="3"/>
      <c r="J31" s="3"/>
    </row>
    <row r="32" spans="1:20" x14ac:dyDescent="0.2">
      <c r="A32" s="35" t="s">
        <v>76</v>
      </c>
      <c r="B32" s="36"/>
      <c r="C32" s="36"/>
      <c r="D32" s="36"/>
      <c r="E32" s="36"/>
      <c r="F32" s="36"/>
      <c r="G32" s="36"/>
      <c r="I32" s="37"/>
      <c r="J32" s="5">
        <f>J30+I29</f>
        <v>0</v>
      </c>
    </row>
  </sheetData>
  <pageMargins left="0.62992125984251968" right="0.62992125984251968" top="0.55118110236220474" bottom="0.55118110236220474" header="0.31496062992125984" footer="0.31496062992125984"/>
  <pageSetup paperSize="9" orientation="landscape" horizontalDpi="300" verticalDpi="300" r:id="rId1"/>
  <headerFooter>
    <oddHeader>&amp;L&amp;"Arial,Obyčejné"KRYTÝ BAZÉN ZNOJMO - LOUKA SO 101&amp;R&amp;"Arial,Obyčejné"DPS</oddHeader>
    <oddFooter>Stránka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dimension ref="A1:T44"/>
  <sheetViews>
    <sheetView workbookViewId="0">
      <selection activeCell="S244" sqref="S244"/>
    </sheetView>
  </sheetViews>
  <sheetFormatPr defaultRowHeight="12.75" x14ac:dyDescent="0.2"/>
  <cols>
    <col min="1" max="1" width="26.83203125" customWidth="1"/>
    <col min="2" max="3" width="13.83203125" customWidth="1"/>
    <col min="4" max="4" width="5.83203125" customWidth="1"/>
    <col min="5" max="5" width="7.83203125" customWidth="1"/>
    <col min="6" max="6" width="3.83203125" customWidth="1"/>
    <col min="7" max="8" width="10.83203125" customWidth="1"/>
    <col min="9" max="9" width="11.83203125" customWidth="1"/>
    <col min="10" max="10" width="11.83203125" style="4" customWidth="1"/>
    <col min="11" max="11" width="11.83203125" customWidth="1"/>
    <col min="12" max="12" width="9.33203125" style="4"/>
  </cols>
  <sheetData>
    <row r="1" spans="1:16" ht="25.5" x14ac:dyDescent="0.35">
      <c r="B1" s="2" t="s">
        <v>191</v>
      </c>
    </row>
    <row r="2" spans="1:16" x14ac:dyDescent="0.2">
      <c r="A2" t="s">
        <v>59</v>
      </c>
      <c r="C2" t="s">
        <v>192</v>
      </c>
      <c r="E2">
        <v>1</v>
      </c>
      <c r="F2" t="s">
        <v>15</v>
      </c>
    </row>
    <row r="4" spans="1:16" x14ac:dyDescent="0.2">
      <c r="A4" t="s">
        <v>60</v>
      </c>
      <c r="C4" t="s">
        <v>193</v>
      </c>
    </row>
    <row r="5" spans="1:16" x14ac:dyDescent="0.2">
      <c r="H5" s="3"/>
    </row>
    <row r="6" spans="1:16" s="7" customFormat="1" x14ac:dyDescent="0.2">
      <c r="A6" s="6" t="s">
        <v>34</v>
      </c>
      <c r="E6" s="20" t="s">
        <v>35</v>
      </c>
      <c r="F6" s="6" t="s">
        <v>13</v>
      </c>
      <c r="G6" s="11" t="s">
        <v>30</v>
      </c>
      <c r="H6" s="11" t="s">
        <v>31</v>
      </c>
      <c r="I6" s="11" t="s">
        <v>32</v>
      </c>
      <c r="J6" s="11" t="s">
        <v>33</v>
      </c>
      <c r="K6" s="6" t="s">
        <v>61</v>
      </c>
      <c r="L6" s="18" t="s">
        <v>269</v>
      </c>
    </row>
    <row r="8" spans="1:16" s="7" customFormat="1" x14ac:dyDescent="0.2">
      <c r="A8" s="6" t="s">
        <v>90</v>
      </c>
      <c r="B8" s="6" t="s">
        <v>1102</v>
      </c>
      <c r="D8" s="6"/>
      <c r="E8" s="40">
        <v>1</v>
      </c>
      <c r="F8" s="6" t="s">
        <v>15</v>
      </c>
      <c r="G8" s="109"/>
      <c r="H8" s="109"/>
      <c r="I8" s="11">
        <f>G8*E8</f>
        <v>0</v>
      </c>
      <c r="J8" s="8">
        <f>H8*E8</f>
        <v>0</v>
      </c>
      <c r="K8" s="6" t="s">
        <v>40</v>
      </c>
      <c r="L8" s="18" t="s">
        <v>91</v>
      </c>
      <c r="M8" s="12"/>
      <c r="N8" s="12"/>
      <c r="O8" s="14"/>
      <c r="P8" s="14"/>
    </row>
    <row r="9" spans="1:16" s="7" customFormat="1" x14ac:dyDescent="0.2">
      <c r="A9" s="6" t="s">
        <v>90</v>
      </c>
      <c r="B9" s="6" t="s">
        <v>1075</v>
      </c>
      <c r="D9" s="6"/>
      <c r="E9" s="40">
        <v>11</v>
      </c>
      <c r="F9" s="6" t="s">
        <v>15</v>
      </c>
      <c r="G9" s="109"/>
      <c r="H9" s="109"/>
      <c r="I9" s="11">
        <f>G9*E9</f>
        <v>0</v>
      </c>
      <c r="J9" s="8">
        <f>H9*E9</f>
        <v>0</v>
      </c>
      <c r="K9" s="6" t="s">
        <v>40</v>
      </c>
      <c r="L9" s="18" t="s">
        <v>91</v>
      </c>
      <c r="M9" s="12"/>
      <c r="N9" s="12"/>
      <c r="O9" s="14"/>
      <c r="P9" s="14"/>
    </row>
    <row r="10" spans="1:16" s="7" customFormat="1" x14ac:dyDescent="0.2">
      <c r="A10" s="6" t="s">
        <v>90</v>
      </c>
      <c r="B10" s="6" t="s">
        <v>1099</v>
      </c>
      <c r="D10" s="6"/>
      <c r="E10" s="40">
        <v>1</v>
      </c>
      <c r="F10" s="6" t="s">
        <v>15</v>
      </c>
      <c r="G10" s="109"/>
      <c r="H10" s="109"/>
      <c r="I10" s="11">
        <f>G10*E10</f>
        <v>0</v>
      </c>
      <c r="J10" s="8">
        <f>H10*E10</f>
        <v>0</v>
      </c>
      <c r="K10" s="6" t="s">
        <v>40</v>
      </c>
      <c r="L10" s="18" t="s">
        <v>91</v>
      </c>
      <c r="M10" s="12"/>
      <c r="N10" s="12"/>
      <c r="O10" s="14"/>
      <c r="P10" s="14"/>
    </row>
    <row r="11" spans="1:16" s="7" customFormat="1" x14ac:dyDescent="0.2">
      <c r="A11" s="6" t="s">
        <v>92</v>
      </c>
      <c r="B11" s="6" t="s">
        <v>1100</v>
      </c>
      <c r="D11" s="6"/>
      <c r="E11" s="40">
        <v>4</v>
      </c>
      <c r="F11" s="6" t="s">
        <v>15</v>
      </c>
      <c r="G11" s="109"/>
      <c r="H11" s="109"/>
      <c r="I11" s="11">
        <f t="shared" ref="I11:I36" si="0">G11*E11</f>
        <v>0</v>
      </c>
      <c r="J11" s="8">
        <f t="shared" ref="J11:J36" si="1">H11*E11</f>
        <v>0</v>
      </c>
      <c r="K11" s="6" t="s">
        <v>39</v>
      </c>
      <c r="L11" s="18" t="s">
        <v>93</v>
      </c>
      <c r="M11" s="12"/>
      <c r="N11" s="12"/>
      <c r="O11" s="14"/>
      <c r="P11" s="14"/>
    </row>
    <row r="12" spans="1:16" s="7" customFormat="1" x14ac:dyDescent="0.2">
      <c r="A12" s="6" t="s">
        <v>92</v>
      </c>
      <c r="B12" s="6" t="s">
        <v>1076</v>
      </c>
      <c r="D12" s="6"/>
      <c r="E12" s="40">
        <v>7</v>
      </c>
      <c r="F12" s="6" t="s">
        <v>15</v>
      </c>
      <c r="G12" s="109"/>
      <c r="H12" s="109"/>
      <c r="I12" s="11">
        <f t="shared" si="0"/>
        <v>0</v>
      </c>
      <c r="J12" s="8">
        <f t="shared" si="1"/>
        <v>0</v>
      </c>
      <c r="K12" s="6" t="s">
        <v>39</v>
      </c>
      <c r="L12" s="18" t="s">
        <v>93</v>
      </c>
      <c r="M12" s="12"/>
      <c r="N12" s="12"/>
      <c r="O12" s="14"/>
      <c r="P12" s="14"/>
    </row>
    <row r="13" spans="1:16" s="7" customFormat="1" x14ac:dyDescent="0.2">
      <c r="A13" s="6" t="s">
        <v>143</v>
      </c>
      <c r="B13" s="7" t="s">
        <v>144</v>
      </c>
      <c r="C13" s="6" t="s">
        <v>145</v>
      </c>
      <c r="D13" s="6"/>
      <c r="E13" s="40">
        <v>2</v>
      </c>
      <c r="F13" s="6" t="s">
        <v>15</v>
      </c>
      <c r="G13" s="109"/>
      <c r="H13" s="109"/>
      <c r="I13" s="11">
        <f t="shared" si="0"/>
        <v>0</v>
      </c>
      <c r="J13" s="8">
        <f t="shared" si="1"/>
        <v>0</v>
      </c>
      <c r="K13" s="6"/>
      <c r="L13" s="18" t="s">
        <v>180</v>
      </c>
      <c r="M13" s="12"/>
      <c r="N13" s="12"/>
      <c r="O13" s="14"/>
      <c r="P13" s="14"/>
    </row>
    <row r="14" spans="1:16" s="7" customFormat="1" x14ac:dyDescent="0.2">
      <c r="A14" s="6" t="s">
        <v>159</v>
      </c>
      <c r="B14" s="7" t="s">
        <v>144</v>
      </c>
      <c r="C14" s="6" t="s">
        <v>160</v>
      </c>
      <c r="D14" s="6"/>
      <c r="E14" s="40">
        <v>1</v>
      </c>
      <c r="F14" s="6" t="s">
        <v>15</v>
      </c>
      <c r="G14" s="109"/>
      <c r="H14" s="109"/>
      <c r="I14" s="11">
        <f t="shared" si="0"/>
        <v>0</v>
      </c>
      <c r="J14" s="8">
        <f t="shared" si="1"/>
        <v>0</v>
      </c>
      <c r="K14" s="6"/>
      <c r="L14" s="18" t="s">
        <v>180</v>
      </c>
      <c r="M14" s="12"/>
      <c r="N14" s="12"/>
      <c r="O14" s="14"/>
      <c r="P14" s="14"/>
    </row>
    <row r="15" spans="1:16" s="7" customFormat="1" x14ac:dyDescent="0.2">
      <c r="A15" s="6" t="s">
        <v>21</v>
      </c>
      <c r="B15" s="6" t="s">
        <v>22</v>
      </c>
      <c r="C15" s="6" t="s">
        <v>164</v>
      </c>
      <c r="D15" s="6"/>
      <c r="E15" s="13">
        <v>1</v>
      </c>
      <c r="F15" s="6" t="s">
        <v>15</v>
      </c>
      <c r="G15" s="109"/>
      <c r="H15" s="109"/>
      <c r="I15" s="11">
        <f t="shared" si="0"/>
        <v>0</v>
      </c>
      <c r="J15" s="8">
        <f t="shared" si="1"/>
        <v>0</v>
      </c>
      <c r="K15" s="6" t="s">
        <v>39</v>
      </c>
      <c r="L15" s="18" t="s">
        <v>95</v>
      </c>
      <c r="M15" s="12"/>
      <c r="N15" s="12"/>
      <c r="O15" s="14"/>
      <c r="P15" s="14"/>
    </row>
    <row r="16" spans="1:16" s="7" customFormat="1" x14ac:dyDescent="0.2">
      <c r="A16" s="6" t="s">
        <v>21</v>
      </c>
      <c r="B16" s="6" t="s">
        <v>22</v>
      </c>
      <c r="C16" s="6" t="s">
        <v>64</v>
      </c>
      <c r="D16" s="6"/>
      <c r="E16" s="13">
        <v>4</v>
      </c>
      <c r="F16" s="6" t="s">
        <v>15</v>
      </c>
      <c r="G16" s="109"/>
      <c r="H16" s="109"/>
      <c r="I16" s="11">
        <f t="shared" si="0"/>
        <v>0</v>
      </c>
      <c r="J16" s="8">
        <f t="shared" si="1"/>
        <v>0</v>
      </c>
      <c r="K16" s="6" t="s">
        <v>39</v>
      </c>
      <c r="L16" s="18" t="s">
        <v>95</v>
      </c>
      <c r="M16" s="12"/>
      <c r="N16" s="12"/>
      <c r="O16" s="14"/>
      <c r="P16" s="14"/>
    </row>
    <row r="17" spans="1:20" s="7" customFormat="1" x14ac:dyDescent="0.2">
      <c r="A17" s="6" t="s">
        <v>21</v>
      </c>
      <c r="B17" s="6" t="s">
        <v>22</v>
      </c>
      <c r="C17" s="6" t="s">
        <v>189</v>
      </c>
      <c r="D17" s="6"/>
      <c r="E17" s="13">
        <v>3</v>
      </c>
      <c r="F17" s="6" t="s">
        <v>15</v>
      </c>
      <c r="G17" s="109"/>
      <c r="H17" s="109"/>
      <c r="I17" s="11">
        <f t="shared" si="0"/>
        <v>0</v>
      </c>
      <c r="J17" s="8">
        <f t="shared" si="1"/>
        <v>0</v>
      </c>
      <c r="K17" s="6" t="s">
        <v>39</v>
      </c>
      <c r="L17" s="18" t="s">
        <v>95</v>
      </c>
      <c r="M17" s="12"/>
      <c r="N17" s="12"/>
      <c r="O17" s="14"/>
      <c r="P17" s="14"/>
    </row>
    <row r="18" spans="1:20" s="7" customFormat="1" x14ac:dyDescent="0.2">
      <c r="A18" s="6" t="s">
        <v>21</v>
      </c>
      <c r="B18" s="6" t="s">
        <v>22</v>
      </c>
      <c r="C18" s="6" t="s">
        <v>43</v>
      </c>
      <c r="D18" s="6"/>
      <c r="E18" s="13">
        <v>6</v>
      </c>
      <c r="F18" s="6" t="s">
        <v>15</v>
      </c>
      <c r="G18" s="109"/>
      <c r="H18" s="109"/>
      <c r="I18" s="11">
        <f t="shared" si="0"/>
        <v>0</v>
      </c>
      <c r="J18" s="8">
        <f t="shared" si="1"/>
        <v>0</v>
      </c>
      <c r="K18" s="6" t="s">
        <v>39</v>
      </c>
      <c r="L18" s="18" t="s">
        <v>95</v>
      </c>
      <c r="M18" s="12"/>
      <c r="N18" s="12"/>
      <c r="O18" s="14"/>
      <c r="P18" s="14"/>
    </row>
    <row r="19" spans="1:20" s="7" customFormat="1" x14ac:dyDescent="0.2">
      <c r="A19" s="6" t="s">
        <v>21</v>
      </c>
      <c r="B19" s="6" t="s">
        <v>98</v>
      </c>
      <c r="C19" s="6" t="s">
        <v>65</v>
      </c>
      <c r="D19" s="6"/>
      <c r="E19" s="13">
        <v>18</v>
      </c>
      <c r="F19" s="6" t="s">
        <v>15</v>
      </c>
      <c r="G19" s="109"/>
      <c r="H19" s="109"/>
      <c r="I19" s="11">
        <f t="shared" si="0"/>
        <v>0</v>
      </c>
      <c r="J19" s="8">
        <f t="shared" si="1"/>
        <v>0</v>
      </c>
      <c r="K19" s="6" t="s">
        <v>39</v>
      </c>
      <c r="L19" s="18" t="s">
        <v>95</v>
      </c>
      <c r="M19" s="12"/>
      <c r="N19" s="12"/>
      <c r="O19" s="14"/>
      <c r="P19" s="14"/>
    </row>
    <row r="20" spans="1:20" s="7" customFormat="1" x14ac:dyDescent="0.2">
      <c r="A20" s="6" t="s">
        <v>21</v>
      </c>
      <c r="B20" s="6" t="s">
        <v>66</v>
      </c>
      <c r="C20" s="6" t="s">
        <v>99</v>
      </c>
      <c r="D20" s="6"/>
      <c r="E20" s="13">
        <v>1</v>
      </c>
      <c r="F20" s="6" t="s">
        <v>15</v>
      </c>
      <c r="G20" s="109"/>
      <c r="H20" s="109"/>
      <c r="I20" s="11">
        <f t="shared" si="0"/>
        <v>0</v>
      </c>
      <c r="J20" s="8">
        <f t="shared" si="1"/>
        <v>0</v>
      </c>
      <c r="K20" s="6" t="s">
        <v>40</v>
      </c>
      <c r="L20" s="18" t="s">
        <v>95</v>
      </c>
      <c r="M20" s="12"/>
      <c r="N20" s="12"/>
      <c r="O20" s="14"/>
      <c r="P20" s="14"/>
    </row>
    <row r="21" spans="1:20" s="7" customFormat="1" x14ac:dyDescent="0.2">
      <c r="A21" s="6" t="s">
        <v>21</v>
      </c>
      <c r="B21" s="6" t="s">
        <v>66</v>
      </c>
      <c r="C21" s="6" t="s">
        <v>194</v>
      </c>
      <c r="D21" s="6"/>
      <c r="E21" s="13">
        <v>1</v>
      </c>
      <c r="F21" s="6" t="s">
        <v>15</v>
      </c>
      <c r="G21" s="109"/>
      <c r="H21" s="109"/>
      <c r="I21" s="11">
        <f t="shared" si="0"/>
        <v>0</v>
      </c>
      <c r="J21" s="8">
        <f t="shared" si="1"/>
        <v>0</v>
      </c>
      <c r="K21" s="6" t="s">
        <v>40</v>
      </c>
      <c r="L21" s="18" t="s">
        <v>95</v>
      </c>
      <c r="M21" s="12"/>
      <c r="N21" s="12"/>
      <c r="O21" s="14"/>
      <c r="P21" s="14"/>
    </row>
    <row r="22" spans="1:20" s="7" customFormat="1" x14ac:dyDescent="0.2">
      <c r="A22" s="6" t="s">
        <v>21</v>
      </c>
      <c r="B22" s="6" t="s">
        <v>66</v>
      </c>
      <c r="C22" s="6" t="s">
        <v>165</v>
      </c>
      <c r="D22" s="6"/>
      <c r="E22" s="13">
        <v>2</v>
      </c>
      <c r="F22" s="6" t="s">
        <v>15</v>
      </c>
      <c r="G22" s="109"/>
      <c r="H22" s="109"/>
      <c r="I22" s="11">
        <f t="shared" si="0"/>
        <v>0</v>
      </c>
      <c r="J22" s="8">
        <f t="shared" si="1"/>
        <v>0</v>
      </c>
      <c r="K22" s="6" t="s">
        <v>40</v>
      </c>
      <c r="L22" s="18" t="s">
        <v>95</v>
      </c>
      <c r="M22" s="12"/>
      <c r="N22" s="12"/>
      <c r="O22" s="14"/>
      <c r="P22" s="14"/>
    </row>
    <row r="23" spans="1:20" s="7" customFormat="1" x14ac:dyDescent="0.2">
      <c r="A23" s="6" t="s">
        <v>21</v>
      </c>
      <c r="B23" s="6" t="s">
        <v>101</v>
      </c>
      <c r="C23" s="6" t="s">
        <v>195</v>
      </c>
      <c r="D23" s="6"/>
      <c r="E23" s="13">
        <v>9</v>
      </c>
      <c r="F23" s="6" t="s">
        <v>15</v>
      </c>
      <c r="G23" s="109"/>
      <c r="H23" s="109"/>
      <c r="I23" s="11">
        <f t="shared" si="0"/>
        <v>0</v>
      </c>
      <c r="J23" s="8">
        <f t="shared" si="1"/>
        <v>0</v>
      </c>
      <c r="K23" s="6" t="s">
        <v>40</v>
      </c>
      <c r="L23" s="18" t="s">
        <v>95</v>
      </c>
      <c r="M23" s="12"/>
      <c r="N23" s="12"/>
      <c r="O23" s="14"/>
      <c r="P23" s="14"/>
    </row>
    <row r="24" spans="1:20" s="7" customFormat="1" x14ac:dyDescent="0.2">
      <c r="A24" s="6" t="s">
        <v>21</v>
      </c>
      <c r="B24" s="6" t="s">
        <v>101</v>
      </c>
      <c r="C24" s="6" t="s">
        <v>65</v>
      </c>
      <c r="D24" s="6"/>
      <c r="E24" s="13">
        <v>4</v>
      </c>
      <c r="F24" s="6" t="s">
        <v>15</v>
      </c>
      <c r="G24" s="109"/>
      <c r="H24" s="109"/>
      <c r="I24" s="11">
        <f t="shared" si="0"/>
        <v>0</v>
      </c>
      <c r="J24" s="8">
        <f t="shared" si="1"/>
        <v>0</v>
      </c>
      <c r="K24" s="6" t="s">
        <v>40</v>
      </c>
      <c r="L24" s="18" t="s">
        <v>95</v>
      </c>
      <c r="M24" s="12"/>
      <c r="N24" s="12"/>
      <c r="O24" s="14"/>
      <c r="P24" s="14"/>
    </row>
    <row r="25" spans="1:20" s="7" customFormat="1" x14ac:dyDescent="0.2">
      <c r="A25" s="6" t="s">
        <v>166</v>
      </c>
      <c r="B25" s="6" t="s">
        <v>1079</v>
      </c>
      <c r="C25" s="7" t="s">
        <v>1090</v>
      </c>
      <c r="D25" s="6"/>
      <c r="E25" s="13">
        <v>6</v>
      </c>
      <c r="F25" s="6" t="s">
        <v>15</v>
      </c>
      <c r="G25" s="109"/>
      <c r="H25" s="109"/>
      <c r="I25" s="11">
        <f t="shared" si="0"/>
        <v>0</v>
      </c>
      <c r="J25" s="8">
        <f t="shared" si="1"/>
        <v>0</v>
      </c>
      <c r="K25" s="6" t="s">
        <v>39</v>
      </c>
      <c r="L25" s="18"/>
      <c r="M25" s="12"/>
      <c r="N25" s="12"/>
      <c r="O25" s="14"/>
      <c r="P25" s="14"/>
    </row>
    <row r="26" spans="1:20" s="46" customFormat="1" x14ac:dyDescent="0.2">
      <c r="A26" s="6" t="s">
        <v>140</v>
      </c>
      <c r="B26" s="6" t="s">
        <v>141</v>
      </c>
      <c r="C26" s="6" t="s">
        <v>1094</v>
      </c>
      <c r="D26" s="6"/>
      <c r="E26" s="22">
        <v>1</v>
      </c>
      <c r="F26" s="6" t="s">
        <v>15</v>
      </c>
      <c r="G26" s="109"/>
      <c r="H26" s="109"/>
      <c r="I26" s="11">
        <f t="shared" si="0"/>
        <v>0</v>
      </c>
      <c r="J26" s="11">
        <f t="shared" si="1"/>
        <v>0</v>
      </c>
      <c r="K26" s="6" t="s">
        <v>40</v>
      </c>
      <c r="L26" s="18"/>
      <c r="M26" s="45"/>
      <c r="N26" s="12"/>
      <c r="O26" s="9"/>
      <c r="P26" s="9"/>
      <c r="Q26" s="10"/>
      <c r="R26" s="10"/>
      <c r="S26" s="10"/>
      <c r="T26" s="11"/>
    </row>
    <row r="27" spans="1:20" s="7" customFormat="1" x14ac:dyDescent="0.2">
      <c r="A27" s="6" t="s">
        <v>62</v>
      </c>
      <c r="D27" s="6"/>
      <c r="E27" s="13">
        <f>1.5*0.8</f>
        <v>1.2000000000000002</v>
      </c>
      <c r="F27" s="6" t="s">
        <v>26</v>
      </c>
      <c r="G27" s="109"/>
      <c r="H27" s="109"/>
      <c r="I27" s="11">
        <f t="shared" si="0"/>
        <v>0</v>
      </c>
      <c r="J27" s="8">
        <f t="shared" si="1"/>
        <v>0</v>
      </c>
      <c r="L27" s="28"/>
      <c r="M27" s="12"/>
      <c r="N27" s="31"/>
      <c r="O27" s="14"/>
      <c r="P27" s="14"/>
    </row>
    <row r="28" spans="1:20" s="7" customFormat="1" x14ac:dyDescent="0.2">
      <c r="A28" s="6" t="s">
        <v>63</v>
      </c>
      <c r="C28" s="6" t="s">
        <v>24</v>
      </c>
      <c r="D28" s="6"/>
      <c r="E28" s="13">
        <v>1</v>
      </c>
      <c r="F28" s="6" t="s">
        <v>15</v>
      </c>
      <c r="G28" s="109"/>
      <c r="H28" s="110"/>
      <c r="I28" s="11">
        <f t="shared" si="0"/>
        <v>0</v>
      </c>
      <c r="J28" s="8">
        <f t="shared" si="1"/>
        <v>0</v>
      </c>
      <c r="L28" s="28"/>
      <c r="M28" s="12"/>
      <c r="O28" s="14"/>
      <c r="P28" s="14"/>
    </row>
    <row r="29" spans="1:20" s="7" customFormat="1" x14ac:dyDescent="0.2">
      <c r="A29" s="6" t="s">
        <v>1103</v>
      </c>
      <c r="B29" s="6"/>
      <c r="C29" s="6" t="s">
        <v>197</v>
      </c>
      <c r="D29" s="6"/>
      <c r="E29" s="13">
        <v>1</v>
      </c>
      <c r="F29" s="6" t="s">
        <v>15</v>
      </c>
      <c r="G29" s="109"/>
      <c r="H29" s="109"/>
      <c r="I29" s="11">
        <f t="shared" si="0"/>
        <v>0</v>
      </c>
      <c r="J29" s="8">
        <f t="shared" si="1"/>
        <v>0</v>
      </c>
      <c r="K29" s="6" t="s">
        <v>196</v>
      </c>
      <c r="L29" s="18"/>
      <c r="M29" s="12"/>
      <c r="N29" s="12"/>
      <c r="O29" s="14"/>
      <c r="P29" s="14"/>
    </row>
    <row r="30" spans="1:20" s="7" customFormat="1" x14ac:dyDescent="0.2">
      <c r="A30" s="6" t="s">
        <v>69</v>
      </c>
      <c r="C30" s="6" t="s">
        <v>198</v>
      </c>
      <c r="D30" s="6"/>
      <c r="E30" s="13">
        <v>3</v>
      </c>
      <c r="F30" s="6" t="s">
        <v>15</v>
      </c>
      <c r="G30" s="109"/>
      <c r="H30" s="109"/>
      <c r="I30" s="11">
        <f t="shared" si="0"/>
        <v>0</v>
      </c>
      <c r="J30" s="8">
        <f t="shared" si="1"/>
        <v>0</v>
      </c>
      <c r="K30" s="25">
        <v>210070401</v>
      </c>
      <c r="L30" s="43"/>
      <c r="M30" s="12"/>
      <c r="N30" s="12"/>
      <c r="O30" s="14"/>
      <c r="P30" s="14"/>
      <c r="S30" s="6"/>
    </row>
    <row r="31" spans="1:20" s="7" customFormat="1" x14ac:dyDescent="0.2">
      <c r="A31" s="6" t="s">
        <v>70</v>
      </c>
      <c r="C31" s="6" t="s">
        <v>198</v>
      </c>
      <c r="D31" s="6"/>
      <c r="E31" s="13">
        <v>2</v>
      </c>
      <c r="F31" s="6" t="s">
        <v>15</v>
      </c>
      <c r="G31" s="109"/>
      <c r="H31" s="109"/>
      <c r="I31" s="11">
        <f t="shared" si="0"/>
        <v>0</v>
      </c>
      <c r="J31" s="8">
        <f t="shared" si="1"/>
        <v>0</v>
      </c>
      <c r="K31" s="25">
        <v>210070401</v>
      </c>
      <c r="L31" s="43"/>
      <c r="M31" s="12"/>
      <c r="N31" s="12"/>
      <c r="O31" s="14"/>
      <c r="P31" s="14"/>
      <c r="S31" s="6"/>
    </row>
    <row r="32" spans="1:20" s="7" customFormat="1" x14ac:dyDescent="0.2">
      <c r="A32" s="6" t="s">
        <v>71</v>
      </c>
      <c r="C32" s="6" t="s">
        <v>168</v>
      </c>
      <c r="E32" s="13">
        <v>1</v>
      </c>
      <c r="F32" s="6" t="s">
        <v>15</v>
      </c>
      <c r="G32" s="109"/>
      <c r="H32" s="109"/>
      <c r="I32" s="11">
        <f t="shared" si="0"/>
        <v>0</v>
      </c>
      <c r="J32" s="11">
        <f t="shared" si="1"/>
        <v>0</v>
      </c>
      <c r="L32" s="28"/>
      <c r="M32" s="12"/>
      <c r="O32" s="14"/>
      <c r="P32" s="14"/>
    </row>
    <row r="33" spans="1:20" s="7" customFormat="1" x14ac:dyDescent="0.2">
      <c r="A33" s="32" t="s">
        <v>67</v>
      </c>
      <c r="B33" s="33" t="s">
        <v>1097</v>
      </c>
      <c r="C33" s="32" t="s">
        <v>1098</v>
      </c>
      <c r="D33" s="32"/>
      <c r="E33" s="34">
        <v>1</v>
      </c>
      <c r="F33" s="6" t="s">
        <v>15</v>
      </c>
      <c r="G33" s="116"/>
      <c r="H33" s="109"/>
      <c r="I33" s="11">
        <f t="shared" si="0"/>
        <v>0</v>
      </c>
      <c r="J33" s="8">
        <f t="shared" si="1"/>
        <v>0</v>
      </c>
      <c r="K33" s="6" t="s">
        <v>40</v>
      </c>
      <c r="L33" s="18" t="s">
        <v>153</v>
      </c>
      <c r="M33" s="38"/>
      <c r="N33" s="12"/>
      <c r="O33" s="14"/>
      <c r="P33" s="14"/>
    </row>
    <row r="34" spans="1:20" s="7" customFormat="1" x14ac:dyDescent="0.2">
      <c r="A34" s="6" t="s">
        <v>1104</v>
      </c>
      <c r="B34" s="6" t="s">
        <v>199</v>
      </c>
      <c r="D34" s="6"/>
      <c r="E34" s="13">
        <v>1</v>
      </c>
      <c r="F34" s="6" t="s">
        <v>15</v>
      </c>
      <c r="G34" s="109"/>
      <c r="H34" s="109"/>
      <c r="I34" s="11">
        <f t="shared" si="0"/>
        <v>0</v>
      </c>
      <c r="J34" s="8">
        <f t="shared" si="1"/>
        <v>0</v>
      </c>
      <c r="K34" s="6" t="s">
        <v>200</v>
      </c>
      <c r="L34" s="18"/>
      <c r="M34" s="12"/>
      <c r="N34" s="12"/>
      <c r="O34" s="14"/>
      <c r="P34" s="14"/>
    </row>
    <row r="35" spans="1:20" s="7" customFormat="1" x14ac:dyDescent="0.2">
      <c r="A35" s="6" t="s">
        <v>41</v>
      </c>
      <c r="B35" s="6" t="s">
        <v>201</v>
      </c>
      <c r="D35" s="6"/>
      <c r="E35" s="13">
        <v>1</v>
      </c>
      <c r="F35" s="6" t="s">
        <v>15</v>
      </c>
      <c r="G35" s="109"/>
      <c r="H35" s="109"/>
      <c r="I35" s="11">
        <f t="shared" si="0"/>
        <v>0</v>
      </c>
      <c r="J35" s="8">
        <f t="shared" si="1"/>
        <v>0</v>
      </c>
      <c r="K35" s="6" t="s">
        <v>40</v>
      </c>
      <c r="L35" s="18" t="s">
        <v>202</v>
      </c>
      <c r="M35" s="12"/>
      <c r="N35" s="12"/>
      <c r="O35" s="14"/>
      <c r="P35" s="14"/>
    </row>
    <row r="36" spans="1:20" s="7" customFormat="1" x14ac:dyDescent="0.2">
      <c r="A36" s="6" t="s">
        <v>45</v>
      </c>
      <c r="B36" s="6" t="s">
        <v>203</v>
      </c>
      <c r="C36" s="6" t="s">
        <v>204</v>
      </c>
      <c r="D36" s="6"/>
      <c r="E36" s="13">
        <v>3</v>
      </c>
      <c r="F36" s="6" t="s">
        <v>15</v>
      </c>
      <c r="G36" s="109"/>
      <c r="H36" s="109"/>
      <c r="I36" s="11">
        <f t="shared" si="0"/>
        <v>0</v>
      </c>
      <c r="J36" s="8">
        <f t="shared" si="1"/>
        <v>0</v>
      </c>
      <c r="K36" s="6" t="s">
        <v>121</v>
      </c>
      <c r="L36" s="18" t="s">
        <v>205</v>
      </c>
      <c r="M36" s="12"/>
      <c r="N36" s="12"/>
      <c r="O36" s="14"/>
      <c r="P36" s="14"/>
    </row>
    <row r="37" spans="1:20" s="7" customFormat="1" x14ac:dyDescent="0.2">
      <c r="A37" s="6" t="s">
        <v>72</v>
      </c>
      <c r="B37" s="6" t="s">
        <v>1093</v>
      </c>
      <c r="C37" s="18" t="s">
        <v>74</v>
      </c>
      <c r="D37" s="6"/>
      <c r="E37" s="13">
        <v>122</v>
      </c>
      <c r="F37" s="6" t="s">
        <v>15</v>
      </c>
      <c r="G37" s="110"/>
      <c r="H37" s="109"/>
      <c r="I37" s="11">
        <f t="shared" ref="I37:I39" si="2">G37*E37</f>
        <v>0</v>
      </c>
      <c r="J37" s="11">
        <f t="shared" ref="J37:J39" si="3">H37*E37</f>
        <v>0</v>
      </c>
      <c r="K37" s="6">
        <v>210192571</v>
      </c>
      <c r="L37" s="18" t="s">
        <v>139</v>
      </c>
      <c r="M37" s="12"/>
      <c r="N37" s="12"/>
      <c r="O37" s="14"/>
      <c r="P37" s="14"/>
      <c r="T37" s="11"/>
    </row>
    <row r="38" spans="1:20" s="7" customFormat="1" x14ac:dyDescent="0.2">
      <c r="A38" s="6" t="s">
        <v>72</v>
      </c>
      <c r="B38" s="6" t="s">
        <v>1093</v>
      </c>
      <c r="C38" s="18" t="s">
        <v>173</v>
      </c>
      <c r="D38" s="6"/>
      <c r="E38" s="13">
        <v>8</v>
      </c>
      <c r="F38" s="6" t="s">
        <v>15</v>
      </c>
      <c r="G38" s="110"/>
      <c r="H38" s="109"/>
      <c r="I38" s="11">
        <f t="shared" si="2"/>
        <v>0</v>
      </c>
      <c r="J38" s="11">
        <f t="shared" si="3"/>
        <v>0</v>
      </c>
      <c r="K38" s="6">
        <v>210192572</v>
      </c>
      <c r="L38" s="18" t="s">
        <v>139</v>
      </c>
      <c r="M38" s="12"/>
      <c r="N38" s="12"/>
      <c r="O38" s="14"/>
      <c r="P38" s="14"/>
      <c r="T38" s="11"/>
    </row>
    <row r="39" spans="1:20" s="7" customFormat="1" x14ac:dyDescent="0.2">
      <c r="A39" s="6" t="s">
        <v>72</v>
      </c>
      <c r="B39" s="6" t="s">
        <v>1093</v>
      </c>
      <c r="C39" s="18" t="s">
        <v>52</v>
      </c>
      <c r="D39" s="6"/>
      <c r="E39" s="13">
        <v>8</v>
      </c>
      <c r="F39" s="6" t="s">
        <v>15</v>
      </c>
      <c r="G39" s="110"/>
      <c r="H39" s="109"/>
      <c r="I39" s="11">
        <f t="shared" si="2"/>
        <v>0</v>
      </c>
      <c r="J39" s="11">
        <f t="shared" si="3"/>
        <v>0</v>
      </c>
      <c r="K39" s="6">
        <v>210192572</v>
      </c>
      <c r="L39" s="18" t="s">
        <v>139</v>
      </c>
      <c r="M39" s="12"/>
      <c r="N39" s="12"/>
      <c r="O39" s="14"/>
      <c r="P39" s="14"/>
      <c r="T39" s="11"/>
    </row>
    <row r="40" spans="1:20" s="7" customFormat="1" x14ac:dyDescent="0.2">
      <c r="A40" s="6"/>
      <c r="B40" s="20"/>
      <c r="C40" s="6"/>
      <c r="D40" s="6"/>
      <c r="E40" s="13"/>
      <c r="F40" s="6"/>
      <c r="G40" s="8"/>
      <c r="H40" s="8"/>
      <c r="I40" s="8"/>
      <c r="J40" s="8"/>
      <c r="L40" s="29"/>
      <c r="N40" s="14"/>
      <c r="O40" s="14"/>
    </row>
    <row r="41" spans="1:20" s="7" customFormat="1" x14ac:dyDescent="0.2">
      <c r="A41" s="6" t="s">
        <v>29</v>
      </c>
      <c r="B41" s="20"/>
      <c r="C41" s="6"/>
      <c r="D41" s="6"/>
      <c r="E41" s="13"/>
      <c r="F41" s="6"/>
      <c r="G41" s="8"/>
      <c r="I41" s="8">
        <f>SUM(I8:I40)</f>
        <v>0</v>
      </c>
      <c r="J41" s="8"/>
      <c r="L41" s="29"/>
      <c r="N41" s="14"/>
      <c r="O41" s="14"/>
    </row>
    <row r="42" spans="1:20" x14ac:dyDescent="0.2">
      <c r="A42" s="6" t="s">
        <v>75</v>
      </c>
      <c r="I42" s="3"/>
      <c r="J42" s="3">
        <f>SUM(J8:J41)</f>
        <v>0</v>
      </c>
    </row>
    <row r="43" spans="1:20" x14ac:dyDescent="0.2">
      <c r="A43" s="6"/>
      <c r="I43" s="3"/>
      <c r="J43" s="3"/>
    </row>
    <row r="44" spans="1:20" x14ac:dyDescent="0.2">
      <c r="A44" s="35" t="s">
        <v>76</v>
      </c>
      <c r="B44" s="36"/>
      <c r="C44" s="36"/>
      <c r="D44" s="36"/>
      <c r="E44" s="36"/>
      <c r="F44" s="36"/>
      <c r="G44" s="36"/>
      <c r="I44" s="37"/>
      <c r="J44" s="5">
        <f>J42+I41</f>
        <v>0</v>
      </c>
    </row>
  </sheetData>
  <pageMargins left="0.62992125984251968" right="0.62992125984251968" top="0.55118110236220474" bottom="0.55118110236220474" header="0.31496062992125984" footer="0.31496062992125984"/>
  <pageSetup paperSize="9" orientation="landscape" horizontalDpi="300" verticalDpi="300" r:id="rId1"/>
  <headerFooter>
    <oddHeader>&amp;L&amp;"Arial,Obyčejné"KRYTÝ BAZÉN ZNOJMO - LOUKA SO 101&amp;R&amp;"Arial,Obyčejné"DPS</oddHeader>
    <oddFooter>Stránka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18</vt:i4>
      </vt:variant>
      <vt:variant>
        <vt:lpstr>Pojmenované oblasti</vt:lpstr>
      </vt:variant>
      <vt:variant>
        <vt:i4>18</vt:i4>
      </vt:variant>
    </vt:vector>
  </HeadingPairs>
  <TitlesOfParts>
    <vt:vector size="36" baseType="lpstr">
      <vt:lpstr>Soupis</vt:lpstr>
      <vt:lpstr>Specifikace</vt:lpstr>
      <vt:lpstr>RH2</vt:lpstr>
      <vt:lpstr>R1.1</vt:lpstr>
      <vt:lpstr>R1.2</vt:lpstr>
      <vt:lpstr>R1.3</vt:lpstr>
      <vt:lpstr>R1.4</vt:lpstr>
      <vt:lpstr>R2.1</vt:lpstr>
      <vt:lpstr>R2.2</vt:lpstr>
      <vt:lpstr>R2.3</vt:lpstr>
      <vt:lpstr>RP</vt:lpstr>
      <vt:lpstr>RU</vt:lpstr>
      <vt:lpstr>OS</vt:lpstr>
      <vt:lpstr>RNO</vt:lpstr>
      <vt:lpstr>UPS</vt:lpstr>
      <vt:lpstr>Motor generátor</vt:lpstr>
      <vt:lpstr>Výkaz výměr</vt:lpstr>
      <vt:lpstr>Standardy</vt:lpstr>
      <vt:lpstr>'Motor generátor'!Oblast_tisku</vt:lpstr>
      <vt:lpstr>OS!Oblast_tisku</vt:lpstr>
      <vt:lpstr>R1.1!Oblast_tisku</vt:lpstr>
      <vt:lpstr>R1.2!Oblast_tisku</vt:lpstr>
      <vt:lpstr>R1.3!Oblast_tisku</vt:lpstr>
      <vt:lpstr>R1.4!Oblast_tisku</vt:lpstr>
      <vt:lpstr>R2.1!Oblast_tisku</vt:lpstr>
      <vt:lpstr>R2.2!Oblast_tisku</vt:lpstr>
      <vt:lpstr>R2.3!Oblast_tisku</vt:lpstr>
      <vt:lpstr>'RH2'!Oblast_tisku</vt:lpstr>
      <vt:lpstr>RNO!Oblast_tisku</vt:lpstr>
      <vt:lpstr>RP!Oblast_tisku</vt:lpstr>
      <vt:lpstr>RU!Oblast_tisku</vt:lpstr>
      <vt:lpstr>Soupis!Oblast_tisku</vt:lpstr>
      <vt:lpstr>Specifikace!Oblast_tisku</vt:lpstr>
      <vt:lpstr>Standardy!Oblast_tisku</vt:lpstr>
      <vt:lpstr>UPS!Oblast_tisku</vt:lpstr>
      <vt:lpstr>'Výkaz výměr'!Oblast_tisku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Pavel</dc:creator>
  <cp:lastModifiedBy>Pavel</cp:lastModifiedBy>
  <cp:lastPrinted>2021-04-01T12:14:57Z</cp:lastPrinted>
  <dcterms:created xsi:type="dcterms:W3CDTF">2014-09-18T07:33:32Z</dcterms:created>
  <dcterms:modified xsi:type="dcterms:W3CDTF">2021-04-01T12:15:56Z</dcterms:modified>
</cp:coreProperties>
</file>