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/>
  </bookViews>
  <sheets>
    <sheet name="Stavební rozpočet" sheetId="1" r:id="rId1"/>
    <sheet name="Stavební rozpočet - součet" sheetId="2" r:id="rId2"/>
    <sheet name="Výkaz výměr" sheetId="3" r:id="rId3"/>
    <sheet name="Krycí list rozpočtu" sheetId="4" r:id="rId4"/>
    <sheet name="VORN" sheetId="5" r:id="rId5"/>
  </sheets>
  <definedNames>
    <definedName name="vorn_sum">VORN!$I$36:$I$36</definedName>
  </definedNames>
  <calcPr calcId="125725"/>
</workbook>
</file>

<file path=xl/calcChain.xml><?xml version="1.0" encoding="utf-8"?>
<calcChain xmlns="http://schemas.openxmlformats.org/spreadsheetml/2006/main">
  <c r="L50" i="1"/>
  <c r="J50"/>
  <c r="I50"/>
  <c r="H50"/>
  <c r="L49"/>
  <c r="J49"/>
  <c r="I49"/>
  <c r="H49"/>
  <c r="C2" i="4"/>
  <c r="F2"/>
  <c r="C4"/>
  <c r="F4"/>
  <c r="C6"/>
  <c r="F6"/>
  <c r="C8"/>
  <c r="F8"/>
  <c r="C10"/>
  <c r="F10"/>
  <c r="I10"/>
  <c r="F14"/>
  <c r="F15"/>
  <c r="I15"/>
  <c r="F16"/>
  <c r="I16"/>
  <c r="I17"/>
  <c r="I18"/>
  <c r="I19"/>
  <c r="I24"/>
  <c r="J13" i="1"/>
  <c r="L13"/>
  <c r="BF13"/>
  <c r="Z13"/>
  <c r="AD13"/>
  <c r="AE13"/>
  <c r="AF13"/>
  <c r="AG13"/>
  <c r="AH13"/>
  <c r="AJ13"/>
  <c r="AK13"/>
  <c r="AL13"/>
  <c r="AO13"/>
  <c r="AW13" s="1"/>
  <c r="AP13"/>
  <c r="AX13" s="1"/>
  <c r="BD13"/>
  <c r="BH13"/>
  <c r="AB13" s="1"/>
  <c r="BJ13"/>
  <c r="I14"/>
  <c r="J14"/>
  <c r="L14"/>
  <c r="BF14"/>
  <c r="Z14"/>
  <c r="AD14"/>
  <c r="AE14"/>
  <c r="AF14"/>
  <c r="AG14"/>
  <c r="AH14"/>
  <c r="AJ14"/>
  <c r="AK14"/>
  <c r="AL14"/>
  <c r="AO14"/>
  <c r="H14"/>
  <c r="AP14"/>
  <c r="AX14"/>
  <c r="BD14"/>
  <c r="BH14"/>
  <c r="AB14"/>
  <c r="BI14"/>
  <c r="AC14"/>
  <c r="BJ14"/>
  <c r="J15"/>
  <c r="AL15" s="1"/>
  <c r="L15"/>
  <c r="BF15"/>
  <c r="Z15"/>
  <c r="AD15"/>
  <c r="AE15"/>
  <c r="AF15"/>
  <c r="AG15"/>
  <c r="AH15"/>
  <c r="AJ15"/>
  <c r="AK15"/>
  <c r="AO15"/>
  <c r="AW15" s="1"/>
  <c r="AP15"/>
  <c r="BI15" s="1"/>
  <c r="AC15" s="1"/>
  <c r="BD15"/>
  <c r="BJ15"/>
  <c r="J16"/>
  <c r="L16"/>
  <c r="BF16"/>
  <c r="Z16"/>
  <c r="AD16"/>
  <c r="AE16"/>
  <c r="AF16"/>
  <c r="AG16"/>
  <c r="AH16"/>
  <c r="AJ16"/>
  <c r="AK16"/>
  <c r="AL16"/>
  <c r="AO16"/>
  <c r="H16"/>
  <c r="AP16"/>
  <c r="AX16"/>
  <c r="BD16"/>
  <c r="BH16"/>
  <c r="AB16"/>
  <c r="BI16"/>
  <c r="AC16"/>
  <c r="BJ16"/>
  <c r="J17"/>
  <c r="L17"/>
  <c r="BF17"/>
  <c r="Z17"/>
  <c r="AD17"/>
  <c r="AE17"/>
  <c r="AF17"/>
  <c r="AG17"/>
  <c r="AH17"/>
  <c r="AJ17"/>
  <c r="AK17"/>
  <c r="AL17"/>
  <c r="AO17"/>
  <c r="AW17"/>
  <c r="AP17"/>
  <c r="AX17"/>
  <c r="BD17"/>
  <c r="BH17"/>
  <c r="AB17"/>
  <c r="BJ17"/>
  <c r="J19"/>
  <c r="L19"/>
  <c r="L18"/>
  <c r="G12" i="2"/>
  <c r="Z19" i="1"/>
  <c r="AD19"/>
  <c r="AE19"/>
  <c r="AF19"/>
  <c r="AG19"/>
  <c r="AH19"/>
  <c r="AJ19"/>
  <c r="AK19"/>
  <c r="AL19"/>
  <c r="AO19"/>
  <c r="AW19"/>
  <c r="AP19"/>
  <c r="I19"/>
  <c r="BD19"/>
  <c r="BF19"/>
  <c r="BJ19"/>
  <c r="J20"/>
  <c r="L20"/>
  <c r="Z20"/>
  <c r="AD20"/>
  <c r="AE20"/>
  <c r="AF20"/>
  <c r="AG20"/>
  <c r="AH20"/>
  <c r="AJ20"/>
  <c r="AK20"/>
  <c r="AL20"/>
  <c r="AO20"/>
  <c r="BH20"/>
  <c r="AB20"/>
  <c r="AP20"/>
  <c r="AX20"/>
  <c r="AW20"/>
  <c r="BD20"/>
  <c r="BF20"/>
  <c r="BI20"/>
  <c r="AC20"/>
  <c r="BJ20"/>
  <c r="J22"/>
  <c r="J21"/>
  <c r="F13" i="2"/>
  <c r="I13"/>
  <c r="L22" i="1"/>
  <c r="BF22"/>
  <c r="Z22"/>
  <c r="AD22"/>
  <c r="AE22"/>
  <c r="AF22"/>
  <c r="AG22"/>
  <c r="AH22"/>
  <c r="AJ22"/>
  <c r="AS21"/>
  <c r="AK22"/>
  <c r="AL22"/>
  <c r="AU21"/>
  <c r="AO22"/>
  <c r="AW22"/>
  <c r="AP22"/>
  <c r="AX22"/>
  <c r="BD22"/>
  <c r="BH22"/>
  <c r="AB22"/>
  <c r="BJ22"/>
  <c r="I23"/>
  <c r="J23"/>
  <c r="L23"/>
  <c r="BF23"/>
  <c r="Z23"/>
  <c r="AD23"/>
  <c r="AE23"/>
  <c r="AF23"/>
  <c r="AG23"/>
  <c r="AH23"/>
  <c r="AJ23"/>
  <c r="AK23"/>
  <c r="AL23"/>
  <c r="AO23"/>
  <c r="H23"/>
  <c r="AP23"/>
  <c r="AX23"/>
  <c r="BD23"/>
  <c r="BH23"/>
  <c r="AB23"/>
  <c r="BI23"/>
  <c r="AC23"/>
  <c r="BJ23"/>
  <c r="J24"/>
  <c r="AL24"/>
  <c r="L24"/>
  <c r="BF24"/>
  <c r="Z24"/>
  <c r="AD24"/>
  <c r="AE24"/>
  <c r="AF24"/>
  <c r="AG24"/>
  <c r="AH24"/>
  <c r="AJ24"/>
  <c r="AK24"/>
  <c r="AO24"/>
  <c r="AW24"/>
  <c r="AP24"/>
  <c r="I24"/>
  <c r="BD24"/>
  <c r="BH24"/>
  <c r="AB24"/>
  <c r="BJ24"/>
  <c r="I25"/>
  <c r="J25"/>
  <c r="L25"/>
  <c r="BF25"/>
  <c r="Z25"/>
  <c r="AD25"/>
  <c r="AE25"/>
  <c r="AF25"/>
  <c r="AG25"/>
  <c r="AH25"/>
  <c r="AJ25"/>
  <c r="AK25"/>
  <c r="AL25"/>
  <c r="AO25"/>
  <c r="H25"/>
  <c r="AP25"/>
  <c r="AX25"/>
  <c r="BD25"/>
  <c r="BH25"/>
  <c r="AB25"/>
  <c r="BI25"/>
  <c r="AC25"/>
  <c r="BJ25"/>
  <c r="J27"/>
  <c r="J26"/>
  <c r="F14" i="2"/>
  <c r="I14"/>
  <c r="L27" i="1"/>
  <c r="L26"/>
  <c r="G14" i="2"/>
  <c r="Z27" i="1"/>
  <c r="AD27"/>
  <c r="AE27"/>
  <c r="AF27"/>
  <c r="AG27"/>
  <c r="AH27"/>
  <c r="AJ27"/>
  <c r="AS26"/>
  <c r="AK27"/>
  <c r="AT26"/>
  <c r="AL27"/>
  <c r="AU26"/>
  <c r="AO27"/>
  <c r="H27"/>
  <c r="H26"/>
  <c r="D14" i="2"/>
  <c r="AP27" i="1"/>
  <c r="AX27"/>
  <c r="BD27"/>
  <c r="BF27"/>
  <c r="BH27"/>
  <c r="AB27"/>
  <c r="BJ27"/>
  <c r="J29"/>
  <c r="J28"/>
  <c r="F15" i="2"/>
  <c r="I15"/>
  <c r="L29" i="1"/>
  <c r="BF29"/>
  <c r="Z29"/>
  <c r="AD29"/>
  <c r="AE29"/>
  <c r="AF29"/>
  <c r="AG29"/>
  <c r="AH29"/>
  <c r="AJ29"/>
  <c r="AS28"/>
  <c r="AK29"/>
  <c r="AT28"/>
  <c r="AL29"/>
  <c r="AU28"/>
  <c r="AO29"/>
  <c r="AW29"/>
  <c r="AP29"/>
  <c r="I29"/>
  <c r="I28"/>
  <c r="E15" i="2"/>
  <c r="BD29" i="1"/>
  <c r="BH29"/>
  <c r="AB29"/>
  <c r="BI29"/>
  <c r="AC29"/>
  <c r="BJ29"/>
  <c r="J31"/>
  <c r="AL31"/>
  <c r="L31"/>
  <c r="L30"/>
  <c r="G16" i="2"/>
  <c r="Z31" i="1"/>
  <c r="AB31"/>
  <c r="AC31"/>
  <c r="AF31"/>
  <c r="AG31"/>
  <c r="AH31"/>
  <c r="AJ31"/>
  <c r="AK31"/>
  <c r="AO31"/>
  <c r="H31"/>
  <c r="AP31"/>
  <c r="I31"/>
  <c r="BD31"/>
  <c r="BF31"/>
  <c r="BJ31"/>
  <c r="J32"/>
  <c r="AL32"/>
  <c r="L32"/>
  <c r="Z32"/>
  <c r="AB32"/>
  <c r="AC32"/>
  <c r="AF32"/>
  <c r="AG32"/>
  <c r="AH32"/>
  <c r="AJ32"/>
  <c r="AK32"/>
  <c r="AO32"/>
  <c r="H32"/>
  <c r="AP32"/>
  <c r="AX32"/>
  <c r="BD32"/>
  <c r="BF32"/>
  <c r="BH32"/>
  <c r="AD32"/>
  <c r="BJ32"/>
  <c r="J33"/>
  <c r="AL33"/>
  <c r="L33"/>
  <c r="Z33"/>
  <c r="AB33"/>
  <c r="AC33"/>
  <c r="AF33"/>
  <c r="AG33"/>
  <c r="AH33"/>
  <c r="AJ33"/>
  <c r="AK33"/>
  <c r="AO33"/>
  <c r="H33"/>
  <c r="AP33"/>
  <c r="I33"/>
  <c r="BD33"/>
  <c r="BF33"/>
  <c r="BJ33"/>
  <c r="J34"/>
  <c r="AL34"/>
  <c r="L34"/>
  <c r="Z34"/>
  <c r="AB34"/>
  <c r="AC34"/>
  <c r="AF34"/>
  <c r="AG34"/>
  <c r="AH34"/>
  <c r="AJ34"/>
  <c r="AK34"/>
  <c r="AO34"/>
  <c r="H34"/>
  <c r="AP34"/>
  <c r="AX34"/>
  <c r="BD34"/>
  <c r="BF34"/>
  <c r="BH34"/>
  <c r="AD34"/>
  <c r="BJ34"/>
  <c r="J35"/>
  <c r="AL35"/>
  <c r="L35"/>
  <c r="Z35"/>
  <c r="AB35"/>
  <c r="AC35"/>
  <c r="AF35"/>
  <c r="AG35"/>
  <c r="AH35"/>
  <c r="AJ35"/>
  <c r="AK35"/>
  <c r="AO35"/>
  <c r="H35"/>
  <c r="AP35"/>
  <c r="I35"/>
  <c r="BD35"/>
  <c r="BF35"/>
  <c r="BH35"/>
  <c r="AD35"/>
  <c r="BJ35"/>
  <c r="J36"/>
  <c r="AL36"/>
  <c r="L36"/>
  <c r="Z36"/>
  <c r="AB36"/>
  <c r="AC36"/>
  <c r="AF36"/>
  <c r="AG36"/>
  <c r="AH36"/>
  <c r="AJ36"/>
  <c r="AK36"/>
  <c r="AO36"/>
  <c r="H36"/>
  <c r="AP36"/>
  <c r="AX36"/>
  <c r="BD36"/>
  <c r="BF36"/>
  <c r="BH36"/>
  <c r="AD36"/>
  <c r="BJ36"/>
  <c r="J37"/>
  <c r="AL37"/>
  <c r="L37"/>
  <c r="Z37"/>
  <c r="AB37"/>
  <c r="AC37"/>
  <c r="AF37"/>
  <c r="AG37"/>
  <c r="AH37"/>
  <c r="AJ37"/>
  <c r="AK37"/>
  <c r="AO37"/>
  <c r="H37"/>
  <c r="AP37"/>
  <c r="I37"/>
  <c r="BD37"/>
  <c r="BF37"/>
  <c r="BH37"/>
  <c r="AD37"/>
  <c r="BJ37"/>
  <c r="J38"/>
  <c r="AL38"/>
  <c r="AU30" s="1"/>
  <c r="L38"/>
  <c r="Z38"/>
  <c r="AB38"/>
  <c r="AC38"/>
  <c r="AF38"/>
  <c r="AG38"/>
  <c r="AH38"/>
  <c r="AJ38"/>
  <c r="AK38"/>
  <c r="AO38"/>
  <c r="H38" s="1"/>
  <c r="H30" s="1"/>
  <c r="D16" i="2" s="1"/>
  <c r="AP38" i="1"/>
  <c r="BI38" s="1"/>
  <c r="AE38" s="1"/>
  <c r="C17" i="4" s="1"/>
  <c r="BD38" i="1"/>
  <c r="BF38"/>
  <c r="BJ38"/>
  <c r="J39"/>
  <c r="AL39"/>
  <c r="L39"/>
  <c r="Z39"/>
  <c r="AB39"/>
  <c r="AC39"/>
  <c r="AF39"/>
  <c r="AG39"/>
  <c r="AH39"/>
  <c r="AJ39"/>
  <c r="AK39"/>
  <c r="AO39"/>
  <c r="H39"/>
  <c r="AP39"/>
  <c r="I39"/>
  <c r="BD39"/>
  <c r="BF39"/>
  <c r="BH39"/>
  <c r="AD39"/>
  <c r="BJ39"/>
  <c r="I41"/>
  <c r="I40"/>
  <c r="E17" i="2"/>
  <c r="J41" i="1"/>
  <c r="J40"/>
  <c r="F17" i="2"/>
  <c r="I17"/>
  <c r="L41" i="1"/>
  <c r="L40"/>
  <c r="G17" i="2"/>
  <c r="Z41" i="1"/>
  <c r="AB41"/>
  <c r="AC41"/>
  <c r="AF41"/>
  <c r="AG41"/>
  <c r="AH41"/>
  <c r="AJ41"/>
  <c r="AS40"/>
  <c r="AK41"/>
  <c r="AT40"/>
  <c r="AL41"/>
  <c r="AU40"/>
  <c r="AO41"/>
  <c r="H41"/>
  <c r="H40"/>
  <c r="D17" i="2"/>
  <c r="AP41" i="1"/>
  <c r="AX41"/>
  <c r="BD41"/>
  <c r="BH41"/>
  <c r="AD41"/>
  <c r="BI41"/>
  <c r="AE41"/>
  <c r="BJ41"/>
  <c r="J43"/>
  <c r="J42"/>
  <c r="F18" i="2"/>
  <c r="I18" s="1"/>
  <c r="L43" i="1"/>
  <c r="L42"/>
  <c r="G18" i="2"/>
  <c r="Z43" i="1"/>
  <c r="AB43"/>
  <c r="AC43"/>
  <c r="AF43"/>
  <c r="AG43"/>
  <c r="AH43"/>
  <c r="AJ43"/>
  <c r="AS42"/>
  <c r="AK43"/>
  <c r="AT42"/>
  <c r="AO43"/>
  <c r="H43"/>
  <c r="H42"/>
  <c r="D18" i="2"/>
  <c r="AP43" i="1"/>
  <c r="AX43"/>
  <c r="BD43"/>
  <c r="BF43"/>
  <c r="BJ43"/>
  <c r="I45"/>
  <c r="J45"/>
  <c r="L45"/>
  <c r="BF45"/>
  <c r="Z45"/>
  <c r="AB45"/>
  <c r="AC45"/>
  <c r="AD45"/>
  <c r="AE45"/>
  <c r="AH45"/>
  <c r="AJ45"/>
  <c r="AK45"/>
  <c r="AL45"/>
  <c r="AO45"/>
  <c r="AW45"/>
  <c r="AP45"/>
  <c r="AX45"/>
  <c r="BD45"/>
  <c r="BH45"/>
  <c r="AF45"/>
  <c r="BI45"/>
  <c r="AG45"/>
  <c r="BJ45"/>
  <c r="J46"/>
  <c r="L46"/>
  <c r="BF46"/>
  <c r="Z46"/>
  <c r="AB46"/>
  <c r="AC46"/>
  <c r="AD46"/>
  <c r="AE46"/>
  <c r="AH46"/>
  <c r="AJ46"/>
  <c r="AS44"/>
  <c r="AK46"/>
  <c r="AL46"/>
  <c r="AO46"/>
  <c r="H46"/>
  <c r="AP46"/>
  <c r="AX46"/>
  <c r="BD46"/>
  <c r="BH46"/>
  <c r="AF46"/>
  <c r="BJ46"/>
  <c r="J48"/>
  <c r="AL48"/>
  <c r="L48"/>
  <c r="BF48"/>
  <c r="Z48"/>
  <c r="AB48"/>
  <c r="AC48"/>
  <c r="AD48"/>
  <c r="AE48"/>
  <c r="AF48"/>
  <c r="AG48"/>
  <c r="AJ48"/>
  <c r="AK48"/>
  <c r="AO48"/>
  <c r="H48"/>
  <c r="AP48"/>
  <c r="AX48"/>
  <c r="BD48"/>
  <c r="BJ48"/>
  <c r="AH48"/>
  <c r="J51"/>
  <c r="L51"/>
  <c r="BF51"/>
  <c r="Z51"/>
  <c r="AB51"/>
  <c r="AC51"/>
  <c r="AD51"/>
  <c r="AE51"/>
  <c r="AF51"/>
  <c r="AG51"/>
  <c r="AJ51"/>
  <c r="AK51"/>
  <c r="AL51"/>
  <c r="AO51"/>
  <c r="AW51"/>
  <c r="AP51"/>
  <c r="I51"/>
  <c r="BD51"/>
  <c r="BH51"/>
  <c r="BJ51"/>
  <c r="AH51"/>
  <c r="J52"/>
  <c r="L52"/>
  <c r="BF52"/>
  <c r="Z52"/>
  <c r="AB52"/>
  <c r="AC52"/>
  <c r="AD52"/>
  <c r="AE52"/>
  <c r="AF52"/>
  <c r="AG52"/>
  <c r="AJ52"/>
  <c r="AK52"/>
  <c r="AL52"/>
  <c r="AO52"/>
  <c r="H52"/>
  <c r="AP52"/>
  <c r="I52"/>
  <c r="BD52"/>
  <c r="BH52"/>
  <c r="BJ52"/>
  <c r="AH52"/>
  <c r="J53"/>
  <c r="L53"/>
  <c r="BF53"/>
  <c r="Z53"/>
  <c r="AB53"/>
  <c r="AC53"/>
  <c r="AD53"/>
  <c r="AE53"/>
  <c r="AF53"/>
  <c r="AG53"/>
  <c r="AJ53"/>
  <c r="AK53"/>
  <c r="AL53"/>
  <c r="AO53"/>
  <c r="AW53"/>
  <c r="AP53"/>
  <c r="BI53"/>
  <c r="BD53"/>
  <c r="BH53"/>
  <c r="BJ53"/>
  <c r="AH53"/>
  <c r="J54"/>
  <c r="AL54"/>
  <c r="L54"/>
  <c r="BF54"/>
  <c r="Z54"/>
  <c r="AB54"/>
  <c r="AC54"/>
  <c r="AD54"/>
  <c r="AE54"/>
  <c r="AF54"/>
  <c r="AG54"/>
  <c r="AJ54"/>
  <c r="AK54"/>
  <c r="AO54"/>
  <c r="H54"/>
  <c r="AP54"/>
  <c r="I54"/>
  <c r="BD54"/>
  <c r="BI54"/>
  <c r="BJ54"/>
  <c r="AH54"/>
  <c r="J55"/>
  <c r="AL55"/>
  <c r="L55"/>
  <c r="BF55"/>
  <c r="Z55"/>
  <c r="AB55"/>
  <c r="AC55"/>
  <c r="AD55"/>
  <c r="AE55"/>
  <c r="AF55"/>
  <c r="AG55"/>
  <c r="AJ55"/>
  <c r="AK55"/>
  <c r="AO55"/>
  <c r="AW55"/>
  <c r="AP55"/>
  <c r="I55"/>
  <c r="BD55"/>
  <c r="BI55"/>
  <c r="BJ55"/>
  <c r="AH55"/>
  <c r="J56"/>
  <c r="AL56"/>
  <c r="L56"/>
  <c r="BF56"/>
  <c r="Z56"/>
  <c r="AB56"/>
  <c r="AC56"/>
  <c r="AD56"/>
  <c r="AE56"/>
  <c r="AF56"/>
  <c r="AG56"/>
  <c r="AJ56"/>
  <c r="AK56"/>
  <c r="AO56"/>
  <c r="H56"/>
  <c r="AP56"/>
  <c r="I56"/>
  <c r="BD56"/>
  <c r="BJ56"/>
  <c r="AH56"/>
  <c r="J57"/>
  <c r="L57"/>
  <c r="BF57"/>
  <c r="Z57"/>
  <c r="AB57"/>
  <c r="AC57"/>
  <c r="AD57"/>
  <c r="AE57"/>
  <c r="AF57"/>
  <c r="AG57"/>
  <c r="AJ57"/>
  <c r="AK57"/>
  <c r="AL57"/>
  <c r="AO57"/>
  <c r="AW57"/>
  <c r="AP57"/>
  <c r="I57"/>
  <c r="BD57"/>
  <c r="BH57"/>
  <c r="BJ57"/>
  <c r="AH57"/>
  <c r="J58"/>
  <c r="J47" s="1"/>
  <c r="F20" i="2" s="1"/>
  <c r="I20" s="1"/>
  <c r="L58" i="1"/>
  <c r="BF58"/>
  <c r="Z58"/>
  <c r="AB58"/>
  <c r="AC58"/>
  <c r="AD58"/>
  <c r="AE58"/>
  <c r="AF58"/>
  <c r="C18" i="4" s="1"/>
  <c r="AG58" i="1"/>
  <c r="AJ58"/>
  <c r="AS47" s="1"/>
  <c r="AK58"/>
  <c r="AL58"/>
  <c r="AU47" s="1"/>
  <c r="AO58"/>
  <c r="H58"/>
  <c r="H47" s="1"/>
  <c r="D20" i="2" s="1"/>
  <c r="AP58" i="1"/>
  <c r="I58"/>
  <c r="BD58"/>
  <c r="BH58"/>
  <c r="BJ58"/>
  <c r="AH58"/>
  <c r="J59"/>
  <c r="L59"/>
  <c r="BF59"/>
  <c r="Z59"/>
  <c r="AB59"/>
  <c r="AC59"/>
  <c r="AD59"/>
  <c r="AE59"/>
  <c r="AF59"/>
  <c r="AG59"/>
  <c r="AJ59"/>
  <c r="AK59"/>
  <c r="AL59"/>
  <c r="AO59"/>
  <c r="AW59"/>
  <c r="AP59"/>
  <c r="I59"/>
  <c r="BD59"/>
  <c r="BH59"/>
  <c r="BJ59"/>
  <c r="AH59"/>
  <c r="J60"/>
  <c r="L60"/>
  <c r="BF60"/>
  <c r="Z60"/>
  <c r="AB60"/>
  <c r="AC60"/>
  <c r="AD60"/>
  <c r="AE60"/>
  <c r="AF60"/>
  <c r="AG60"/>
  <c r="AJ60"/>
  <c r="AK60"/>
  <c r="AL60"/>
  <c r="AO60"/>
  <c r="H60"/>
  <c r="AP60"/>
  <c r="I60"/>
  <c r="BD60"/>
  <c r="BH60"/>
  <c r="BJ60"/>
  <c r="AH60"/>
  <c r="J61"/>
  <c r="L61"/>
  <c r="BF61"/>
  <c r="Z61"/>
  <c r="AB61"/>
  <c r="AC61"/>
  <c r="AD61"/>
  <c r="AE61"/>
  <c r="AF61"/>
  <c r="AG61"/>
  <c r="AJ61"/>
  <c r="AK61"/>
  <c r="AL61"/>
  <c r="AO61"/>
  <c r="AW61"/>
  <c r="AP61"/>
  <c r="I61"/>
  <c r="AX61"/>
  <c r="BD61"/>
  <c r="BH61"/>
  <c r="BI61"/>
  <c r="BJ61"/>
  <c r="AH61"/>
  <c r="B2" i="2"/>
  <c r="E2"/>
  <c r="B4"/>
  <c r="E4"/>
  <c r="B6"/>
  <c r="E6"/>
  <c r="B8"/>
  <c r="E8"/>
  <c r="C2" i="5"/>
  <c r="F2"/>
  <c r="C4"/>
  <c r="F4"/>
  <c r="C6"/>
  <c r="F6"/>
  <c r="C8"/>
  <c r="F8"/>
  <c r="C10"/>
  <c r="F10"/>
  <c r="I10"/>
  <c r="I15"/>
  <c r="I16"/>
  <c r="I17"/>
  <c r="I18"/>
  <c r="I22"/>
  <c r="I23"/>
  <c r="I24"/>
  <c r="I25"/>
  <c r="I26"/>
  <c r="I35"/>
  <c r="I36"/>
  <c r="C2" i="3"/>
  <c r="F2"/>
  <c r="C4"/>
  <c r="F4"/>
  <c r="C6"/>
  <c r="F6"/>
  <c r="C8"/>
  <c r="F8"/>
  <c r="AT30" i="1"/>
  <c r="BH43"/>
  <c r="AD43"/>
  <c r="J44"/>
  <c r="F19" i="2"/>
  <c r="I19" s="1"/>
  <c r="BI46" i="1"/>
  <c r="AG46"/>
  <c r="AT44"/>
  <c r="AU44"/>
  <c r="BH48"/>
  <c r="BI51"/>
  <c r="BI52"/>
  <c r="BH54"/>
  <c r="BH55"/>
  <c r="BH56"/>
  <c r="BI57"/>
  <c r="BI58"/>
  <c r="BI59"/>
  <c r="BI60"/>
  <c r="BH33"/>
  <c r="AD33"/>
  <c r="BH31"/>
  <c r="AD31"/>
  <c r="AX29"/>
  <c r="BI24"/>
  <c r="AC24"/>
  <c r="BI22"/>
  <c r="AC22"/>
  <c r="AT18"/>
  <c r="BI19"/>
  <c r="AC19"/>
  <c r="BI17"/>
  <c r="AC17"/>
  <c r="I16"/>
  <c r="AS12"/>
  <c r="J12"/>
  <c r="F11" i="2" s="1"/>
  <c r="I11" s="1"/>
  <c r="BH15" i="1"/>
  <c r="AB15" s="1"/>
  <c r="BI13"/>
  <c r="AC13"/>
  <c r="BI56"/>
  <c r="AX60"/>
  <c r="AX59"/>
  <c r="AX58"/>
  <c r="AX57"/>
  <c r="AV57"/>
  <c r="AX56"/>
  <c r="AX55"/>
  <c r="AV55"/>
  <c r="AX54"/>
  <c r="AX53"/>
  <c r="AV53"/>
  <c r="AX52"/>
  <c r="AX51"/>
  <c r="I46"/>
  <c r="BI43"/>
  <c r="AE43"/>
  <c r="AW43"/>
  <c r="AV43"/>
  <c r="BI39"/>
  <c r="AE39"/>
  <c r="AW39"/>
  <c r="BI37"/>
  <c r="AE37"/>
  <c r="AW37"/>
  <c r="BI36"/>
  <c r="AE36"/>
  <c r="AW36"/>
  <c r="BC36"/>
  <c r="BI35"/>
  <c r="AE35"/>
  <c r="AW35"/>
  <c r="BI34"/>
  <c r="AE34"/>
  <c r="AW34"/>
  <c r="BC34"/>
  <c r="BI33"/>
  <c r="AE33"/>
  <c r="AW33"/>
  <c r="BI32"/>
  <c r="AE32"/>
  <c r="AW32"/>
  <c r="AV32"/>
  <c r="BI31"/>
  <c r="AE31"/>
  <c r="AW31"/>
  <c r="BI27"/>
  <c r="AC27"/>
  <c r="AW27"/>
  <c r="BC27"/>
  <c r="AX24"/>
  <c r="AV24"/>
  <c r="I22"/>
  <c r="I21"/>
  <c r="E13" i="2"/>
  <c r="AU18" i="1"/>
  <c r="I17"/>
  <c r="AX15"/>
  <c r="I13"/>
  <c r="I53"/>
  <c r="AW48"/>
  <c r="AV48"/>
  <c r="I44"/>
  <c r="E19" i="2"/>
  <c r="AL43" i="1"/>
  <c r="AU42"/>
  <c r="H20"/>
  <c r="H19"/>
  <c r="AT21"/>
  <c r="BH19"/>
  <c r="AB19"/>
  <c r="AS18"/>
  <c r="J18"/>
  <c r="F12" i="2"/>
  <c r="I12" s="1"/>
  <c r="AT12" i="1"/>
  <c r="BC32"/>
  <c r="J30"/>
  <c r="F16" i="2" s="1"/>
  <c r="I16" s="1"/>
  <c r="AV22" i="1"/>
  <c r="BC22"/>
  <c r="AV45"/>
  <c r="BC45"/>
  <c r="AV29"/>
  <c r="BC29"/>
  <c r="AV59"/>
  <c r="BC59"/>
  <c r="BC57"/>
  <c r="BC55"/>
  <c r="BC53"/>
  <c r="AV51"/>
  <c r="BC51"/>
  <c r="AV17"/>
  <c r="BC17"/>
  <c r="AV61"/>
  <c r="BC61"/>
  <c r="BC20"/>
  <c r="I47"/>
  <c r="E20" i="2" s="1"/>
  <c r="H61" i="1"/>
  <c r="AW60"/>
  <c r="H59"/>
  <c r="AW58"/>
  <c r="BC58" s="1"/>
  <c r="H57"/>
  <c r="AW56"/>
  <c r="H55"/>
  <c r="AW54"/>
  <c r="H53"/>
  <c r="AW52"/>
  <c r="H51"/>
  <c r="AW46"/>
  <c r="H45"/>
  <c r="H44"/>
  <c r="D19" i="2"/>
  <c r="L44" i="1"/>
  <c r="G19" i="2"/>
  <c r="I43" i="1"/>
  <c r="I42"/>
  <c r="E18" i="2"/>
  <c r="BF41" i="1"/>
  <c r="AW41"/>
  <c r="AX39"/>
  <c r="BC39"/>
  <c r="I38"/>
  <c r="I30" s="1"/>
  <c r="E16" i="2" s="1"/>
  <c r="AX37" i="1"/>
  <c r="I36"/>
  <c r="AX35"/>
  <c r="AV34"/>
  <c r="I34"/>
  <c r="AX33"/>
  <c r="BC33"/>
  <c r="I32"/>
  <c r="AX31"/>
  <c r="H29"/>
  <c r="H28"/>
  <c r="D15" i="2"/>
  <c r="L28" i="1"/>
  <c r="G15" i="2"/>
  <c r="I27" i="1"/>
  <c r="I26"/>
  <c r="E14" i="2"/>
  <c r="AW25" i="1"/>
  <c r="H24"/>
  <c r="AW23"/>
  <c r="H22"/>
  <c r="H21"/>
  <c r="D13" i="2"/>
  <c r="L21" i="1"/>
  <c r="G13" i="2"/>
  <c r="AV20" i="1"/>
  <c r="I20"/>
  <c r="I18"/>
  <c r="E12" i="2"/>
  <c r="AX19" i="1"/>
  <c r="BC19"/>
  <c r="H17"/>
  <c r="AW16"/>
  <c r="AW14"/>
  <c r="L12"/>
  <c r="G11" i="2"/>
  <c r="BC48" i="1"/>
  <c r="I48"/>
  <c r="BI48"/>
  <c r="AT47"/>
  <c r="L47"/>
  <c r="G20" i="2"/>
  <c r="C28" i="4"/>
  <c r="BC35" i="1"/>
  <c r="BC37"/>
  <c r="BC31"/>
  <c r="AV27"/>
  <c r="BC24"/>
  <c r="AV36"/>
  <c r="H18"/>
  <c r="D12" i="2"/>
  <c r="AV39" i="1"/>
  <c r="BC43"/>
  <c r="BC54"/>
  <c r="AV54"/>
  <c r="AV14"/>
  <c r="BC14"/>
  <c r="AV41"/>
  <c r="BC41"/>
  <c r="AV35"/>
  <c r="AV37"/>
  <c r="AV46"/>
  <c r="BC46"/>
  <c r="AV25"/>
  <c r="BC25"/>
  <c r="AV52"/>
  <c r="BC52"/>
  <c r="BC56"/>
  <c r="AV56"/>
  <c r="BC60"/>
  <c r="AV60"/>
  <c r="AV33"/>
  <c r="AV23"/>
  <c r="BC23"/>
  <c r="AV58"/>
  <c r="AV16"/>
  <c r="BC16"/>
  <c r="AV19"/>
  <c r="AV31"/>
  <c r="F22" i="4" l="1"/>
  <c r="C19"/>
  <c r="J62" i="1"/>
  <c r="C27" i="4"/>
  <c r="AS30" i="1"/>
  <c r="H15"/>
  <c r="AV15"/>
  <c r="BC15"/>
  <c r="I15"/>
  <c r="I12" s="1"/>
  <c r="E11" i="2" s="1"/>
  <c r="AU12" i="1"/>
  <c r="C20" i="4"/>
  <c r="C15"/>
  <c r="BH38" i="1"/>
  <c r="AD38" s="1"/>
  <c r="C16" i="4" s="1"/>
  <c r="AW38" i="1"/>
  <c r="F22" i="2"/>
  <c r="AX38" i="1"/>
  <c r="C14" i="4"/>
  <c r="C21"/>
  <c r="H13" i="1"/>
  <c r="BC13"/>
  <c r="AV13"/>
  <c r="F28" i="4"/>
  <c r="H12" i="1" l="1"/>
  <c r="D11" i="2" s="1"/>
  <c r="C22" i="4"/>
  <c r="H21" i="5" s="1"/>
  <c r="I21" s="1"/>
  <c r="AV38" i="1"/>
  <c r="BC38"/>
  <c r="I14" i="4" l="1"/>
  <c r="I22" s="1"/>
  <c r="C29" s="1"/>
  <c r="I27" i="5"/>
  <c r="F29" s="1"/>
  <c r="F29" i="4" l="1"/>
  <c r="I28"/>
  <c r="I29" l="1"/>
</calcChain>
</file>

<file path=xl/sharedStrings.xml><?xml version="1.0" encoding="utf-8"?>
<sst xmlns="http://schemas.openxmlformats.org/spreadsheetml/2006/main" count="632" uniqueCount="272">
  <si>
    <t>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</si>
  <si>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</si>
  <si>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</si>
  <si>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</si>
  <si>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</si>
  <si>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</si>
  <si>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</si>
  <si>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</si>
  <si>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</si>
  <si>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</si>
  <si>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</si>
  <si>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</si>
  <si>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</si>
  <si>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</si>
  <si>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</si>
  <si>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</si>
  <si>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</si>
  <si>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</si>
  <si>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</si>
  <si>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</si>
  <si>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</si>
  <si>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</si>
  <si>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</si>
  <si>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</si>
  <si>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</si>
  <si>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</si>
  <si>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</si>
  <si>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</si>
  <si>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</si>
  <si>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</si>
  <si>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</si>
  <si>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</si>
  <si>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</si>
  <si>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</si>
  <si>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</si>
  <si>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</si>
  <si>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</si>
  <si>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</si>
  <si>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</si>
  <si>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</si>
  <si>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</si>
  <si>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</si>
  <si>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</si>
  <si>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</si>
  <si>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</si>
  <si>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</si>
  <si>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</si>
  <si>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Poznámka:</t>
  </si>
  <si>
    <t>Objekt</t>
  </si>
  <si>
    <t>Kód</t>
  </si>
  <si>
    <t>111101112R00</t>
  </si>
  <si>
    <t>111201101R00</t>
  </si>
  <si>
    <t>113106241R00</t>
  </si>
  <si>
    <t>113107428R00</t>
  </si>
  <si>
    <t>113108408R00</t>
  </si>
  <si>
    <t>122201101R00</t>
  </si>
  <si>
    <t>122201109R00</t>
  </si>
  <si>
    <t>273361921RT8</t>
  </si>
  <si>
    <t>273351216R00</t>
  </si>
  <si>
    <t>273323611RT6</t>
  </si>
  <si>
    <t>273351215RT1</t>
  </si>
  <si>
    <t>320101112R00</t>
  </si>
  <si>
    <t>45</t>
  </si>
  <si>
    <t>451535111R00</t>
  </si>
  <si>
    <t>764</t>
  </si>
  <si>
    <t>764352297R00</t>
  </si>
  <si>
    <t>764352292R00</t>
  </si>
  <si>
    <t>764352203R00</t>
  </si>
  <si>
    <t>764352294R00</t>
  </si>
  <si>
    <t>764359291R00</t>
  </si>
  <si>
    <t>764359212R00</t>
  </si>
  <si>
    <t>764778113R00</t>
  </si>
  <si>
    <t>764778123RT3</t>
  </si>
  <si>
    <t>764778107RT3</t>
  </si>
  <si>
    <t>767</t>
  </si>
  <si>
    <t>767656260R00</t>
  </si>
  <si>
    <t>783</t>
  </si>
  <si>
    <t>783122510R00</t>
  </si>
  <si>
    <t>M43</t>
  </si>
  <si>
    <t>430471101R00</t>
  </si>
  <si>
    <t>430841208R00</t>
  </si>
  <si>
    <t>19426425</t>
  </si>
  <si>
    <t>13480815</t>
  </si>
  <si>
    <t>133301520000</t>
  </si>
  <si>
    <t>13530820</t>
  </si>
  <si>
    <t>14587296</t>
  </si>
  <si>
    <t>14587265</t>
  </si>
  <si>
    <t>62852057</t>
  </si>
  <si>
    <t>13483315</t>
  </si>
  <si>
    <t>13331838</t>
  </si>
  <si>
    <t>13380530</t>
  </si>
  <si>
    <t>Frýdlant p.p.č. 1876/1 k.ú.Frýdlant</t>
  </si>
  <si>
    <t>Zkrácený popis</t>
  </si>
  <si>
    <t>Rozměry</t>
  </si>
  <si>
    <t>Přípravné a přidružené práce</t>
  </si>
  <si>
    <t>Odstranění ruderálního porostu na svahu do 1:2</t>
  </si>
  <si>
    <t>Odstranění křovin i s kořeny na ploše do 1000 m2</t>
  </si>
  <si>
    <t>Rozebrání ploch komunikací ze silničních panelů</t>
  </si>
  <si>
    <t>Odstranění podkladu nad 50 m2,kam.těžené tl.28 cm</t>
  </si>
  <si>
    <t>Odstranění asfaltové vrstvy pl.nad 50 m2, tl. 8 cm</t>
  </si>
  <si>
    <t>Odkopávky a prokopávky</t>
  </si>
  <si>
    <t>Odkopávky nezapažené v hor. 3 do 100 m3</t>
  </si>
  <si>
    <t>Příplatek za lepivost - odkopávky v hor. 3</t>
  </si>
  <si>
    <t>Základy</t>
  </si>
  <si>
    <t>Výztuž základových desek ze svařovaných sítí</t>
  </si>
  <si>
    <t>Bednění stěn základových desek - odstranění</t>
  </si>
  <si>
    <t>Železobeton základ. desek vodostavební C 30/37</t>
  </si>
  <si>
    <t>Bednění stěn základových desek - zřízení</t>
  </si>
  <si>
    <t>Zdi přehradní a opěrné</t>
  </si>
  <si>
    <t>Osazení bet.a ŽB prefabrikátů hmotnosti do 5000 kg</t>
  </si>
  <si>
    <t>Podkladní a vedlejší konstrukce (kromě vozovek a železničního svršku)</t>
  </si>
  <si>
    <t>Podkladní vrstva tl. do 25 cm ze štěrku</t>
  </si>
  <si>
    <t>Konstrukce klempířské</t>
  </si>
  <si>
    <t>Montáž žlabů Pz půlkruhových ze segmentů</t>
  </si>
  <si>
    <t>Montáž háků Pz půlkruhových</t>
  </si>
  <si>
    <t>Žlaby z Pz plechu podokapní půlkruhové, rš 330 mm</t>
  </si>
  <si>
    <t>Montáž čel žlabů Pz půlkruhových</t>
  </si>
  <si>
    <t>Montáž kotlíku Pz oválného</t>
  </si>
  <si>
    <t>Kotlík z Pz plechu kónický pro trouby D do 125 mm</t>
  </si>
  <si>
    <t>PREFA žlab podokapní půlkruhový, RŠ 333 mm</t>
  </si>
  <si>
    <t>PREFA odpadní trouby kruhové, D 120 mm</t>
  </si>
  <si>
    <t>PREFA, kotlík žlabový kulatý, žlab 333 mm, D 120mm</t>
  </si>
  <si>
    <t>Konstrukce doplňkové stavební (zámečnické)</t>
  </si>
  <si>
    <t>Montáž vrat skládacích,ocel.konstr.,4kř.,nad 32 m2</t>
  </si>
  <si>
    <t>Nátěry</t>
  </si>
  <si>
    <t>Nátěr syntetický OK "A" 2x + 1x email</t>
  </si>
  <si>
    <t>Montáže ocelových konstrukcí</t>
  </si>
  <si>
    <t>Lehké OK, otevřené obj., HP 12/C 12 x 60 x 4,65 m</t>
  </si>
  <si>
    <t>Krytina tvarov. plech 1000x50x0,8 mm, šroub M 6x15</t>
  </si>
  <si>
    <t>Ostatní materiál</t>
  </si>
  <si>
    <t>LEGO Blok LBA1 160x160x80 cm</t>
  </si>
  <si>
    <t>LEGO Blok LBA3 80x80x80 cm</t>
  </si>
  <si>
    <t>Plech Al 99,5 profil KOB 1003 tl. 0,6mm</t>
  </si>
  <si>
    <t>Tyč průřezu I 200, hrubé, jakost oceli S235</t>
  </si>
  <si>
    <t>Úhelník rovnoramenný L jakost S235  50x50x6 mm</t>
  </si>
  <si>
    <t>Ocel široká jakost S235 JRG2  300x10 mm</t>
  </si>
  <si>
    <t>Profil čtvercový uzavř.svařovaný  S235  100 x 4 mm</t>
  </si>
  <si>
    <t>Profil čtvercový uzavř.svařovaný  S235  50 x 5 mm</t>
  </si>
  <si>
    <t>ONDUCLAIR deska průsv PC 2000x1100 mm trapéz 75/18</t>
  </si>
  <si>
    <t>Tyč průřezu U 200, hrubé, jakost oceli S235</t>
  </si>
  <si>
    <t>Úhelník rovnoramenný L jakost S235 100x100x10 mm</t>
  </si>
  <si>
    <t>Tyč průřezu I 160, střední, jakost oceli S235</t>
  </si>
  <si>
    <t>Doba výstavby:</t>
  </si>
  <si>
    <t>Začátek výstavby:</t>
  </si>
  <si>
    <t>Konec výstavby:</t>
  </si>
  <si>
    <t>Zpracováno dne:</t>
  </si>
  <si>
    <t>MJ</t>
  </si>
  <si>
    <t>m2</t>
  </si>
  <si>
    <t>m3</t>
  </si>
  <si>
    <t>t</t>
  </si>
  <si>
    <t>m</t>
  </si>
  <si>
    <t>kus</t>
  </si>
  <si>
    <t>kg</t>
  </si>
  <si>
    <t>Množství</t>
  </si>
  <si>
    <t>Cena/MJ</t>
  </si>
  <si>
    <t>(Kč)</t>
  </si>
  <si>
    <t>Objednatel:</t>
  </si>
  <si>
    <t>Projektant:</t>
  </si>
  <si>
    <t>Zhotovitel:</t>
  </si>
  <si>
    <t>Zpracoval:</t>
  </si>
  <si>
    <t>Náklady (Kč)</t>
  </si>
  <si>
    <t>Dodávka</t>
  </si>
  <si>
    <t>Celkem:</t>
  </si>
  <si>
    <t> </t>
  </si>
  <si>
    <t>Montáž</t>
  </si>
  <si>
    <t>Celkem</t>
  </si>
  <si>
    <t>Hmotnost (t)</t>
  </si>
  <si>
    <t>Jednot.</t>
  </si>
  <si>
    <t>Cenová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</si>
  <si>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</si>
  <si>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</si>
  <si>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</si>
  <si>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</si>
  <si>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</si>
  <si>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</si>
  <si>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</si>
  <si>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</si>
  <si>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</si>
  <si>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</si>
  <si>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0</t>
  </si>
  <si>
    <t>11_</t>
  </si>
  <si>
    <t>12_</t>
  </si>
  <si>
    <t>27_</t>
  </si>
  <si>
    <t>32_</t>
  </si>
  <si>
    <t>45_</t>
  </si>
  <si>
    <t>764_</t>
  </si>
  <si>
    <t>767_</t>
  </si>
  <si>
    <t>783_</t>
  </si>
  <si>
    <t>M43_</t>
  </si>
  <si>
    <t>Z99999_</t>
  </si>
  <si>
    <t>1_</t>
  </si>
  <si>
    <t>2_</t>
  </si>
  <si>
    <t>3_</t>
  </si>
  <si>
    <t>4_</t>
  </si>
  <si>
    <t>76_</t>
  </si>
  <si>
    <t>78_</t>
  </si>
  <si>
    <t>9_</t>
  </si>
  <si>
    <t>Z_</t>
  </si>
  <si>
    <t>_</t>
  </si>
  <si>
    <t>MAT</t>
  </si>
  <si>
    <t>WORK</t>
  </si>
  <si>
    <t>CELK</t>
  </si>
  <si>
    <t>Stavební rozpočet - rekapitulace</t>
  </si>
  <si>
    <t>Náklady (Kč) - dodávka</t>
  </si>
  <si>
    <t>Náklady (Kč) - Montáž</t>
  </si>
  <si>
    <t>Náklady (Kč) - celkem</t>
  </si>
  <si>
    <t>Celková hmotnost (t)</t>
  </si>
  <si>
    <t>T</t>
  </si>
  <si>
    <t>Výkaz výměr</t>
  </si>
  <si>
    <t>Potřebné množství</t>
  </si>
  <si>
    <t>Rozpočtové náklady v Kč</t>
  </si>
  <si>
    <t>A</t>
  </si>
  <si>
    <t>HSV</t>
  </si>
  <si>
    <t>PSV</t>
  </si>
  <si>
    <t>"M"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</si>
  <si>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</si>
  <si>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</si>
  <si>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</si>
  <si>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</si>
  <si>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</si>
  <si>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</si>
  <si>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</si>
  <si>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</si>
  <si>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</si>
  <si>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</si>
  <si>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</si>
  <si>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</si>
  <si>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</si>
  <si>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</si>
  <si>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</si>
  <si>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</si>
  <si>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</si>
  <si>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</si>
  <si>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</si>
  <si>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</si>
  <si>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</si>
  <si>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</si>
  <si>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</si>
  <si>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</si>
  <si>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</si>
  <si>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</si>
  <si>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</si>
  <si>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</si>
  <si>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</si>
  <si>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</si>
  <si>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</si>
  <si>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</si>
  <si>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</si>
  <si>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</si>
  <si>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</si>
  <si>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</si>
  <si>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</si>
  <si>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</si>
  <si>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Vedlejší rozpočtové náklady VRN</t>
  </si>
  <si>
    <t>Doplňkové náklady DN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</si>
  <si>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</si>
  <si>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</si>
  <si>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</si>
  <si>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</si>
  <si>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</si>
  <si>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</si>
  <si>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Vedlejší a ostatní rozpočtové náklady</t>
  </si>
  <si>
    <t>Kč</t>
  </si>
  <si>
    <t>%</t>
  </si>
  <si>
    <t>Základna</t>
  </si>
  <si>
    <t>Sklad na posypovou sůl včetně přístřešku na p.p.č. 1876/1 k.ú. Frýdlant -Silnice LK a.s.</t>
  </si>
  <si>
    <t> Silnice LK a.s.</t>
  </si>
  <si>
    <t>Sklad posypové soli včetně přístřešku</t>
  </si>
  <si>
    <t>RTS II / 2020</t>
  </si>
  <si>
    <t>LEGO Blok   LBA2 120x80x80 cm</t>
  </si>
  <si>
    <t>LEGO Blok LBA4 40x80x80 cm</t>
  </si>
  <si>
    <t>*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</si>
</sst>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color indexed="8"/>
      <name val="Arial"/>
      <charset val="238"/>
    </font>
    <font>
      <sz val="18"/>
      <color indexed="8"/>
      <name val="Arial"/>
      <charset val="238"/>
    </font>
    <font>
      <b/>
      <sz val="10"/>
      <color indexed="8"/>
      <name val="Arial"/>
      <charset val="238"/>
    </font>
    <font>
      <sz val="10"/>
      <color indexed="56"/>
      <name val="Arial"/>
      <charset val="238"/>
    </font>
    <font>
      <sz val="10"/>
      <color indexed="61"/>
      <name val="Arial"/>
      <charset val="238"/>
    </font>
    <font>
      <sz val="10"/>
      <color indexed="62"/>
      <name val="Arial"/>
      <charset val="238"/>
    </font>
    <font>
      <i/>
      <sz val="8"/>
      <color indexed="8"/>
      <name val="Arial"/>
      <charset val="238"/>
    </font>
    <font>
      <b/>
      <sz val="10"/>
      <color indexed="56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2"/>
      <color indexed="8"/>
      <name val="Arial"/>
      <charset val="238"/>
    </font>
    <font>
      <sz val="12"/>
      <color indexed="8"/>
      <name val="Arial"/>
      <charset val="238"/>
    </font>
    <font>
      <b/>
      <sz val="11"/>
      <color indexed="8"/>
      <name val="Arial"/>
      <charset val="238"/>
    </font>
    <font>
      <sz val="10"/>
      <color indexed="62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1" fillId="0" borderId="0" xfId="0" applyFont="1" applyAlignment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4" fillId="2" borderId="3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6" fillId="0" borderId="4" xfId="0" applyNumberFormat="1" applyFont="1" applyFill="1" applyBorder="1" applyAlignment="1" applyProtection="1">
      <alignment horizontal="right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right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6" fillId="0" borderId="4" xfId="0" applyNumberFormat="1" applyFont="1" applyFill="1" applyBorder="1" applyAlignment="1" applyProtection="1">
      <alignment horizontal="right" vertical="center"/>
    </xf>
    <xf numFmtId="0" fontId="1" fillId="0" borderId="15" xfId="0" applyNumberFormat="1" applyFont="1" applyFill="1" applyBorder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8" fillId="2" borderId="3" xfId="0" applyNumberFormat="1" applyFont="1" applyFill="1" applyBorder="1" applyAlignment="1" applyProtection="1">
      <alignment horizontal="right" vertical="center"/>
    </xf>
    <xf numFmtId="4" fontId="8" fillId="2" borderId="0" xfId="0" applyNumberFormat="1" applyFont="1" applyFill="1" applyBorder="1" applyAlignment="1" applyProtection="1">
      <alignment horizontal="right" vertical="center"/>
    </xf>
    <xf numFmtId="49" fontId="3" fillId="0" borderId="17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left" vertical="center"/>
    </xf>
    <xf numFmtId="49" fontId="3" fillId="0" borderId="19" xfId="0" applyNumberFormat="1" applyFont="1" applyFill="1" applyBorder="1" applyAlignment="1" applyProtection="1">
      <alignment horizontal="left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17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vertical="center"/>
    </xf>
    <xf numFmtId="49" fontId="3" fillId="0" borderId="19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vertical="center"/>
    </xf>
    <xf numFmtId="49" fontId="10" fillId="3" borderId="20" xfId="0" applyNumberFormat="1" applyFont="1" applyFill="1" applyBorder="1" applyAlignment="1" applyProtection="1">
      <alignment horizontal="center" vertical="center"/>
    </xf>
    <xf numFmtId="49" fontId="11" fillId="0" borderId="21" xfId="0" applyNumberFormat="1" applyFont="1" applyFill="1" applyBorder="1" applyAlignment="1" applyProtection="1">
      <alignment horizontal="left" vertical="center"/>
    </xf>
    <xf numFmtId="49" fontId="11" fillId="0" borderId="22" xfId="0" applyNumberFormat="1" applyFont="1" applyFill="1" applyBorder="1" applyAlignment="1" applyProtection="1">
      <alignment horizontal="left" vertical="center"/>
    </xf>
    <xf numFmtId="0" fontId="1" fillId="0" borderId="2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12" fillId="0" borderId="20" xfId="0" applyNumberFormat="1" applyFont="1" applyFill="1" applyBorder="1" applyAlignment="1" applyProtection="1">
      <alignment horizontal="left"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25" xfId="0" applyNumberFormat="1" applyFont="1" applyFill="1" applyBorder="1" applyAlignment="1" applyProtection="1">
      <alignment vertical="center"/>
    </xf>
    <xf numFmtId="4" fontId="12" fillId="0" borderId="20" xfId="0" applyNumberFormat="1" applyFont="1" applyFill="1" applyBorder="1" applyAlignment="1" applyProtection="1">
      <alignment horizontal="right" vertical="center"/>
    </xf>
    <xf numFmtId="49" fontId="12" fillId="0" borderId="20" xfId="0" applyNumberFormat="1" applyFont="1" applyFill="1" applyBorder="1" applyAlignment="1" applyProtection="1">
      <alignment horizontal="right" vertical="center"/>
    </xf>
    <xf numFmtId="4" fontId="12" fillId="0" borderId="11" xfId="0" applyNumberFormat="1" applyFont="1" applyFill="1" applyBorder="1" applyAlignment="1" applyProtection="1">
      <alignment horizontal="right" vertical="center"/>
    </xf>
    <xf numFmtId="0" fontId="1" fillId="0" borderId="26" xfId="0" applyNumberFormat="1" applyFont="1" applyFill="1" applyBorder="1" applyAlignment="1" applyProtection="1">
      <alignment vertical="center"/>
    </xf>
    <xf numFmtId="0" fontId="1" fillId="0" borderId="27" xfId="0" applyNumberFormat="1" applyFont="1" applyFill="1" applyBorder="1" applyAlignment="1" applyProtection="1">
      <alignment vertical="center"/>
    </xf>
    <xf numFmtId="4" fontId="11" fillId="3" borderId="28" xfId="0" applyNumberFormat="1" applyFont="1" applyFill="1" applyBorder="1" applyAlignment="1" applyProtection="1">
      <alignment horizontal="right" vertical="center"/>
    </xf>
    <xf numFmtId="0" fontId="1" fillId="0" borderId="29" xfId="0" applyNumberFormat="1" applyFont="1" applyFill="1" applyBorder="1" applyAlignment="1" applyProtection="1">
      <alignment vertical="center"/>
    </xf>
    <xf numFmtId="0" fontId="1" fillId="0" borderId="30" xfId="0" applyNumberFormat="1" applyFont="1" applyFill="1" applyBorder="1" applyAlignment="1" applyProtection="1">
      <alignment vertical="center"/>
    </xf>
    <xf numFmtId="49" fontId="3" fillId="0" borderId="31" xfId="0" applyNumberFormat="1" applyFont="1" applyFill="1" applyBorder="1" applyAlignment="1" applyProtection="1">
      <alignment horizontal="right" vertical="center"/>
    </xf>
    <xf numFmtId="4" fontId="1" fillId="0" borderId="20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9" fontId="3" fillId="0" borderId="32" xfId="0" applyNumberFormat="1" applyFont="1" applyFill="1" applyBorder="1" applyAlignment="1" applyProtection="1">
      <alignment horizontal="left" vertical="center"/>
    </xf>
    <xf numFmtId="49" fontId="1" fillId="0" borderId="20" xfId="0" applyNumberFormat="1" applyFont="1" applyFill="1" applyBorder="1" applyAlignment="1" applyProtection="1">
      <alignment horizontal="left" vertical="center"/>
    </xf>
    <xf numFmtId="49" fontId="1" fillId="0" borderId="11" xfId="0" applyNumberFormat="1" applyFont="1" applyFill="1" applyBorder="1" applyAlignment="1" applyProtection="1">
      <alignment horizontal="left" vertical="center"/>
    </xf>
    <xf numFmtId="49" fontId="3" fillId="0" borderId="32" xfId="0" applyNumberFormat="1" applyFont="1" applyFill="1" applyBorder="1" applyAlignment="1" applyProtection="1">
      <alignment horizontal="right" vertical="center"/>
    </xf>
    <xf numFmtId="4" fontId="3" fillId="0" borderId="32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5" xfId="0" applyNumberFormat="1" applyFont="1" applyFill="1" applyBorder="1" applyAlignment="1" applyProtection="1">
      <alignment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NumberFormat="1" applyFont="1" applyFill="1" applyBorder="1" applyAlignment="1" applyProtection="1">
      <alignment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" fontId="8" fillId="2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4" fontId="6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vertical="center"/>
      <protection locked="0"/>
    </xf>
    <xf numFmtId="4" fontId="3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1" fillId="0" borderId="33" xfId="0" applyNumberFormat="1" applyFont="1" applyFill="1" applyBorder="1" applyAlignment="1" applyProtection="1">
      <alignment horizontal="left" vertical="center" wrapText="1"/>
    </xf>
    <xf numFmtId="0" fontId="1" fillId="0" borderId="1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0" fontId="1" fillId="0" borderId="24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37" xfId="0" applyNumberFormat="1" applyFont="1" applyFill="1" applyBorder="1" applyAlignment="1" applyProtection="1">
      <alignment horizontal="left" vertical="center"/>
    </xf>
    <xf numFmtId="0" fontId="1" fillId="0" borderId="3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38" xfId="0" applyNumberFormat="1" applyFont="1" applyFill="1" applyBorder="1" applyAlignment="1" applyProtection="1">
      <alignment horizontal="left" vertical="center"/>
    </xf>
    <xf numFmtId="49" fontId="3" fillId="0" borderId="39" xfId="0" applyNumberFormat="1" applyFont="1" applyFill="1" applyBorder="1" applyAlignment="1" applyProtection="1">
      <alignment horizontal="left" vertical="center"/>
    </xf>
    <xf numFmtId="0" fontId="3" fillId="0" borderId="4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1" fillId="0" borderId="24" xfId="0" applyNumberFormat="1" applyFont="1" applyFill="1" applyBorder="1" applyAlignment="1" applyProtection="1">
      <alignment horizontal="left" vertical="center"/>
    </xf>
    <xf numFmtId="49" fontId="1" fillId="0" borderId="27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 wrapText="1"/>
    </xf>
    <xf numFmtId="0" fontId="1" fillId="0" borderId="41" xfId="0" applyNumberFormat="1" applyFont="1" applyFill="1" applyBorder="1" applyAlignment="1" applyProtection="1">
      <alignment horizontal="left" vertical="center"/>
    </xf>
    <xf numFmtId="49" fontId="9" fillId="0" borderId="42" xfId="0" applyNumberFormat="1" applyFont="1" applyFill="1" applyBorder="1" applyAlignment="1" applyProtection="1">
      <alignment horizontal="center" vertical="center"/>
    </xf>
    <xf numFmtId="0" fontId="9" fillId="0" borderId="42" xfId="0" applyNumberFormat="1" applyFont="1" applyFill="1" applyBorder="1" applyAlignment="1" applyProtection="1">
      <alignment horizontal="center" vertical="center"/>
    </xf>
    <xf numFmtId="49" fontId="13" fillId="0" borderId="43" xfId="0" applyNumberFormat="1" applyFont="1" applyFill="1" applyBorder="1" applyAlignment="1" applyProtection="1">
      <alignment horizontal="left" vertical="center"/>
    </xf>
    <xf numFmtId="0" fontId="13" fillId="0" borderId="28" xfId="0" applyNumberFormat="1" applyFont="1" applyFill="1" applyBorder="1" applyAlignment="1" applyProtection="1">
      <alignment horizontal="left" vertical="center"/>
    </xf>
    <xf numFmtId="49" fontId="12" fillId="0" borderId="43" xfId="0" applyNumberFormat="1" applyFont="1" applyFill="1" applyBorder="1" applyAlignment="1" applyProtection="1">
      <alignment horizontal="left" vertical="center"/>
    </xf>
    <xf numFmtId="0" fontId="12" fillId="0" borderId="28" xfId="0" applyNumberFormat="1" applyFont="1" applyFill="1" applyBorder="1" applyAlignment="1" applyProtection="1">
      <alignment horizontal="left" vertical="center"/>
    </xf>
    <xf numFmtId="49" fontId="11" fillId="0" borderId="43" xfId="0" applyNumberFormat="1" applyFont="1" applyFill="1" applyBorder="1" applyAlignment="1" applyProtection="1">
      <alignment horizontal="left" vertical="center"/>
    </xf>
    <xf numFmtId="0" fontId="11" fillId="0" borderId="28" xfId="0" applyNumberFormat="1" applyFont="1" applyFill="1" applyBorder="1" applyAlignment="1" applyProtection="1">
      <alignment horizontal="left" vertical="center"/>
    </xf>
    <xf numFmtId="49" fontId="11" fillId="3" borderId="43" xfId="0" applyNumberFormat="1" applyFont="1" applyFill="1" applyBorder="1" applyAlignment="1" applyProtection="1">
      <alignment horizontal="left" vertical="center"/>
    </xf>
    <xf numFmtId="0" fontId="11" fillId="3" borderId="42" xfId="0" applyNumberFormat="1" applyFont="1" applyFill="1" applyBorder="1" applyAlignment="1" applyProtection="1">
      <alignment horizontal="left" vertical="center"/>
    </xf>
    <xf numFmtId="49" fontId="12" fillId="0" borderId="44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45" xfId="0" applyNumberFormat="1" applyFont="1" applyFill="1" applyBorder="1" applyAlignment="1" applyProtection="1">
      <alignment horizontal="left" vertical="center"/>
    </xf>
    <xf numFmtId="49" fontId="12" fillId="0" borderId="16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46" xfId="0" applyNumberFormat="1" applyFont="1" applyFill="1" applyBorder="1" applyAlignment="1" applyProtection="1">
      <alignment horizontal="left" vertical="center"/>
    </xf>
    <xf numFmtId="49" fontId="12" fillId="0" borderId="47" xfId="0" applyNumberFormat="1" applyFont="1" applyFill="1" applyBorder="1" applyAlignment="1" applyProtection="1">
      <alignment horizontal="left" vertical="center"/>
    </xf>
    <xf numFmtId="0" fontId="12" fillId="0" borderId="30" xfId="0" applyNumberFormat="1" applyFont="1" applyFill="1" applyBorder="1" applyAlignment="1" applyProtection="1">
      <alignment horizontal="left" vertical="center"/>
    </xf>
    <xf numFmtId="0" fontId="12" fillId="0" borderId="48" xfId="0" applyNumberFormat="1" applyFont="1" applyFill="1" applyBorder="1" applyAlignment="1" applyProtection="1">
      <alignment horizontal="left" vertical="center"/>
    </xf>
    <xf numFmtId="49" fontId="11" fillId="0" borderId="30" xfId="0" applyNumberFormat="1" applyFont="1" applyFill="1" applyBorder="1" applyAlignment="1" applyProtection="1">
      <alignment horizontal="left" vertical="center"/>
    </xf>
    <xf numFmtId="0" fontId="11" fillId="0" borderId="30" xfId="0" applyNumberFormat="1" applyFont="1" applyFill="1" applyBorder="1" applyAlignment="1" applyProtection="1">
      <alignment horizontal="left" vertical="center"/>
    </xf>
    <xf numFmtId="49" fontId="3" fillId="0" borderId="34" xfId="0" applyNumberFormat="1" applyFont="1" applyFill="1" applyBorder="1" applyAlignment="1" applyProtection="1">
      <alignment horizontal="left" vertical="center"/>
    </xf>
    <xf numFmtId="0" fontId="3" fillId="0" borderId="35" xfId="0" applyNumberFormat="1" applyFont="1" applyFill="1" applyBorder="1" applyAlignment="1" applyProtection="1">
      <alignment horizontal="left" vertical="center"/>
    </xf>
    <xf numFmtId="0" fontId="3" fillId="0" borderId="36" xfId="0" applyNumberFormat="1" applyFont="1" applyFill="1" applyBorder="1" applyAlignment="1" applyProtection="1">
      <alignment horizontal="left" vertical="center"/>
    </xf>
    <xf numFmtId="49" fontId="1" fillId="0" borderId="43" xfId="0" applyNumberFormat="1" applyFont="1" applyFill="1" applyBorder="1" applyAlignment="1" applyProtection="1">
      <alignment horizontal="left" vertical="center"/>
    </xf>
    <xf numFmtId="0" fontId="1" fillId="0" borderId="42" xfId="0" applyNumberFormat="1" applyFont="1" applyFill="1" applyBorder="1" applyAlignment="1" applyProtection="1">
      <alignment horizontal="left" vertical="center"/>
    </xf>
    <xf numFmtId="0" fontId="1" fillId="0" borderId="28" xfId="0" applyNumberFormat="1" applyFont="1" applyFill="1" applyBorder="1" applyAlignment="1" applyProtection="1">
      <alignment horizontal="left" vertical="center"/>
    </xf>
    <xf numFmtId="49" fontId="1" fillId="0" borderId="49" xfId="0" applyNumberFormat="1" applyFont="1" applyFill="1" applyBorder="1" applyAlignment="1" applyProtection="1">
      <alignment horizontal="left" vertical="center"/>
    </xf>
    <xf numFmtId="0" fontId="1" fillId="0" borderId="23" xfId="0" applyNumberFormat="1" applyFont="1" applyFill="1" applyBorder="1" applyAlignment="1" applyProtection="1">
      <alignment horizontal="left" vertical="center"/>
    </xf>
    <xf numFmtId="0" fontId="1" fillId="0" borderId="50" xfId="0" applyNumberFormat="1" applyFont="1" applyFill="1" applyBorder="1" applyAlignment="1" applyProtection="1">
      <alignment horizontal="left" vertical="center"/>
    </xf>
    <xf numFmtId="49" fontId="3" fillId="0" borderId="51" xfId="0" applyNumberFormat="1" applyFont="1" applyFill="1" applyBorder="1" applyAlignment="1" applyProtection="1">
      <alignment horizontal="left" vertical="center"/>
    </xf>
    <xf numFmtId="0" fontId="3" fillId="0" borderId="29" xfId="0" applyNumberFormat="1" applyFont="1" applyFill="1" applyBorder="1" applyAlignment="1" applyProtection="1">
      <alignment horizontal="left" vertical="center"/>
    </xf>
    <xf numFmtId="0" fontId="3" fillId="0" borderId="52" xfId="0" applyNumberFormat="1" applyFont="1" applyFill="1" applyBorder="1" applyAlignment="1" applyProtection="1">
      <alignment horizontal="left" vertical="center"/>
    </xf>
    <xf numFmtId="49" fontId="11" fillId="0" borderId="51" xfId="0" applyNumberFormat="1" applyFont="1" applyFill="1" applyBorder="1" applyAlignment="1" applyProtection="1">
      <alignment horizontal="left" vertical="center"/>
    </xf>
    <xf numFmtId="0" fontId="11" fillId="0" borderId="29" xfId="0" applyNumberFormat="1" applyFont="1" applyFill="1" applyBorder="1" applyAlignment="1" applyProtection="1">
      <alignment horizontal="left" vertical="center"/>
    </xf>
    <xf numFmtId="0" fontId="11" fillId="0" borderId="52" xfId="0" applyNumberFormat="1" applyFont="1" applyFill="1" applyBorder="1" applyAlignment="1" applyProtection="1">
      <alignment horizontal="left" vertical="center"/>
    </xf>
    <xf numFmtId="4" fontId="11" fillId="0" borderId="51" xfId="0" applyNumberFormat="1" applyFont="1" applyFill="1" applyBorder="1" applyAlignment="1" applyProtection="1">
      <alignment horizontal="right" vertical="center"/>
    </xf>
    <xf numFmtId="0" fontId="11" fillId="0" borderId="29" xfId="0" applyNumberFormat="1" applyFont="1" applyFill="1" applyBorder="1" applyAlignment="1" applyProtection="1">
      <alignment horizontal="right" vertical="center"/>
    </xf>
    <xf numFmtId="0" fontId="11" fillId="0" borderId="52" xfId="0" applyNumberFormat="1" applyFont="1" applyFill="1" applyBorder="1" applyAlignment="1" applyProtection="1">
      <alignment horizontal="righ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9" fontId="3" fillId="0" borderId="34" xfId="0" applyNumberFormat="1" applyFont="1" applyFill="1" applyBorder="1" applyAlignment="1" applyProtection="1">
      <alignment horizontal="center" vertical="center"/>
    </xf>
    <xf numFmtId="0" fontId="3" fillId="0" borderId="35" xfId="0" applyNumberFormat="1" applyFont="1" applyFill="1" applyBorder="1" applyAlignment="1" applyProtection="1">
      <alignment horizontal="center" vertical="center"/>
    </xf>
    <xf numFmtId="0" fontId="3" fillId="0" borderId="36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0" fontId="15" fillId="0" borderId="16" xfId="0" applyNumberFormat="1" applyFont="1" applyFill="1" applyBorder="1" applyAlignment="1" applyProtection="1">
      <alignment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64"/>
  <sheetViews>
    <sheetView tabSelected="1" zoomScale="93" zoomScaleNormal="93" workbookViewId="0">
      <pane ySplit="11" topLeftCell="A12" activePane="bottomLeft" state="frozenSplit"/>
      <selection pane="bottomLeft" activeCell="G16" sqref="G16"/>
    </sheetView>
  </sheetViews>
  <sheetFormatPr defaultColWidth="11.5703125" defaultRowHeight="12.75"/>
  <cols>
    <col min="1" max="1" width="3.7109375" style="73" customWidth="1"/>
    <col min="2" max="2" width="7.5703125" style="73" customWidth="1"/>
    <col min="3" max="3" width="14.28515625" style="73" customWidth="1"/>
    <col min="4" max="4" width="49.140625" style="73" customWidth="1"/>
    <col min="5" max="5" width="4.28515625" style="73" customWidth="1"/>
    <col min="6" max="6" width="12.85546875" style="73" customWidth="1"/>
    <col min="7" max="7" width="13.85546875" style="73" customWidth="1"/>
    <col min="8" max="8" width="16.140625" style="73" customWidth="1"/>
    <col min="9" max="10" width="14.28515625" style="73" customWidth="1"/>
    <col min="11" max="11" width="13.85546875" style="73" customWidth="1"/>
    <col min="12" max="12" width="12.5703125" style="73" customWidth="1"/>
    <col min="13" max="13" width="13.7109375" style="73" customWidth="1"/>
    <col min="14" max="24" width="11.5703125" style="73"/>
    <col min="25" max="62" width="12.140625" style="73" hidden="1" customWidth="1"/>
    <col min="63" max="16384" width="11.5703125" style="73"/>
  </cols>
  <sheetData>
    <row r="1" spans="1:62" ht="72.95" customHeight="1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62">
      <c r="A2" s="97" t="s">
        <v>1</v>
      </c>
      <c r="B2" s="104"/>
      <c r="C2" s="104"/>
      <c r="D2" s="99" t="s">
        <v>265</v>
      </c>
      <c r="E2" s="161" t="s">
        <v>142</v>
      </c>
      <c r="F2" s="104"/>
      <c r="G2" s="161" t="s">
        <v>6</v>
      </c>
      <c r="H2" s="102" t="s">
        <v>156</v>
      </c>
      <c r="I2" s="161" t="s">
        <v>266</v>
      </c>
      <c r="J2" s="104"/>
      <c r="K2" s="104"/>
      <c r="L2" s="104"/>
      <c r="M2" s="105"/>
      <c r="N2" s="74"/>
    </row>
    <row r="3" spans="1:62">
      <c r="A3" s="98"/>
      <c r="B3" s="103"/>
      <c r="C3" s="103"/>
      <c r="D3" s="101"/>
      <c r="E3" s="103"/>
      <c r="F3" s="103"/>
      <c r="G3" s="103"/>
      <c r="H3" s="103"/>
      <c r="I3" s="103"/>
      <c r="J3" s="103"/>
      <c r="K3" s="103"/>
      <c r="L3" s="103"/>
      <c r="M3" s="106"/>
      <c r="N3" s="74"/>
    </row>
    <row r="4" spans="1:62">
      <c r="A4" s="107" t="s">
        <v>2</v>
      </c>
      <c r="B4" s="103"/>
      <c r="C4" s="103"/>
      <c r="D4" s="108" t="s">
        <v>267</v>
      </c>
      <c r="E4" s="111" t="s">
        <v>143</v>
      </c>
      <c r="F4" s="103"/>
      <c r="G4" s="111"/>
      <c r="H4" s="108" t="s">
        <v>157</v>
      </c>
      <c r="I4" s="111" t="s">
        <v>163</v>
      </c>
      <c r="J4" s="103"/>
      <c r="K4" s="103"/>
      <c r="L4" s="103"/>
      <c r="M4" s="106"/>
      <c r="N4" s="74"/>
    </row>
    <row r="5" spans="1:62">
      <c r="A5" s="98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6"/>
      <c r="N5" s="74"/>
    </row>
    <row r="6" spans="1:62">
      <c r="A6" s="107" t="s">
        <v>3</v>
      </c>
      <c r="B6" s="103"/>
      <c r="C6" s="103"/>
      <c r="D6" s="108" t="s">
        <v>91</v>
      </c>
      <c r="E6" s="111" t="s">
        <v>144</v>
      </c>
      <c r="F6" s="103"/>
      <c r="G6" s="111"/>
      <c r="H6" s="108" t="s">
        <v>158</v>
      </c>
      <c r="I6" s="111" t="s">
        <v>163</v>
      </c>
      <c r="J6" s="103"/>
      <c r="K6" s="103"/>
      <c r="L6" s="103"/>
      <c r="M6" s="106"/>
      <c r="N6" s="74"/>
    </row>
    <row r="7" spans="1:62">
      <c r="A7" s="98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6"/>
      <c r="N7" s="74"/>
    </row>
    <row r="8" spans="1:62">
      <c r="A8" s="107" t="s">
        <v>4</v>
      </c>
      <c r="B8" s="103"/>
      <c r="C8" s="103"/>
      <c r="D8" s="108" t="s">
        <v>6</v>
      </c>
      <c r="E8" s="111" t="s">
        <v>145</v>
      </c>
      <c r="F8" s="103"/>
      <c r="G8" s="111"/>
      <c r="H8" s="108" t="s">
        <v>159</v>
      </c>
      <c r="I8" s="111" t="s">
        <v>163</v>
      </c>
      <c r="J8" s="103"/>
      <c r="K8" s="103"/>
      <c r="L8" s="103"/>
      <c r="M8" s="106"/>
      <c r="N8" s="74"/>
    </row>
    <row r="9" spans="1:62">
      <c r="A9" s="109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2"/>
      <c r="N9" s="74"/>
    </row>
    <row r="10" spans="1:62">
      <c r="A10" s="1" t="s">
        <v>5</v>
      </c>
      <c r="B10" s="10" t="s">
        <v>48</v>
      </c>
      <c r="C10" s="10" t="s">
        <v>49</v>
      </c>
      <c r="D10" s="10" t="s">
        <v>92</v>
      </c>
      <c r="E10" s="10" t="s">
        <v>146</v>
      </c>
      <c r="F10" s="16" t="s">
        <v>153</v>
      </c>
      <c r="G10" s="75" t="s">
        <v>154</v>
      </c>
      <c r="H10" s="163" t="s">
        <v>160</v>
      </c>
      <c r="I10" s="164"/>
      <c r="J10" s="165"/>
      <c r="K10" s="163" t="s">
        <v>166</v>
      </c>
      <c r="L10" s="165"/>
      <c r="M10" s="166" t="s">
        <v>168</v>
      </c>
      <c r="N10" s="167" t="s">
        <v>271</v>
      </c>
    </row>
    <row r="11" spans="1:62">
      <c r="A11" s="2" t="s">
        <v>6</v>
      </c>
      <c r="B11" s="11" t="s">
        <v>6</v>
      </c>
      <c r="C11" s="11" t="s">
        <v>6</v>
      </c>
      <c r="D11" s="14" t="s">
        <v>93</v>
      </c>
      <c r="E11" s="11" t="s">
        <v>6</v>
      </c>
      <c r="F11" s="11" t="s">
        <v>6</v>
      </c>
      <c r="G11" s="77" t="s">
        <v>155</v>
      </c>
      <c r="H11" s="20" t="s">
        <v>161</v>
      </c>
      <c r="I11" s="21" t="s">
        <v>164</v>
      </c>
      <c r="J11" s="22" t="s">
        <v>165</v>
      </c>
      <c r="K11" s="20" t="s">
        <v>167</v>
      </c>
      <c r="L11" s="22" t="s">
        <v>165</v>
      </c>
      <c r="M11" s="25" t="s">
        <v>169</v>
      </c>
      <c r="N11" s="76"/>
      <c r="Z11" s="78" t="s">
        <v>170</v>
      </c>
      <c r="AA11" s="78" t="s">
        <v>171</v>
      </c>
      <c r="AB11" s="78" t="s">
        <v>172</v>
      </c>
      <c r="AC11" s="78" t="s">
        <v>173</v>
      </c>
      <c r="AD11" s="78" t="s">
        <v>174</v>
      </c>
      <c r="AE11" s="78" t="s">
        <v>175</v>
      </c>
      <c r="AF11" s="78" t="s">
        <v>176</v>
      </c>
      <c r="AG11" s="78" t="s">
        <v>177</v>
      </c>
      <c r="AH11" s="78" t="s">
        <v>178</v>
      </c>
      <c r="BH11" s="78" t="s">
        <v>199</v>
      </c>
      <c r="BI11" s="78" t="s">
        <v>200</v>
      </c>
      <c r="BJ11" s="78" t="s">
        <v>201</v>
      </c>
    </row>
    <row r="12" spans="1:62">
      <c r="A12" s="3"/>
      <c r="B12" s="12"/>
      <c r="C12" s="12" t="s">
        <v>17</v>
      </c>
      <c r="D12" s="12" t="s">
        <v>94</v>
      </c>
      <c r="E12" s="3" t="s">
        <v>6</v>
      </c>
      <c r="F12" s="3" t="s">
        <v>6</v>
      </c>
      <c r="G12" s="79" t="s">
        <v>6</v>
      </c>
      <c r="H12" s="32">
        <f>SUM(H13:H17)</f>
        <v>0</v>
      </c>
      <c r="I12" s="32">
        <f>SUM(I13:I17)</f>
        <v>0</v>
      </c>
      <c r="J12" s="32">
        <f>SUM(J13:J17)</f>
        <v>0</v>
      </c>
      <c r="K12" s="23"/>
      <c r="L12" s="32">
        <f>SUM(L13:L17)</f>
        <v>151.928</v>
      </c>
      <c r="M12" s="23"/>
      <c r="AI12" s="78"/>
      <c r="AS12" s="80">
        <f>SUM(AJ13:AJ17)</f>
        <v>0</v>
      </c>
      <c r="AT12" s="80">
        <f>SUM(AK13:AK17)</f>
        <v>0</v>
      </c>
      <c r="AU12" s="80">
        <f>SUM(AL13:AL17)</f>
        <v>0</v>
      </c>
    </row>
    <row r="13" spans="1:62">
      <c r="A13" s="4" t="s">
        <v>7</v>
      </c>
      <c r="B13" s="4"/>
      <c r="C13" s="4" t="s">
        <v>50</v>
      </c>
      <c r="D13" s="4" t="s">
        <v>95</v>
      </c>
      <c r="E13" s="4" t="s">
        <v>147</v>
      </c>
      <c r="F13" s="17">
        <v>65.5</v>
      </c>
      <c r="G13" s="81">
        <v>0</v>
      </c>
      <c r="H13" s="17">
        <f>F13*AO13</f>
        <v>0</v>
      </c>
      <c r="I13" s="17">
        <f>F13*AP13</f>
        <v>0</v>
      </c>
      <c r="J13" s="17">
        <f>F13*G13</f>
        <v>0</v>
      </c>
      <c r="K13" s="17">
        <v>0</v>
      </c>
      <c r="L13" s="17">
        <f>F13*K13</f>
        <v>0</v>
      </c>
      <c r="M13" s="26" t="s">
        <v>268</v>
      </c>
      <c r="Z13" s="83">
        <f>IF(AQ13="5",BJ13,0)</f>
        <v>0</v>
      </c>
      <c r="AB13" s="83">
        <f>IF(AQ13="1",BH13,0)</f>
        <v>0</v>
      </c>
      <c r="AC13" s="83">
        <f>IF(AQ13="1",BI13,0)</f>
        <v>0</v>
      </c>
      <c r="AD13" s="83">
        <f>IF(AQ13="7",BH13,0)</f>
        <v>0</v>
      </c>
      <c r="AE13" s="83">
        <f>IF(AQ13="7",BI13,0)</f>
        <v>0</v>
      </c>
      <c r="AF13" s="83">
        <f>IF(AQ13="2",BH13,0)</f>
        <v>0</v>
      </c>
      <c r="AG13" s="83">
        <f>IF(AQ13="2",BI13,0)</f>
        <v>0</v>
      </c>
      <c r="AH13" s="83">
        <f>IF(AQ13="0",BJ13,0)</f>
        <v>0</v>
      </c>
      <c r="AI13" s="78"/>
      <c r="AJ13" s="81">
        <f>IF(AN13=0,J13,0)</f>
        <v>0</v>
      </c>
      <c r="AK13" s="81">
        <f>IF(AN13=15,J13,0)</f>
        <v>0</v>
      </c>
      <c r="AL13" s="81">
        <f>IF(AN13=21,J13,0)</f>
        <v>0</v>
      </c>
      <c r="AN13" s="83">
        <v>21</v>
      </c>
      <c r="AO13" s="83">
        <f>G13*0</f>
        <v>0</v>
      </c>
      <c r="AP13" s="83">
        <f>G13*(1-0)</f>
        <v>0</v>
      </c>
      <c r="AQ13" s="82" t="s">
        <v>7</v>
      </c>
      <c r="AV13" s="83">
        <f>AW13+AX13</f>
        <v>0</v>
      </c>
      <c r="AW13" s="83">
        <f>F13*AO13</f>
        <v>0</v>
      </c>
      <c r="AX13" s="83">
        <f>F13*AP13</f>
        <v>0</v>
      </c>
      <c r="AY13" s="84" t="s">
        <v>180</v>
      </c>
      <c r="AZ13" s="84" t="s">
        <v>190</v>
      </c>
      <c r="BA13" s="78" t="s">
        <v>198</v>
      </c>
      <c r="BC13" s="83">
        <f>AW13+AX13</f>
        <v>0</v>
      </c>
      <c r="BD13" s="83">
        <f>G13/(100-BE13)*100</f>
        <v>0</v>
      </c>
      <c r="BE13" s="83">
        <v>0</v>
      </c>
      <c r="BF13" s="83">
        <f>L13</f>
        <v>0</v>
      </c>
      <c r="BH13" s="81">
        <f>F13*AO13</f>
        <v>0</v>
      </c>
      <c r="BI13" s="81">
        <f>F13*AP13</f>
        <v>0</v>
      </c>
      <c r="BJ13" s="81">
        <f>F13*G13</f>
        <v>0</v>
      </c>
    </row>
    <row r="14" spans="1:62">
      <c r="A14" s="4" t="s">
        <v>8</v>
      </c>
      <c r="B14" s="4"/>
      <c r="C14" s="4" t="s">
        <v>51</v>
      </c>
      <c r="D14" s="4" t="s">
        <v>96</v>
      </c>
      <c r="E14" s="4" t="s">
        <v>147</v>
      </c>
      <c r="F14" s="17">
        <v>65.5</v>
      </c>
      <c r="G14" s="81">
        <v>0</v>
      </c>
      <c r="H14" s="17">
        <f>F14*AO14</f>
        <v>0</v>
      </c>
      <c r="I14" s="17">
        <f>F14*AP14</f>
        <v>0</v>
      </c>
      <c r="J14" s="17">
        <f>F14*G14</f>
        <v>0</v>
      </c>
      <c r="K14" s="17">
        <v>0</v>
      </c>
      <c r="L14" s="17">
        <f>F14*K14</f>
        <v>0</v>
      </c>
      <c r="M14" s="26" t="s">
        <v>268</v>
      </c>
      <c r="Z14" s="83">
        <f>IF(AQ14="5",BJ14,0)</f>
        <v>0</v>
      </c>
      <c r="AB14" s="83">
        <f>IF(AQ14="1",BH14,0)</f>
        <v>0</v>
      </c>
      <c r="AC14" s="83">
        <f>IF(AQ14="1",BI14,0)</f>
        <v>0</v>
      </c>
      <c r="AD14" s="83">
        <f>IF(AQ14="7",BH14,0)</f>
        <v>0</v>
      </c>
      <c r="AE14" s="83">
        <f>IF(AQ14="7",BI14,0)</f>
        <v>0</v>
      </c>
      <c r="AF14" s="83">
        <f>IF(AQ14="2",BH14,0)</f>
        <v>0</v>
      </c>
      <c r="AG14" s="83">
        <f>IF(AQ14="2",BI14,0)</f>
        <v>0</v>
      </c>
      <c r="AH14" s="83">
        <f>IF(AQ14="0",BJ14,0)</f>
        <v>0</v>
      </c>
      <c r="AI14" s="78"/>
      <c r="AJ14" s="81">
        <f>IF(AN14=0,J14,0)</f>
        <v>0</v>
      </c>
      <c r="AK14" s="81">
        <f>IF(AN14=15,J14,0)</f>
        <v>0</v>
      </c>
      <c r="AL14" s="81">
        <f>IF(AN14=21,J14,0)</f>
        <v>0</v>
      </c>
      <c r="AN14" s="83">
        <v>21</v>
      </c>
      <c r="AO14" s="83">
        <f>G14*0</f>
        <v>0</v>
      </c>
      <c r="AP14" s="83">
        <f>G14*(1-0)</f>
        <v>0</v>
      </c>
      <c r="AQ14" s="82" t="s">
        <v>7</v>
      </c>
      <c r="AV14" s="83">
        <f>AW14+AX14</f>
        <v>0</v>
      </c>
      <c r="AW14" s="83">
        <f>F14*AO14</f>
        <v>0</v>
      </c>
      <c r="AX14" s="83">
        <f>F14*AP14</f>
        <v>0</v>
      </c>
      <c r="AY14" s="84" t="s">
        <v>180</v>
      </c>
      <c r="AZ14" s="84" t="s">
        <v>190</v>
      </c>
      <c r="BA14" s="78" t="s">
        <v>198</v>
      </c>
      <c r="BC14" s="83">
        <f>AW14+AX14</f>
        <v>0</v>
      </c>
      <c r="BD14" s="83">
        <f>G14/(100-BE14)*100</f>
        <v>0</v>
      </c>
      <c r="BE14" s="83">
        <v>0</v>
      </c>
      <c r="BF14" s="83">
        <f>L14</f>
        <v>0</v>
      </c>
      <c r="BH14" s="81">
        <f>F14*AO14</f>
        <v>0</v>
      </c>
      <c r="BI14" s="81">
        <f>F14*AP14</f>
        <v>0</v>
      </c>
      <c r="BJ14" s="81">
        <f>F14*G14</f>
        <v>0</v>
      </c>
    </row>
    <row r="15" spans="1:62">
      <c r="A15" s="4" t="s">
        <v>9</v>
      </c>
      <c r="B15" s="4"/>
      <c r="C15" s="4" t="s">
        <v>52</v>
      </c>
      <c r="D15" s="4" t="s">
        <v>97</v>
      </c>
      <c r="E15" s="4" t="s">
        <v>147</v>
      </c>
      <c r="F15" s="17">
        <v>45.5</v>
      </c>
      <c r="G15" s="81">
        <v>0</v>
      </c>
      <c r="H15" s="17">
        <f>F15*AO15</f>
        <v>0</v>
      </c>
      <c r="I15" s="17">
        <f>F15*AP15</f>
        <v>0</v>
      </c>
      <c r="J15" s="17">
        <f>F15*G15</f>
        <v>0</v>
      </c>
      <c r="K15" s="17">
        <v>0.40799999999999997</v>
      </c>
      <c r="L15" s="17">
        <f>F15*K15</f>
        <v>18.564</v>
      </c>
      <c r="M15" s="26" t="s">
        <v>268</v>
      </c>
      <c r="Z15" s="83">
        <f>IF(AQ15="5",BJ15,0)</f>
        <v>0</v>
      </c>
      <c r="AB15" s="83">
        <f>IF(AQ15="1",BH15,0)</f>
        <v>0</v>
      </c>
      <c r="AC15" s="83">
        <f>IF(AQ15="1",BI15,0)</f>
        <v>0</v>
      </c>
      <c r="AD15" s="83">
        <f>IF(AQ15="7",BH15,0)</f>
        <v>0</v>
      </c>
      <c r="AE15" s="83">
        <f>IF(AQ15="7",BI15,0)</f>
        <v>0</v>
      </c>
      <c r="AF15" s="83">
        <f>IF(AQ15="2",BH15,0)</f>
        <v>0</v>
      </c>
      <c r="AG15" s="83">
        <f>IF(AQ15="2",BI15,0)</f>
        <v>0</v>
      </c>
      <c r="AH15" s="83">
        <f>IF(AQ15="0",BJ15,0)</f>
        <v>0</v>
      </c>
      <c r="AI15" s="78"/>
      <c r="AJ15" s="81">
        <f>IF(AN15=0,J15,0)</f>
        <v>0</v>
      </c>
      <c r="AK15" s="81">
        <f>IF(AN15=15,J15,0)</f>
        <v>0</v>
      </c>
      <c r="AL15" s="81">
        <f>IF(AN15=21,J15,0)</f>
        <v>0</v>
      </c>
      <c r="AN15" s="83">
        <v>21</v>
      </c>
      <c r="AO15" s="83">
        <f>G15*0</f>
        <v>0</v>
      </c>
      <c r="AP15" s="83">
        <f>G15*(1-0)</f>
        <v>0</v>
      </c>
      <c r="AQ15" s="82" t="s">
        <v>7</v>
      </c>
      <c r="AV15" s="83">
        <f>AW15+AX15</f>
        <v>0</v>
      </c>
      <c r="AW15" s="83">
        <f>F15*AO15</f>
        <v>0</v>
      </c>
      <c r="AX15" s="83">
        <f>F15*AP15</f>
        <v>0</v>
      </c>
      <c r="AY15" s="84" t="s">
        <v>180</v>
      </c>
      <c r="AZ15" s="84" t="s">
        <v>190</v>
      </c>
      <c r="BA15" s="78" t="s">
        <v>198</v>
      </c>
      <c r="BC15" s="83">
        <f>AW15+AX15</f>
        <v>0</v>
      </c>
      <c r="BD15" s="83">
        <f>G15/(100-BE15)*100</f>
        <v>0</v>
      </c>
      <c r="BE15" s="83">
        <v>0</v>
      </c>
      <c r="BF15" s="83">
        <f>L15</f>
        <v>18.564</v>
      </c>
      <c r="BH15" s="81">
        <f>F15*AO15</f>
        <v>0</v>
      </c>
      <c r="BI15" s="81">
        <f>F15*AP15</f>
        <v>0</v>
      </c>
      <c r="BJ15" s="81">
        <f>F15*G15</f>
        <v>0</v>
      </c>
    </row>
    <row r="16" spans="1:62">
      <c r="A16" s="4" t="s">
        <v>10</v>
      </c>
      <c r="B16" s="4"/>
      <c r="C16" s="4" t="s">
        <v>53</v>
      </c>
      <c r="D16" s="4" t="s">
        <v>98</v>
      </c>
      <c r="E16" s="4" t="s">
        <v>147</v>
      </c>
      <c r="F16" s="17">
        <v>175.5</v>
      </c>
      <c r="G16" s="81">
        <v>0</v>
      </c>
      <c r="H16" s="17">
        <f>F16*AO16</f>
        <v>0</v>
      </c>
      <c r="I16" s="17">
        <f>F16*AP16</f>
        <v>0</v>
      </c>
      <c r="J16" s="17">
        <f>F16*G16</f>
        <v>0</v>
      </c>
      <c r="K16" s="17">
        <v>0.61599999999999999</v>
      </c>
      <c r="L16" s="17">
        <f>F16*K16</f>
        <v>108.108</v>
      </c>
      <c r="M16" s="26" t="s">
        <v>268</v>
      </c>
      <c r="Z16" s="83">
        <f>IF(AQ16="5",BJ16,0)</f>
        <v>0</v>
      </c>
      <c r="AB16" s="83">
        <f>IF(AQ16="1",BH16,0)</f>
        <v>0</v>
      </c>
      <c r="AC16" s="83">
        <f>IF(AQ16="1",BI16,0)</f>
        <v>0</v>
      </c>
      <c r="AD16" s="83">
        <f>IF(AQ16="7",BH16,0)</f>
        <v>0</v>
      </c>
      <c r="AE16" s="83">
        <f>IF(AQ16="7",BI16,0)</f>
        <v>0</v>
      </c>
      <c r="AF16" s="83">
        <f>IF(AQ16="2",BH16,0)</f>
        <v>0</v>
      </c>
      <c r="AG16" s="83">
        <f>IF(AQ16="2",BI16,0)</f>
        <v>0</v>
      </c>
      <c r="AH16" s="83">
        <f>IF(AQ16="0",BJ16,0)</f>
        <v>0</v>
      </c>
      <c r="AI16" s="78"/>
      <c r="AJ16" s="81">
        <f>IF(AN16=0,J16,0)</f>
        <v>0</v>
      </c>
      <c r="AK16" s="81">
        <f>IF(AN16=15,J16,0)</f>
        <v>0</v>
      </c>
      <c r="AL16" s="81">
        <f>IF(AN16=21,J16,0)</f>
        <v>0</v>
      </c>
      <c r="AN16" s="83">
        <v>21</v>
      </c>
      <c r="AO16" s="83">
        <f>G16*0</f>
        <v>0</v>
      </c>
      <c r="AP16" s="83">
        <f>G16*(1-0)</f>
        <v>0</v>
      </c>
      <c r="AQ16" s="82" t="s">
        <v>7</v>
      </c>
      <c r="AV16" s="83">
        <f>AW16+AX16</f>
        <v>0</v>
      </c>
      <c r="AW16" s="83">
        <f>F16*AO16</f>
        <v>0</v>
      </c>
      <c r="AX16" s="83">
        <f>F16*AP16</f>
        <v>0</v>
      </c>
      <c r="AY16" s="84" t="s">
        <v>180</v>
      </c>
      <c r="AZ16" s="84" t="s">
        <v>190</v>
      </c>
      <c r="BA16" s="78" t="s">
        <v>198</v>
      </c>
      <c r="BC16" s="83">
        <f>AW16+AX16</f>
        <v>0</v>
      </c>
      <c r="BD16" s="83">
        <f>G16/(100-BE16)*100</f>
        <v>0</v>
      </c>
      <c r="BE16" s="83">
        <v>0</v>
      </c>
      <c r="BF16" s="83">
        <f>L16</f>
        <v>108.108</v>
      </c>
      <c r="BH16" s="81">
        <f>F16*AO16</f>
        <v>0</v>
      </c>
      <c r="BI16" s="81">
        <f>F16*AP16</f>
        <v>0</v>
      </c>
      <c r="BJ16" s="81">
        <f>F16*G16</f>
        <v>0</v>
      </c>
    </row>
    <row r="17" spans="1:62">
      <c r="A17" s="4" t="s">
        <v>11</v>
      </c>
      <c r="B17" s="4"/>
      <c r="C17" s="4" t="s">
        <v>54</v>
      </c>
      <c r="D17" s="4" t="s">
        <v>99</v>
      </c>
      <c r="E17" s="4" t="s">
        <v>147</v>
      </c>
      <c r="F17" s="17">
        <v>143.5</v>
      </c>
      <c r="G17" s="81">
        <v>0</v>
      </c>
      <c r="H17" s="17">
        <f>F17*AO17</f>
        <v>0</v>
      </c>
      <c r="I17" s="17">
        <f>F17*AP17</f>
        <v>0</v>
      </c>
      <c r="J17" s="17">
        <f>F17*G17</f>
        <v>0</v>
      </c>
      <c r="K17" s="17">
        <v>0.17599999999999999</v>
      </c>
      <c r="L17" s="17">
        <f>F17*K17</f>
        <v>25.256</v>
      </c>
      <c r="M17" s="26" t="s">
        <v>268</v>
      </c>
      <c r="Z17" s="83">
        <f>IF(AQ17="5",BJ17,0)</f>
        <v>0</v>
      </c>
      <c r="AB17" s="83">
        <f>IF(AQ17="1",BH17,0)</f>
        <v>0</v>
      </c>
      <c r="AC17" s="83">
        <f>IF(AQ17="1",BI17,0)</f>
        <v>0</v>
      </c>
      <c r="AD17" s="83">
        <f>IF(AQ17="7",BH17,0)</f>
        <v>0</v>
      </c>
      <c r="AE17" s="83">
        <f>IF(AQ17="7",BI17,0)</f>
        <v>0</v>
      </c>
      <c r="AF17" s="83">
        <f>IF(AQ17="2",BH17,0)</f>
        <v>0</v>
      </c>
      <c r="AG17" s="83">
        <f>IF(AQ17="2",BI17,0)</f>
        <v>0</v>
      </c>
      <c r="AH17" s="83">
        <f>IF(AQ17="0",BJ17,0)</f>
        <v>0</v>
      </c>
      <c r="AI17" s="78"/>
      <c r="AJ17" s="81">
        <f>IF(AN17=0,J17,0)</f>
        <v>0</v>
      </c>
      <c r="AK17" s="81">
        <f>IF(AN17=15,J17,0)</f>
        <v>0</v>
      </c>
      <c r="AL17" s="81">
        <f>IF(AN17=21,J17,0)</f>
        <v>0</v>
      </c>
      <c r="AN17" s="83">
        <v>21</v>
      </c>
      <c r="AO17" s="83">
        <f>G17*0</f>
        <v>0</v>
      </c>
      <c r="AP17" s="83">
        <f>G17*(1-0)</f>
        <v>0</v>
      </c>
      <c r="AQ17" s="82" t="s">
        <v>7</v>
      </c>
      <c r="AV17" s="83">
        <f>AW17+AX17</f>
        <v>0</v>
      </c>
      <c r="AW17" s="83">
        <f>F17*AO17</f>
        <v>0</v>
      </c>
      <c r="AX17" s="83">
        <f>F17*AP17</f>
        <v>0</v>
      </c>
      <c r="AY17" s="84" t="s">
        <v>180</v>
      </c>
      <c r="AZ17" s="84" t="s">
        <v>190</v>
      </c>
      <c r="BA17" s="78" t="s">
        <v>198</v>
      </c>
      <c r="BC17" s="83">
        <f>AW17+AX17</f>
        <v>0</v>
      </c>
      <c r="BD17" s="83">
        <f>G17/(100-BE17)*100</f>
        <v>0</v>
      </c>
      <c r="BE17" s="83">
        <v>0</v>
      </c>
      <c r="BF17" s="83">
        <f>L17</f>
        <v>25.256</v>
      </c>
      <c r="BH17" s="81">
        <f>F17*AO17</f>
        <v>0</v>
      </c>
      <c r="BI17" s="81">
        <f>F17*AP17</f>
        <v>0</v>
      </c>
      <c r="BJ17" s="81">
        <f>F17*G17</f>
        <v>0</v>
      </c>
    </row>
    <row r="18" spans="1:62">
      <c r="A18" s="5"/>
      <c r="B18" s="13"/>
      <c r="C18" s="13" t="s">
        <v>18</v>
      </c>
      <c r="D18" s="13" t="s">
        <v>100</v>
      </c>
      <c r="E18" s="5" t="s">
        <v>6</v>
      </c>
      <c r="F18" s="5" t="s">
        <v>6</v>
      </c>
      <c r="G18" s="85" t="s">
        <v>6</v>
      </c>
      <c r="H18" s="33">
        <f>SUM(H19:H20)</f>
        <v>0</v>
      </c>
      <c r="I18" s="33">
        <f>SUM(I19:I20)</f>
        <v>0</v>
      </c>
      <c r="J18" s="33">
        <f>SUM(J19:J20)</f>
        <v>0</v>
      </c>
      <c r="K18" s="24"/>
      <c r="L18" s="33">
        <f>SUM(L19:L20)</f>
        <v>0</v>
      </c>
      <c r="M18" s="24"/>
      <c r="AI18" s="78"/>
      <c r="AS18" s="80">
        <f>SUM(AJ19:AJ20)</f>
        <v>0</v>
      </c>
      <c r="AT18" s="80">
        <f>SUM(AK19:AK20)</f>
        <v>0</v>
      </c>
      <c r="AU18" s="80">
        <f>SUM(AL19:AL20)</f>
        <v>0</v>
      </c>
    </row>
    <row r="19" spans="1:62">
      <c r="A19" s="4" t="s">
        <v>12</v>
      </c>
      <c r="B19" s="4"/>
      <c r="C19" s="4" t="s">
        <v>55</v>
      </c>
      <c r="D19" s="4" t="s">
        <v>101</v>
      </c>
      <c r="E19" s="4" t="s">
        <v>148</v>
      </c>
      <c r="F19" s="17">
        <v>61.92</v>
      </c>
      <c r="G19" s="81">
        <v>0</v>
      </c>
      <c r="H19" s="17">
        <f>F19*AO19</f>
        <v>0</v>
      </c>
      <c r="I19" s="17">
        <f>F19*AP19</f>
        <v>0</v>
      </c>
      <c r="J19" s="17">
        <f>F19*G19</f>
        <v>0</v>
      </c>
      <c r="K19" s="17">
        <v>0</v>
      </c>
      <c r="L19" s="17">
        <f>F19*K19</f>
        <v>0</v>
      </c>
      <c r="M19" s="26" t="s">
        <v>268</v>
      </c>
      <c r="Z19" s="83">
        <f>IF(AQ19="5",BJ19,0)</f>
        <v>0</v>
      </c>
      <c r="AB19" s="83">
        <f>IF(AQ19="1",BH19,0)</f>
        <v>0</v>
      </c>
      <c r="AC19" s="83">
        <f>IF(AQ19="1",BI19,0)</f>
        <v>0</v>
      </c>
      <c r="AD19" s="83">
        <f>IF(AQ19="7",BH19,0)</f>
        <v>0</v>
      </c>
      <c r="AE19" s="83">
        <f>IF(AQ19="7",BI19,0)</f>
        <v>0</v>
      </c>
      <c r="AF19" s="83">
        <f>IF(AQ19="2",BH19,0)</f>
        <v>0</v>
      </c>
      <c r="AG19" s="83">
        <f>IF(AQ19="2",BI19,0)</f>
        <v>0</v>
      </c>
      <c r="AH19" s="83">
        <f>IF(AQ19="0",BJ19,0)</f>
        <v>0</v>
      </c>
      <c r="AI19" s="78"/>
      <c r="AJ19" s="81">
        <f>IF(AN19=0,J19,0)</f>
        <v>0</v>
      </c>
      <c r="AK19" s="81">
        <f>IF(AN19=15,J19,0)</f>
        <v>0</v>
      </c>
      <c r="AL19" s="81">
        <f>IF(AN19=21,J19,0)</f>
        <v>0</v>
      </c>
      <c r="AN19" s="83">
        <v>21</v>
      </c>
      <c r="AO19" s="83">
        <f>G19*0</f>
        <v>0</v>
      </c>
      <c r="AP19" s="83">
        <f>G19*(1-0)</f>
        <v>0</v>
      </c>
      <c r="AQ19" s="82" t="s">
        <v>7</v>
      </c>
      <c r="AV19" s="83">
        <f>AW19+AX19</f>
        <v>0</v>
      </c>
      <c r="AW19" s="83">
        <f>F19*AO19</f>
        <v>0</v>
      </c>
      <c r="AX19" s="83">
        <f>F19*AP19</f>
        <v>0</v>
      </c>
      <c r="AY19" s="84" t="s">
        <v>181</v>
      </c>
      <c r="AZ19" s="84" t="s">
        <v>190</v>
      </c>
      <c r="BA19" s="78" t="s">
        <v>198</v>
      </c>
      <c r="BC19" s="83">
        <f>AW19+AX19</f>
        <v>0</v>
      </c>
      <c r="BD19" s="83">
        <f>G19/(100-BE19)*100</f>
        <v>0</v>
      </c>
      <c r="BE19" s="83">
        <v>0</v>
      </c>
      <c r="BF19" s="83">
        <f>L19</f>
        <v>0</v>
      </c>
      <c r="BH19" s="81">
        <f>F19*AO19</f>
        <v>0</v>
      </c>
      <c r="BI19" s="81">
        <f>F19*AP19</f>
        <v>0</v>
      </c>
      <c r="BJ19" s="81">
        <f>F19*G19</f>
        <v>0</v>
      </c>
    </row>
    <row r="20" spans="1:62">
      <c r="A20" s="4" t="s">
        <v>13</v>
      </c>
      <c r="B20" s="4"/>
      <c r="C20" s="4" t="s">
        <v>56</v>
      </c>
      <c r="D20" s="4" t="s">
        <v>102</v>
      </c>
      <c r="E20" s="4" t="s">
        <v>148</v>
      </c>
      <c r="F20" s="17">
        <v>61.92</v>
      </c>
      <c r="G20" s="81">
        <v>0</v>
      </c>
      <c r="H20" s="17">
        <f>F20*AO20</f>
        <v>0</v>
      </c>
      <c r="I20" s="17">
        <f>F20*AP20</f>
        <v>0</v>
      </c>
      <c r="J20" s="17">
        <f>F20*G20</f>
        <v>0</v>
      </c>
      <c r="K20" s="17">
        <v>0</v>
      </c>
      <c r="L20" s="17">
        <f>F20*K20</f>
        <v>0</v>
      </c>
      <c r="M20" s="26" t="s">
        <v>268</v>
      </c>
      <c r="Z20" s="83">
        <f>IF(AQ20="5",BJ20,0)</f>
        <v>0</v>
      </c>
      <c r="AB20" s="83">
        <f>IF(AQ20="1",BH20,0)</f>
        <v>0</v>
      </c>
      <c r="AC20" s="83">
        <f>IF(AQ20="1",BI20,0)</f>
        <v>0</v>
      </c>
      <c r="AD20" s="83">
        <f>IF(AQ20="7",BH20,0)</f>
        <v>0</v>
      </c>
      <c r="AE20" s="83">
        <f>IF(AQ20="7",BI20,0)</f>
        <v>0</v>
      </c>
      <c r="AF20" s="83">
        <f>IF(AQ20="2",BH20,0)</f>
        <v>0</v>
      </c>
      <c r="AG20" s="83">
        <f>IF(AQ20="2",BI20,0)</f>
        <v>0</v>
      </c>
      <c r="AH20" s="83">
        <f>IF(AQ20="0",BJ20,0)</f>
        <v>0</v>
      </c>
      <c r="AI20" s="78"/>
      <c r="AJ20" s="81">
        <f>IF(AN20=0,J20,0)</f>
        <v>0</v>
      </c>
      <c r="AK20" s="81">
        <f>IF(AN20=15,J20,0)</f>
        <v>0</v>
      </c>
      <c r="AL20" s="81">
        <f>IF(AN20=21,J20,0)</f>
        <v>0</v>
      </c>
      <c r="AN20" s="83">
        <v>21</v>
      </c>
      <c r="AO20" s="83">
        <f>G20*0</f>
        <v>0</v>
      </c>
      <c r="AP20" s="83">
        <f>G20*(1-0)</f>
        <v>0</v>
      </c>
      <c r="AQ20" s="82" t="s">
        <v>7</v>
      </c>
      <c r="AV20" s="83">
        <f>AW20+AX20</f>
        <v>0</v>
      </c>
      <c r="AW20" s="83">
        <f>F20*AO20</f>
        <v>0</v>
      </c>
      <c r="AX20" s="83">
        <f>F20*AP20</f>
        <v>0</v>
      </c>
      <c r="AY20" s="84" t="s">
        <v>181</v>
      </c>
      <c r="AZ20" s="84" t="s">
        <v>190</v>
      </c>
      <c r="BA20" s="78" t="s">
        <v>198</v>
      </c>
      <c r="BC20" s="83">
        <f>AW20+AX20</f>
        <v>0</v>
      </c>
      <c r="BD20" s="83">
        <f>G20/(100-BE20)*100</f>
        <v>0</v>
      </c>
      <c r="BE20" s="83">
        <v>0</v>
      </c>
      <c r="BF20" s="83">
        <f>L20</f>
        <v>0</v>
      </c>
      <c r="BH20" s="81">
        <f>F20*AO20</f>
        <v>0</v>
      </c>
      <c r="BI20" s="81">
        <f>F20*AP20</f>
        <v>0</v>
      </c>
      <c r="BJ20" s="81">
        <f>F20*G20</f>
        <v>0</v>
      </c>
    </row>
    <row r="21" spans="1:62">
      <c r="A21" s="5"/>
      <c r="B21" s="13"/>
      <c r="C21" s="13" t="s">
        <v>33</v>
      </c>
      <c r="D21" s="13" t="s">
        <v>103</v>
      </c>
      <c r="E21" s="5" t="s">
        <v>6</v>
      </c>
      <c r="F21" s="5" t="s">
        <v>6</v>
      </c>
      <c r="G21" s="85" t="s">
        <v>6</v>
      </c>
      <c r="H21" s="33">
        <f>SUM(H22:H25)</f>
        <v>0</v>
      </c>
      <c r="I21" s="33">
        <f>SUM(I22:I25)</f>
        <v>0</v>
      </c>
      <c r="J21" s="33">
        <f>SUM(J22:J25)</f>
        <v>0</v>
      </c>
      <c r="K21" s="24"/>
      <c r="L21" s="33">
        <f>SUM(L22:L25)</f>
        <v>50.900638000000001</v>
      </c>
      <c r="M21" s="24"/>
      <c r="AI21" s="78"/>
      <c r="AS21" s="80">
        <f>SUM(AJ22:AJ25)</f>
        <v>0</v>
      </c>
      <c r="AT21" s="80">
        <f>SUM(AK22:AK25)</f>
        <v>0</v>
      </c>
      <c r="AU21" s="80">
        <f>SUM(AL22:AL25)</f>
        <v>0</v>
      </c>
    </row>
    <row r="22" spans="1:62">
      <c r="A22" s="4" t="s">
        <v>14</v>
      </c>
      <c r="B22" s="4"/>
      <c r="C22" s="4" t="s">
        <v>57</v>
      </c>
      <c r="D22" s="4" t="s">
        <v>104</v>
      </c>
      <c r="E22" s="4" t="s">
        <v>149</v>
      </c>
      <c r="F22" s="17">
        <v>1.6</v>
      </c>
      <c r="G22" s="81">
        <v>0</v>
      </c>
      <c r="H22" s="17">
        <f>F22*AO22</f>
        <v>0</v>
      </c>
      <c r="I22" s="17">
        <f>F22*AP22</f>
        <v>0</v>
      </c>
      <c r="J22" s="17">
        <f>F22*G22</f>
        <v>0</v>
      </c>
      <c r="K22" s="17">
        <v>1.0543899999999999</v>
      </c>
      <c r="L22" s="17">
        <f>F22*K22</f>
        <v>1.6870240000000001</v>
      </c>
      <c r="M22" s="26" t="s">
        <v>268</v>
      </c>
      <c r="Z22" s="83">
        <f>IF(AQ22="5",BJ22,0)</f>
        <v>0</v>
      </c>
      <c r="AB22" s="83">
        <f>IF(AQ22="1",BH22,0)</f>
        <v>0</v>
      </c>
      <c r="AC22" s="83">
        <f>IF(AQ22="1",BI22,0)</f>
        <v>0</v>
      </c>
      <c r="AD22" s="83">
        <f>IF(AQ22="7",BH22,0)</f>
        <v>0</v>
      </c>
      <c r="AE22" s="83">
        <f>IF(AQ22="7",BI22,0)</f>
        <v>0</v>
      </c>
      <c r="AF22" s="83">
        <f>IF(AQ22="2",BH22,0)</f>
        <v>0</v>
      </c>
      <c r="AG22" s="83">
        <f>IF(AQ22="2",BI22,0)</f>
        <v>0</v>
      </c>
      <c r="AH22" s="83">
        <f>IF(AQ22="0",BJ22,0)</f>
        <v>0</v>
      </c>
      <c r="AI22" s="78"/>
      <c r="AJ22" s="81">
        <f>IF(AN22=0,J22,0)</f>
        <v>0</v>
      </c>
      <c r="AK22" s="81">
        <f>IF(AN22=15,J22,0)</f>
        <v>0</v>
      </c>
      <c r="AL22" s="81">
        <f>IF(AN22=21,J22,0)</f>
        <v>0</v>
      </c>
      <c r="AN22" s="83">
        <v>21</v>
      </c>
      <c r="AO22" s="83">
        <f>G22*0.806161655243764</f>
        <v>0</v>
      </c>
      <c r="AP22" s="83">
        <f>G22*(1-0.806161655243764)</f>
        <v>0</v>
      </c>
      <c r="AQ22" s="82" t="s">
        <v>7</v>
      </c>
      <c r="AV22" s="83">
        <f>AW22+AX22</f>
        <v>0</v>
      </c>
      <c r="AW22" s="83">
        <f>F22*AO22</f>
        <v>0</v>
      </c>
      <c r="AX22" s="83">
        <f>F22*AP22</f>
        <v>0</v>
      </c>
      <c r="AY22" s="84" t="s">
        <v>182</v>
      </c>
      <c r="AZ22" s="84" t="s">
        <v>191</v>
      </c>
      <c r="BA22" s="78" t="s">
        <v>198</v>
      </c>
      <c r="BC22" s="83">
        <f>AW22+AX22</f>
        <v>0</v>
      </c>
      <c r="BD22" s="83">
        <f>G22/(100-BE22)*100</f>
        <v>0</v>
      </c>
      <c r="BE22" s="83">
        <v>0</v>
      </c>
      <c r="BF22" s="83">
        <f>L22</f>
        <v>1.6870240000000001</v>
      </c>
      <c r="BH22" s="81">
        <f>F22*AO22</f>
        <v>0</v>
      </c>
      <c r="BI22" s="81">
        <f>F22*AP22</f>
        <v>0</v>
      </c>
      <c r="BJ22" s="81">
        <f>F22*G22</f>
        <v>0</v>
      </c>
    </row>
    <row r="23" spans="1:62">
      <c r="A23" s="4" t="s">
        <v>15</v>
      </c>
      <c r="B23" s="4"/>
      <c r="C23" s="4" t="s">
        <v>58</v>
      </c>
      <c r="D23" s="4" t="s">
        <v>105</v>
      </c>
      <c r="E23" s="4" t="s">
        <v>147</v>
      </c>
      <c r="F23" s="17">
        <v>25.01</v>
      </c>
      <c r="G23" s="81">
        <v>0</v>
      </c>
      <c r="H23" s="17">
        <f>F23*AO23</f>
        <v>0</v>
      </c>
      <c r="I23" s="17">
        <f>F23*AP23</f>
        <v>0</v>
      </c>
      <c r="J23" s="17">
        <f>F23*G23</f>
        <v>0</v>
      </c>
      <c r="K23" s="17">
        <v>0</v>
      </c>
      <c r="L23" s="17">
        <f>F23*K23</f>
        <v>0</v>
      </c>
      <c r="M23" s="26" t="s">
        <v>268</v>
      </c>
      <c r="Z23" s="83">
        <f>IF(AQ23="5",BJ23,0)</f>
        <v>0</v>
      </c>
      <c r="AB23" s="83">
        <f>IF(AQ23="1",BH23,0)</f>
        <v>0</v>
      </c>
      <c r="AC23" s="83">
        <f>IF(AQ23="1",BI23,0)</f>
        <v>0</v>
      </c>
      <c r="AD23" s="83">
        <f>IF(AQ23="7",BH23,0)</f>
        <v>0</v>
      </c>
      <c r="AE23" s="83">
        <f>IF(AQ23="7",BI23,0)</f>
        <v>0</v>
      </c>
      <c r="AF23" s="83">
        <f>IF(AQ23="2",BH23,0)</f>
        <v>0</v>
      </c>
      <c r="AG23" s="83">
        <f>IF(AQ23="2",BI23,0)</f>
        <v>0</v>
      </c>
      <c r="AH23" s="83">
        <f>IF(AQ23="0",BJ23,0)</f>
        <v>0</v>
      </c>
      <c r="AI23" s="78"/>
      <c r="AJ23" s="81">
        <f>IF(AN23=0,J23,0)</f>
        <v>0</v>
      </c>
      <c r="AK23" s="81">
        <f>IF(AN23=15,J23,0)</f>
        <v>0</v>
      </c>
      <c r="AL23" s="81">
        <f>IF(AN23=21,J23,0)</f>
        <v>0</v>
      </c>
      <c r="AN23" s="83">
        <v>21</v>
      </c>
      <c r="AO23" s="83">
        <f>G23*0</f>
        <v>0</v>
      </c>
      <c r="AP23" s="83">
        <f>G23*(1-0)</f>
        <v>0</v>
      </c>
      <c r="AQ23" s="82" t="s">
        <v>7</v>
      </c>
      <c r="AV23" s="83">
        <f>AW23+AX23</f>
        <v>0</v>
      </c>
      <c r="AW23" s="83">
        <f>F23*AO23</f>
        <v>0</v>
      </c>
      <c r="AX23" s="83">
        <f>F23*AP23</f>
        <v>0</v>
      </c>
      <c r="AY23" s="84" t="s">
        <v>182</v>
      </c>
      <c r="AZ23" s="84" t="s">
        <v>191</v>
      </c>
      <c r="BA23" s="78" t="s">
        <v>198</v>
      </c>
      <c r="BC23" s="83">
        <f>AW23+AX23</f>
        <v>0</v>
      </c>
      <c r="BD23" s="83">
        <f>G23/(100-BE23)*100</f>
        <v>0</v>
      </c>
      <c r="BE23" s="83">
        <v>0</v>
      </c>
      <c r="BF23" s="83">
        <f>L23</f>
        <v>0</v>
      </c>
      <c r="BH23" s="81">
        <f>F23*AO23</f>
        <v>0</v>
      </c>
      <c r="BI23" s="81">
        <f>F23*AP23</f>
        <v>0</v>
      </c>
      <c r="BJ23" s="81">
        <f>F23*G23</f>
        <v>0</v>
      </c>
    </row>
    <row r="24" spans="1:62">
      <c r="A24" s="4" t="s">
        <v>16</v>
      </c>
      <c r="B24" s="4"/>
      <c r="C24" s="4" t="s">
        <v>59</v>
      </c>
      <c r="D24" s="4" t="s">
        <v>106</v>
      </c>
      <c r="E24" s="4" t="s">
        <v>148</v>
      </c>
      <c r="F24" s="17">
        <v>19.13</v>
      </c>
      <c r="G24" s="81">
        <v>0</v>
      </c>
      <c r="H24" s="17">
        <f>F24*AO24</f>
        <v>0</v>
      </c>
      <c r="I24" s="17">
        <f>F24*AP24</f>
        <v>0</v>
      </c>
      <c r="J24" s="17">
        <f>F24*G24</f>
        <v>0</v>
      </c>
      <c r="K24" s="17">
        <v>2.5249999999999999</v>
      </c>
      <c r="L24" s="17">
        <f>F24*K24</f>
        <v>48.303249999999998</v>
      </c>
      <c r="M24" s="26" t="s">
        <v>268</v>
      </c>
      <c r="Z24" s="83">
        <f>IF(AQ24="5",BJ24,0)</f>
        <v>0</v>
      </c>
      <c r="AB24" s="83">
        <f>IF(AQ24="1",BH24,0)</f>
        <v>0</v>
      </c>
      <c r="AC24" s="83">
        <f>IF(AQ24="1",BI24,0)</f>
        <v>0</v>
      </c>
      <c r="AD24" s="83">
        <f>IF(AQ24="7",BH24,0)</f>
        <v>0</v>
      </c>
      <c r="AE24" s="83">
        <f>IF(AQ24="7",BI24,0)</f>
        <v>0</v>
      </c>
      <c r="AF24" s="83">
        <f>IF(AQ24="2",BH24,0)</f>
        <v>0</v>
      </c>
      <c r="AG24" s="83">
        <f>IF(AQ24="2",BI24,0)</f>
        <v>0</v>
      </c>
      <c r="AH24" s="83">
        <f>IF(AQ24="0",BJ24,0)</f>
        <v>0</v>
      </c>
      <c r="AI24" s="78"/>
      <c r="AJ24" s="81">
        <f>IF(AN24=0,J24,0)</f>
        <v>0</v>
      </c>
      <c r="AK24" s="81">
        <f>IF(AN24=15,J24,0)</f>
        <v>0</v>
      </c>
      <c r="AL24" s="81">
        <f>IF(AN24=21,J24,0)</f>
        <v>0</v>
      </c>
      <c r="AN24" s="83">
        <v>21</v>
      </c>
      <c r="AO24" s="83">
        <f>G24*0.919898740685335</f>
        <v>0</v>
      </c>
      <c r="AP24" s="83">
        <f>G24*(1-0.919898740685335)</f>
        <v>0</v>
      </c>
      <c r="AQ24" s="82" t="s">
        <v>7</v>
      </c>
      <c r="AV24" s="83">
        <f>AW24+AX24</f>
        <v>0</v>
      </c>
      <c r="AW24" s="83">
        <f>F24*AO24</f>
        <v>0</v>
      </c>
      <c r="AX24" s="83">
        <f>F24*AP24</f>
        <v>0</v>
      </c>
      <c r="AY24" s="84" t="s">
        <v>182</v>
      </c>
      <c r="AZ24" s="84" t="s">
        <v>191</v>
      </c>
      <c r="BA24" s="78" t="s">
        <v>198</v>
      </c>
      <c r="BC24" s="83">
        <f>AW24+AX24</f>
        <v>0</v>
      </c>
      <c r="BD24" s="83">
        <f>G24/(100-BE24)*100</f>
        <v>0</v>
      </c>
      <c r="BE24" s="83">
        <v>0</v>
      </c>
      <c r="BF24" s="83">
        <f>L24</f>
        <v>48.303249999999998</v>
      </c>
      <c r="BH24" s="81">
        <f>F24*AO24</f>
        <v>0</v>
      </c>
      <c r="BI24" s="81">
        <f>F24*AP24</f>
        <v>0</v>
      </c>
      <c r="BJ24" s="81">
        <f>F24*G24</f>
        <v>0</v>
      </c>
    </row>
    <row r="25" spans="1:62">
      <c r="A25" s="4" t="s">
        <v>17</v>
      </c>
      <c r="B25" s="4"/>
      <c r="C25" s="4" t="s">
        <v>60</v>
      </c>
      <c r="D25" s="4" t="s">
        <v>107</v>
      </c>
      <c r="E25" s="4" t="s">
        <v>147</v>
      </c>
      <c r="F25" s="17">
        <v>25.01</v>
      </c>
      <c r="G25" s="81">
        <v>0</v>
      </c>
      <c r="H25" s="17">
        <f>F25*AO25</f>
        <v>0</v>
      </c>
      <c r="I25" s="17">
        <f>F25*AP25</f>
        <v>0</v>
      </c>
      <c r="J25" s="17">
        <f>F25*G25</f>
        <v>0</v>
      </c>
      <c r="K25" s="17">
        <v>3.6400000000000002E-2</v>
      </c>
      <c r="L25" s="17">
        <f>F25*K25</f>
        <v>0.91036400000000006</v>
      </c>
      <c r="M25" s="26" t="s">
        <v>268</v>
      </c>
      <c r="Z25" s="83">
        <f>IF(AQ25="5",BJ25,0)</f>
        <v>0</v>
      </c>
      <c r="AB25" s="83">
        <f>IF(AQ25="1",BH25,0)</f>
        <v>0</v>
      </c>
      <c r="AC25" s="83">
        <f>IF(AQ25="1",BI25,0)</f>
        <v>0</v>
      </c>
      <c r="AD25" s="83">
        <f>IF(AQ25="7",BH25,0)</f>
        <v>0</v>
      </c>
      <c r="AE25" s="83">
        <f>IF(AQ25="7",BI25,0)</f>
        <v>0</v>
      </c>
      <c r="AF25" s="83">
        <f>IF(AQ25="2",BH25,0)</f>
        <v>0</v>
      </c>
      <c r="AG25" s="83">
        <f>IF(AQ25="2",BI25,0)</f>
        <v>0</v>
      </c>
      <c r="AH25" s="83">
        <f>IF(AQ25="0",BJ25,0)</f>
        <v>0</v>
      </c>
      <c r="AI25" s="78"/>
      <c r="AJ25" s="81">
        <f>IF(AN25=0,J25,0)</f>
        <v>0</v>
      </c>
      <c r="AK25" s="81">
        <f>IF(AN25=15,J25,0)</f>
        <v>0</v>
      </c>
      <c r="AL25" s="81">
        <f>IF(AN25=21,J25,0)</f>
        <v>0</v>
      </c>
      <c r="AN25" s="83">
        <v>21</v>
      </c>
      <c r="AO25" s="83">
        <f>G25*0.610584905660377</f>
        <v>0</v>
      </c>
      <c r="AP25" s="83">
        <f>G25*(1-0.610584905660377)</f>
        <v>0</v>
      </c>
      <c r="AQ25" s="82" t="s">
        <v>7</v>
      </c>
      <c r="AV25" s="83">
        <f>AW25+AX25</f>
        <v>0</v>
      </c>
      <c r="AW25" s="83">
        <f>F25*AO25</f>
        <v>0</v>
      </c>
      <c r="AX25" s="83">
        <f>F25*AP25</f>
        <v>0</v>
      </c>
      <c r="AY25" s="84" t="s">
        <v>182</v>
      </c>
      <c r="AZ25" s="84" t="s">
        <v>191</v>
      </c>
      <c r="BA25" s="78" t="s">
        <v>198</v>
      </c>
      <c r="BC25" s="83">
        <f>AW25+AX25</f>
        <v>0</v>
      </c>
      <c r="BD25" s="83">
        <f>G25/(100-BE25)*100</f>
        <v>0</v>
      </c>
      <c r="BE25" s="83">
        <v>0</v>
      </c>
      <c r="BF25" s="83">
        <f>L25</f>
        <v>0.91036400000000006</v>
      </c>
      <c r="BH25" s="81">
        <f>F25*AO25</f>
        <v>0</v>
      </c>
      <c r="BI25" s="81">
        <f>F25*AP25</f>
        <v>0</v>
      </c>
      <c r="BJ25" s="81">
        <f>F25*G25</f>
        <v>0</v>
      </c>
    </row>
    <row r="26" spans="1:62">
      <c r="A26" s="5"/>
      <c r="B26" s="13"/>
      <c r="C26" s="13" t="s">
        <v>38</v>
      </c>
      <c r="D26" s="13" t="s">
        <v>108</v>
      </c>
      <c r="E26" s="5" t="s">
        <v>6</v>
      </c>
      <c r="F26" s="5" t="s">
        <v>6</v>
      </c>
      <c r="G26" s="85" t="s">
        <v>6</v>
      </c>
      <c r="H26" s="33">
        <f>SUM(H27:H27)</f>
        <v>0</v>
      </c>
      <c r="I26" s="33">
        <f>SUM(I27:I27)</f>
        <v>0</v>
      </c>
      <c r="J26" s="33">
        <f>SUM(J27:J27)</f>
        <v>0</v>
      </c>
      <c r="K26" s="24"/>
      <c r="L26" s="33">
        <f>SUM(L27:L27)</f>
        <v>9.6416096000000007</v>
      </c>
      <c r="M26" s="24"/>
      <c r="AI26" s="78"/>
      <c r="AS26" s="80">
        <f>SUM(AJ27:AJ27)</f>
        <v>0</v>
      </c>
      <c r="AT26" s="80">
        <f>SUM(AK27:AK27)</f>
        <v>0</v>
      </c>
      <c r="AU26" s="80">
        <f>SUM(AL27:AL27)</f>
        <v>0</v>
      </c>
    </row>
    <row r="27" spans="1:62">
      <c r="A27" s="4" t="s">
        <v>18</v>
      </c>
      <c r="B27" s="4"/>
      <c r="C27" s="4" t="s">
        <v>61</v>
      </c>
      <c r="D27" s="4" t="s">
        <v>109</v>
      </c>
      <c r="E27" s="4" t="s">
        <v>148</v>
      </c>
      <c r="F27" s="17">
        <v>117.152</v>
      </c>
      <c r="G27" s="81">
        <v>0</v>
      </c>
      <c r="H27" s="17">
        <f>F27*AO27</f>
        <v>0</v>
      </c>
      <c r="I27" s="17">
        <f>F27*AP27</f>
        <v>0</v>
      </c>
      <c r="J27" s="17">
        <f>F27*G27</f>
        <v>0</v>
      </c>
      <c r="K27" s="17">
        <v>8.2299999999999998E-2</v>
      </c>
      <c r="L27" s="17">
        <f>F27*K27</f>
        <v>9.6416096000000007</v>
      </c>
      <c r="M27" s="26" t="s">
        <v>268</v>
      </c>
      <c r="Z27" s="83">
        <f>IF(AQ27="5",BJ27,0)</f>
        <v>0</v>
      </c>
      <c r="AB27" s="83">
        <f>IF(AQ27="1",BH27,0)</f>
        <v>0</v>
      </c>
      <c r="AC27" s="83">
        <f>IF(AQ27="1",BI27,0)</f>
        <v>0</v>
      </c>
      <c r="AD27" s="83">
        <f>IF(AQ27="7",BH27,0)</f>
        <v>0</v>
      </c>
      <c r="AE27" s="83">
        <f>IF(AQ27="7",BI27,0)</f>
        <v>0</v>
      </c>
      <c r="AF27" s="83">
        <f>IF(AQ27="2",BH27,0)</f>
        <v>0</v>
      </c>
      <c r="AG27" s="83">
        <f>IF(AQ27="2",BI27,0)</f>
        <v>0</v>
      </c>
      <c r="AH27" s="83">
        <f>IF(AQ27="0",BJ27,0)</f>
        <v>0</v>
      </c>
      <c r="AI27" s="78"/>
      <c r="AJ27" s="81">
        <f>IF(AN27=0,J27,0)</f>
        <v>0</v>
      </c>
      <c r="AK27" s="81">
        <f>IF(AN27=15,J27,0)</f>
        <v>0</v>
      </c>
      <c r="AL27" s="81">
        <f>IF(AN27=21,J27,0)</f>
        <v>0</v>
      </c>
      <c r="AN27" s="83">
        <v>21</v>
      </c>
      <c r="AO27" s="83">
        <f>G27*0.0751927437641723</f>
        <v>0</v>
      </c>
      <c r="AP27" s="83">
        <f>G27*(1-0.0751927437641723)</f>
        <v>0</v>
      </c>
      <c r="AQ27" s="82" t="s">
        <v>7</v>
      </c>
      <c r="AV27" s="83">
        <f>AW27+AX27</f>
        <v>0</v>
      </c>
      <c r="AW27" s="83">
        <f>F27*AO27</f>
        <v>0</v>
      </c>
      <c r="AX27" s="83">
        <f>F27*AP27</f>
        <v>0</v>
      </c>
      <c r="AY27" s="84" t="s">
        <v>183</v>
      </c>
      <c r="AZ27" s="84" t="s">
        <v>192</v>
      </c>
      <c r="BA27" s="78" t="s">
        <v>198</v>
      </c>
      <c r="BC27" s="83">
        <f>AW27+AX27</f>
        <v>0</v>
      </c>
      <c r="BD27" s="83">
        <f>G27/(100-BE27)*100</f>
        <v>0</v>
      </c>
      <c r="BE27" s="83">
        <v>0</v>
      </c>
      <c r="BF27" s="83">
        <f>L27</f>
        <v>9.6416096000000007</v>
      </c>
      <c r="BH27" s="81">
        <f>F27*AO27</f>
        <v>0</v>
      </c>
      <c r="BI27" s="81">
        <f>F27*AP27</f>
        <v>0</v>
      </c>
      <c r="BJ27" s="81">
        <f>F27*G27</f>
        <v>0</v>
      </c>
    </row>
    <row r="28" spans="1:62">
      <c r="A28" s="5"/>
      <c r="B28" s="13"/>
      <c r="C28" s="13" t="s">
        <v>62</v>
      </c>
      <c r="D28" s="13" t="s">
        <v>110</v>
      </c>
      <c r="E28" s="5" t="s">
        <v>6</v>
      </c>
      <c r="F28" s="5" t="s">
        <v>6</v>
      </c>
      <c r="G28" s="85" t="s">
        <v>6</v>
      </c>
      <c r="H28" s="33">
        <f>SUM(H29:H29)</f>
        <v>0</v>
      </c>
      <c r="I28" s="33">
        <f>SUM(I29:I29)</f>
        <v>0</v>
      </c>
      <c r="J28" s="33">
        <f>SUM(J29:J29)</f>
        <v>0</v>
      </c>
      <c r="K28" s="24"/>
      <c r="L28" s="33">
        <f>SUM(L29:L29)</f>
        <v>43.436250000000001</v>
      </c>
      <c r="M28" s="24"/>
      <c r="AI28" s="78"/>
      <c r="AS28" s="80">
        <f>SUM(AJ29:AJ29)</f>
        <v>0</v>
      </c>
      <c r="AT28" s="80">
        <f>SUM(AK29:AK29)</f>
        <v>0</v>
      </c>
      <c r="AU28" s="80">
        <f>SUM(AL29:AL29)</f>
        <v>0</v>
      </c>
    </row>
    <row r="29" spans="1:62">
      <c r="A29" s="4" t="s">
        <v>19</v>
      </c>
      <c r="B29" s="4"/>
      <c r="C29" s="4" t="s">
        <v>63</v>
      </c>
      <c r="D29" s="4" t="s">
        <v>111</v>
      </c>
      <c r="E29" s="4" t="s">
        <v>148</v>
      </c>
      <c r="F29" s="17">
        <v>24.3</v>
      </c>
      <c r="G29" s="81">
        <v>0</v>
      </c>
      <c r="H29" s="17">
        <f>F29*AO29</f>
        <v>0</v>
      </c>
      <c r="I29" s="17">
        <f>F29*AP29</f>
        <v>0</v>
      </c>
      <c r="J29" s="17">
        <f>F29*G29</f>
        <v>0</v>
      </c>
      <c r="K29" s="17">
        <v>1.7875000000000001</v>
      </c>
      <c r="L29" s="17">
        <f>F29*K29</f>
        <v>43.436250000000001</v>
      </c>
      <c r="M29" s="26" t="s">
        <v>268</v>
      </c>
      <c r="Z29" s="83">
        <f>IF(AQ29="5",BJ29,0)</f>
        <v>0</v>
      </c>
      <c r="AB29" s="83">
        <f>IF(AQ29="1",BH29,0)</f>
        <v>0</v>
      </c>
      <c r="AC29" s="83">
        <f>IF(AQ29="1",BI29,0)</f>
        <v>0</v>
      </c>
      <c r="AD29" s="83">
        <f>IF(AQ29="7",BH29,0)</f>
        <v>0</v>
      </c>
      <c r="AE29" s="83">
        <f>IF(AQ29="7",BI29,0)</f>
        <v>0</v>
      </c>
      <c r="AF29" s="83">
        <f>IF(AQ29="2",BH29,0)</f>
        <v>0</v>
      </c>
      <c r="AG29" s="83">
        <f>IF(AQ29="2",BI29,0)</f>
        <v>0</v>
      </c>
      <c r="AH29" s="83">
        <f>IF(AQ29="0",BJ29,0)</f>
        <v>0</v>
      </c>
      <c r="AI29" s="78"/>
      <c r="AJ29" s="81">
        <f>IF(AN29=0,J29,0)</f>
        <v>0</v>
      </c>
      <c r="AK29" s="81">
        <f>IF(AN29=15,J29,0)</f>
        <v>0</v>
      </c>
      <c r="AL29" s="81">
        <f>IF(AN29=21,J29,0)</f>
        <v>0</v>
      </c>
      <c r="AN29" s="83">
        <v>21</v>
      </c>
      <c r="AO29" s="83">
        <f>G29*0.617972972972973</f>
        <v>0</v>
      </c>
      <c r="AP29" s="83">
        <f>G29*(1-0.617972972972973)</f>
        <v>0</v>
      </c>
      <c r="AQ29" s="82" t="s">
        <v>7</v>
      </c>
      <c r="AV29" s="83">
        <f>AW29+AX29</f>
        <v>0</v>
      </c>
      <c r="AW29" s="83">
        <f>F29*AO29</f>
        <v>0</v>
      </c>
      <c r="AX29" s="83">
        <f>F29*AP29</f>
        <v>0</v>
      </c>
      <c r="AY29" s="84" t="s">
        <v>184</v>
      </c>
      <c r="AZ29" s="84" t="s">
        <v>193</v>
      </c>
      <c r="BA29" s="78" t="s">
        <v>198</v>
      </c>
      <c r="BC29" s="83">
        <f>AW29+AX29</f>
        <v>0</v>
      </c>
      <c r="BD29" s="83">
        <f>G29/(100-BE29)*100</f>
        <v>0</v>
      </c>
      <c r="BE29" s="83">
        <v>0</v>
      </c>
      <c r="BF29" s="83">
        <f>L29</f>
        <v>43.436250000000001</v>
      </c>
      <c r="BH29" s="81">
        <f>F29*AO29</f>
        <v>0</v>
      </c>
      <c r="BI29" s="81">
        <f>F29*AP29</f>
        <v>0</v>
      </c>
      <c r="BJ29" s="81">
        <f>F29*G29</f>
        <v>0</v>
      </c>
    </row>
    <row r="30" spans="1:62">
      <c r="A30" s="5"/>
      <c r="B30" s="13"/>
      <c r="C30" s="13" t="s">
        <v>64</v>
      </c>
      <c r="D30" s="13" t="s">
        <v>112</v>
      </c>
      <c r="E30" s="5" t="s">
        <v>6</v>
      </c>
      <c r="F30" s="5" t="s">
        <v>6</v>
      </c>
      <c r="G30" s="85" t="s">
        <v>6</v>
      </c>
      <c r="H30" s="33">
        <f>SUM(H31:H39)</f>
        <v>0</v>
      </c>
      <c r="I30" s="33">
        <f>SUM(I31:I39)</f>
        <v>0</v>
      </c>
      <c r="J30" s="33">
        <f>SUM(J31:J39)</f>
        <v>0</v>
      </c>
      <c r="K30" s="24"/>
      <c r="L30" s="33">
        <f>SUM(L31:L39)</f>
        <v>0.11156399999999998</v>
      </c>
      <c r="M30" s="24"/>
      <c r="AI30" s="78"/>
      <c r="AS30" s="80">
        <f>SUM(AJ31:AJ39)</f>
        <v>0</v>
      </c>
      <c r="AT30" s="80">
        <f>SUM(AK31:AK39)</f>
        <v>0</v>
      </c>
      <c r="AU30" s="80">
        <f>SUM(AL31:AL39)</f>
        <v>0</v>
      </c>
    </row>
    <row r="31" spans="1:62">
      <c r="A31" s="4" t="s">
        <v>20</v>
      </c>
      <c r="B31" s="4"/>
      <c r="C31" s="4" t="s">
        <v>65</v>
      </c>
      <c r="D31" s="4" t="s">
        <v>113</v>
      </c>
      <c r="E31" s="4" t="s">
        <v>150</v>
      </c>
      <c r="F31" s="17">
        <v>17.8</v>
      </c>
      <c r="G31" s="81">
        <v>0</v>
      </c>
      <c r="H31" s="17">
        <f t="shared" ref="H31:H39" si="0">F31*AO31</f>
        <v>0</v>
      </c>
      <c r="I31" s="17">
        <f t="shared" ref="I31:I39" si="1">F31*AP31</f>
        <v>0</v>
      </c>
      <c r="J31" s="17">
        <f t="shared" ref="J31:J39" si="2">F31*G31</f>
        <v>0</v>
      </c>
      <c r="K31" s="17">
        <v>6.9999999999999994E-5</v>
      </c>
      <c r="L31" s="17">
        <f t="shared" ref="L31:L39" si="3">F31*K31</f>
        <v>1.2459999999999999E-3</v>
      </c>
      <c r="M31" s="26" t="s">
        <v>268</v>
      </c>
      <c r="Z31" s="83">
        <f t="shared" ref="Z31:Z39" si="4">IF(AQ31="5",BJ31,0)</f>
        <v>0</v>
      </c>
      <c r="AB31" s="83">
        <f t="shared" ref="AB31:AB39" si="5">IF(AQ31="1",BH31,0)</f>
        <v>0</v>
      </c>
      <c r="AC31" s="83">
        <f t="shared" ref="AC31:AC39" si="6">IF(AQ31="1",BI31,0)</f>
        <v>0</v>
      </c>
      <c r="AD31" s="83">
        <f t="shared" ref="AD31:AD39" si="7">IF(AQ31="7",BH31,0)</f>
        <v>0</v>
      </c>
      <c r="AE31" s="83">
        <f t="shared" ref="AE31:AE39" si="8">IF(AQ31="7",BI31,0)</f>
        <v>0</v>
      </c>
      <c r="AF31" s="83">
        <f t="shared" ref="AF31:AF39" si="9">IF(AQ31="2",BH31,0)</f>
        <v>0</v>
      </c>
      <c r="AG31" s="83">
        <f t="shared" ref="AG31:AG39" si="10">IF(AQ31="2",BI31,0)</f>
        <v>0</v>
      </c>
      <c r="AH31" s="83">
        <f t="shared" ref="AH31:AH39" si="11">IF(AQ31="0",BJ31,0)</f>
        <v>0</v>
      </c>
      <c r="AI31" s="78"/>
      <c r="AJ31" s="81">
        <f t="shared" ref="AJ31:AJ39" si="12">IF(AN31=0,J31,0)</f>
        <v>0</v>
      </c>
      <c r="AK31" s="81">
        <f t="shared" ref="AK31:AK39" si="13">IF(AN31=15,J31,0)</f>
        <v>0</v>
      </c>
      <c r="AL31" s="81">
        <f t="shared" ref="AL31:AL39" si="14">IF(AN31=21,J31,0)</f>
        <v>0</v>
      </c>
      <c r="AN31" s="83">
        <v>21</v>
      </c>
      <c r="AO31" s="83">
        <f>G31*0.0867102396514161</f>
        <v>0</v>
      </c>
      <c r="AP31" s="83">
        <f>G31*(1-0.0867102396514161)</f>
        <v>0</v>
      </c>
      <c r="AQ31" s="82" t="s">
        <v>13</v>
      </c>
      <c r="AV31" s="83">
        <f t="shared" ref="AV31:AV39" si="15">AW31+AX31</f>
        <v>0</v>
      </c>
      <c r="AW31" s="83">
        <f t="shared" ref="AW31:AW39" si="16">F31*AO31</f>
        <v>0</v>
      </c>
      <c r="AX31" s="83">
        <f t="shared" ref="AX31:AX39" si="17">F31*AP31</f>
        <v>0</v>
      </c>
      <c r="AY31" s="84" t="s">
        <v>185</v>
      </c>
      <c r="AZ31" s="84" t="s">
        <v>194</v>
      </c>
      <c r="BA31" s="78" t="s">
        <v>198</v>
      </c>
      <c r="BC31" s="83">
        <f t="shared" ref="BC31:BC39" si="18">AW31+AX31</f>
        <v>0</v>
      </c>
      <c r="BD31" s="83">
        <f t="shared" ref="BD31:BD39" si="19">G31/(100-BE31)*100</f>
        <v>0</v>
      </c>
      <c r="BE31" s="83">
        <v>0</v>
      </c>
      <c r="BF31" s="83">
        <f t="shared" ref="BF31:BF39" si="20">L31</f>
        <v>1.2459999999999999E-3</v>
      </c>
      <c r="BH31" s="81">
        <f t="shared" ref="BH31:BH39" si="21">F31*AO31</f>
        <v>0</v>
      </c>
      <c r="BI31" s="81">
        <f t="shared" ref="BI31:BI39" si="22">F31*AP31</f>
        <v>0</v>
      </c>
      <c r="BJ31" s="81">
        <f t="shared" ref="BJ31:BJ39" si="23">F31*G31</f>
        <v>0</v>
      </c>
    </row>
    <row r="32" spans="1:62">
      <c r="A32" s="4" t="s">
        <v>21</v>
      </c>
      <c r="B32" s="4"/>
      <c r="C32" s="4" t="s">
        <v>66</v>
      </c>
      <c r="D32" s="4" t="s">
        <v>114</v>
      </c>
      <c r="E32" s="4" t="s">
        <v>151</v>
      </c>
      <c r="F32" s="17">
        <v>16</v>
      </c>
      <c r="G32" s="81">
        <v>0</v>
      </c>
      <c r="H32" s="17">
        <f t="shared" si="0"/>
        <v>0</v>
      </c>
      <c r="I32" s="17">
        <f t="shared" si="1"/>
        <v>0</v>
      </c>
      <c r="J32" s="17">
        <f t="shared" si="2"/>
        <v>0</v>
      </c>
      <c r="K32" s="17">
        <v>5.0000000000000002E-5</v>
      </c>
      <c r="L32" s="17">
        <f t="shared" si="3"/>
        <v>8.0000000000000004E-4</v>
      </c>
      <c r="M32" s="26" t="s">
        <v>268</v>
      </c>
      <c r="Z32" s="83">
        <f t="shared" si="4"/>
        <v>0</v>
      </c>
      <c r="AB32" s="83">
        <f t="shared" si="5"/>
        <v>0</v>
      </c>
      <c r="AC32" s="83">
        <f t="shared" si="6"/>
        <v>0</v>
      </c>
      <c r="AD32" s="83">
        <f t="shared" si="7"/>
        <v>0</v>
      </c>
      <c r="AE32" s="83">
        <f t="shared" si="8"/>
        <v>0</v>
      </c>
      <c r="AF32" s="83">
        <f t="shared" si="9"/>
        <v>0</v>
      </c>
      <c r="AG32" s="83">
        <f t="shared" si="10"/>
        <v>0</v>
      </c>
      <c r="AH32" s="83">
        <f t="shared" si="11"/>
        <v>0</v>
      </c>
      <c r="AI32" s="78"/>
      <c r="AJ32" s="81">
        <f t="shared" si="12"/>
        <v>0</v>
      </c>
      <c r="AK32" s="81">
        <f t="shared" si="13"/>
        <v>0</v>
      </c>
      <c r="AL32" s="81">
        <f t="shared" si="14"/>
        <v>0</v>
      </c>
      <c r="AN32" s="83">
        <v>21</v>
      </c>
      <c r="AO32" s="83">
        <f>G32*0.0611832611832612</f>
        <v>0</v>
      </c>
      <c r="AP32" s="83">
        <f>G32*(1-0.0611832611832612)</f>
        <v>0</v>
      </c>
      <c r="AQ32" s="82" t="s">
        <v>13</v>
      </c>
      <c r="AV32" s="83">
        <f t="shared" si="15"/>
        <v>0</v>
      </c>
      <c r="AW32" s="83">
        <f t="shared" si="16"/>
        <v>0</v>
      </c>
      <c r="AX32" s="83">
        <f t="shared" si="17"/>
        <v>0</v>
      </c>
      <c r="AY32" s="84" t="s">
        <v>185</v>
      </c>
      <c r="AZ32" s="84" t="s">
        <v>194</v>
      </c>
      <c r="BA32" s="78" t="s">
        <v>198</v>
      </c>
      <c r="BC32" s="83">
        <f t="shared" si="18"/>
        <v>0</v>
      </c>
      <c r="BD32" s="83">
        <f t="shared" si="19"/>
        <v>0</v>
      </c>
      <c r="BE32" s="83">
        <v>0</v>
      </c>
      <c r="BF32" s="83">
        <f t="shared" si="20"/>
        <v>8.0000000000000004E-4</v>
      </c>
      <c r="BH32" s="81">
        <f t="shared" si="21"/>
        <v>0</v>
      </c>
      <c r="BI32" s="81">
        <f t="shared" si="22"/>
        <v>0</v>
      </c>
      <c r="BJ32" s="81">
        <f t="shared" si="23"/>
        <v>0</v>
      </c>
    </row>
    <row r="33" spans="1:62">
      <c r="A33" s="4" t="s">
        <v>22</v>
      </c>
      <c r="B33" s="4"/>
      <c r="C33" s="4" t="s">
        <v>67</v>
      </c>
      <c r="D33" s="4" t="s">
        <v>115</v>
      </c>
      <c r="E33" s="4" t="s">
        <v>150</v>
      </c>
      <c r="F33" s="17">
        <v>17.8</v>
      </c>
      <c r="G33" s="81">
        <v>0</v>
      </c>
      <c r="H33" s="17">
        <f t="shared" si="0"/>
        <v>0</v>
      </c>
      <c r="I33" s="17">
        <f t="shared" si="1"/>
        <v>0</v>
      </c>
      <c r="J33" s="17">
        <f t="shared" si="2"/>
        <v>0</v>
      </c>
      <c r="K33" s="17">
        <v>3.0799999999999998E-3</v>
      </c>
      <c r="L33" s="17">
        <f t="shared" si="3"/>
        <v>5.4823999999999998E-2</v>
      </c>
      <c r="M33" s="26" t="s">
        <v>268</v>
      </c>
      <c r="Z33" s="83">
        <f t="shared" si="4"/>
        <v>0</v>
      </c>
      <c r="AB33" s="83">
        <f t="shared" si="5"/>
        <v>0</v>
      </c>
      <c r="AC33" s="83">
        <f t="shared" si="6"/>
        <v>0</v>
      </c>
      <c r="AD33" s="83">
        <f t="shared" si="7"/>
        <v>0</v>
      </c>
      <c r="AE33" s="83">
        <f t="shared" si="8"/>
        <v>0</v>
      </c>
      <c r="AF33" s="83">
        <f t="shared" si="9"/>
        <v>0</v>
      </c>
      <c r="AG33" s="83">
        <f t="shared" si="10"/>
        <v>0</v>
      </c>
      <c r="AH33" s="83">
        <f t="shared" si="11"/>
        <v>0</v>
      </c>
      <c r="AI33" s="78"/>
      <c r="AJ33" s="81">
        <f t="shared" si="12"/>
        <v>0</v>
      </c>
      <c r="AK33" s="81">
        <f t="shared" si="13"/>
        <v>0</v>
      </c>
      <c r="AL33" s="81">
        <f t="shared" si="14"/>
        <v>0</v>
      </c>
      <c r="AN33" s="83">
        <v>21</v>
      </c>
      <c r="AO33" s="83">
        <f>G33*0.274378682647082</f>
        <v>0</v>
      </c>
      <c r="AP33" s="83">
        <f>G33*(1-0.274378682647082)</f>
        <v>0</v>
      </c>
      <c r="AQ33" s="82" t="s">
        <v>13</v>
      </c>
      <c r="AV33" s="83">
        <f t="shared" si="15"/>
        <v>0</v>
      </c>
      <c r="AW33" s="83">
        <f t="shared" si="16"/>
        <v>0</v>
      </c>
      <c r="AX33" s="83">
        <f t="shared" si="17"/>
        <v>0</v>
      </c>
      <c r="AY33" s="84" t="s">
        <v>185</v>
      </c>
      <c r="AZ33" s="84" t="s">
        <v>194</v>
      </c>
      <c r="BA33" s="78" t="s">
        <v>198</v>
      </c>
      <c r="BC33" s="83">
        <f t="shared" si="18"/>
        <v>0</v>
      </c>
      <c r="BD33" s="83">
        <f t="shared" si="19"/>
        <v>0</v>
      </c>
      <c r="BE33" s="83">
        <v>0</v>
      </c>
      <c r="BF33" s="83">
        <f t="shared" si="20"/>
        <v>5.4823999999999998E-2</v>
      </c>
      <c r="BH33" s="81">
        <f t="shared" si="21"/>
        <v>0</v>
      </c>
      <c r="BI33" s="81">
        <f t="shared" si="22"/>
        <v>0</v>
      </c>
      <c r="BJ33" s="81">
        <f t="shared" si="23"/>
        <v>0</v>
      </c>
    </row>
    <row r="34" spans="1:62">
      <c r="A34" s="4" t="s">
        <v>23</v>
      </c>
      <c r="B34" s="4"/>
      <c r="C34" s="4" t="s">
        <v>68</v>
      </c>
      <c r="D34" s="4" t="s">
        <v>116</v>
      </c>
      <c r="E34" s="4" t="s">
        <v>151</v>
      </c>
      <c r="F34" s="17">
        <v>4</v>
      </c>
      <c r="G34" s="81">
        <v>0</v>
      </c>
      <c r="H34" s="17">
        <f t="shared" si="0"/>
        <v>0</v>
      </c>
      <c r="I34" s="17">
        <f t="shared" si="1"/>
        <v>0</v>
      </c>
      <c r="J34" s="17">
        <f t="shared" si="2"/>
        <v>0</v>
      </c>
      <c r="K34" s="17">
        <v>2.0000000000000002E-5</v>
      </c>
      <c r="L34" s="17">
        <f t="shared" si="3"/>
        <v>8.0000000000000007E-5</v>
      </c>
      <c r="M34" s="26" t="s">
        <v>268</v>
      </c>
      <c r="Z34" s="83">
        <f t="shared" si="4"/>
        <v>0</v>
      </c>
      <c r="AB34" s="83">
        <f t="shared" si="5"/>
        <v>0</v>
      </c>
      <c r="AC34" s="83">
        <f t="shared" si="6"/>
        <v>0</v>
      </c>
      <c r="AD34" s="83">
        <f t="shared" si="7"/>
        <v>0</v>
      </c>
      <c r="AE34" s="83">
        <f t="shared" si="8"/>
        <v>0</v>
      </c>
      <c r="AF34" s="83">
        <f t="shared" si="9"/>
        <v>0</v>
      </c>
      <c r="AG34" s="83">
        <f t="shared" si="10"/>
        <v>0</v>
      </c>
      <c r="AH34" s="83">
        <f t="shared" si="11"/>
        <v>0</v>
      </c>
      <c r="AI34" s="78"/>
      <c r="AJ34" s="81">
        <f t="shared" si="12"/>
        <v>0</v>
      </c>
      <c r="AK34" s="81">
        <f t="shared" si="13"/>
        <v>0</v>
      </c>
      <c r="AL34" s="81">
        <f t="shared" si="14"/>
        <v>0</v>
      </c>
      <c r="AN34" s="83">
        <v>21</v>
      </c>
      <c r="AO34" s="83">
        <f>G34*0.153454545454545</f>
        <v>0</v>
      </c>
      <c r="AP34" s="83">
        <f>G34*(1-0.153454545454545)</f>
        <v>0</v>
      </c>
      <c r="AQ34" s="82" t="s">
        <v>13</v>
      </c>
      <c r="AV34" s="83">
        <f t="shared" si="15"/>
        <v>0</v>
      </c>
      <c r="AW34" s="83">
        <f t="shared" si="16"/>
        <v>0</v>
      </c>
      <c r="AX34" s="83">
        <f t="shared" si="17"/>
        <v>0</v>
      </c>
      <c r="AY34" s="84" t="s">
        <v>185</v>
      </c>
      <c r="AZ34" s="84" t="s">
        <v>194</v>
      </c>
      <c r="BA34" s="78" t="s">
        <v>198</v>
      </c>
      <c r="BC34" s="83">
        <f t="shared" si="18"/>
        <v>0</v>
      </c>
      <c r="BD34" s="83">
        <f t="shared" si="19"/>
        <v>0</v>
      </c>
      <c r="BE34" s="83">
        <v>0</v>
      </c>
      <c r="BF34" s="83">
        <f t="shared" si="20"/>
        <v>8.0000000000000007E-5</v>
      </c>
      <c r="BH34" s="81">
        <f t="shared" si="21"/>
        <v>0</v>
      </c>
      <c r="BI34" s="81">
        <f t="shared" si="22"/>
        <v>0</v>
      </c>
      <c r="BJ34" s="81">
        <f t="shared" si="23"/>
        <v>0</v>
      </c>
    </row>
    <row r="35" spans="1:62">
      <c r="A35" s="4" t="s">
        <v>24</v>
      </c>
      <c r="B35" s="4"/>
      <c r="C35" s="4" t="s">
        <v>69</v>
      </c>
      <c r="D35" s="4" t="s">
        <v>117</v>
      </c>
      <c r="E35" s="4" t="s">
        <v>151</v>
      </c>
      <c r="F35" s="17">
        <v>2</v>
      </c>
      <c r="G35" s="81">
        <v>0</v>
      </c>
      <c r="H35" s="17">
        <f t="shared" si="0"/>
        <v>0</v>
      </c>
      <c r="I35" s="17">
        <f t="shared" si="1"/>
        <v>0</v>
      </c>
      <c r="J35" s="17">
        <f t="shared" si="2"/>
        <v>0</v>
      </c>
      <c r="K35" s="17">
        <v>1.1E-4</v>
      </c>
      <c r="L35" s="17">
        <f t="shared" si="3"/>
        <v>2.2000000000000001E-4</v>
      </c>
      <c r="M35" s="26" t="s">
        <v>268</v>
      </c>
      <c r="Z35" s="83">
        <f t="shared" si="4"/>
        <v>0</v>
      </c>
      <c r="AB35" s="83">
        <f t="shared" si="5"/>
        <v>0</v>
      </c>
      <c r="AC35" s="83">
        <f t="shared" si="6"/>
        <v>0</v>
      </c>
      <c r="AD35" s="83">
        <f t="shared" si="7"/>
        <v>0</v>
      </c>
      <c r="AE35" s="83">
        <f t="shared" si="8"/>
        <v>0</v>
      </c>
      <c r="AF35" s="83">
        <f t="shared" si="9"/>
        <v>0</v>
      </c>
      <c r="AG35" s="83">
        <f t="shared" si="10"/>
        <v>0</v>
      </c>
      <c r="AH35" s="83">
        <f t="shared" si="11"/>
        <v>0</v>
      </c>
      <c r="AI35" s="78"/>
      <c r="AJ35" s="81">
        <f t="shared" si="12"/>
        <v>0</v>
      </c>
      <c r="AK35" s="81">
        <f t="shared" si="13"/>
        <v>0</v>
      </c>
      <c r="AL35" s="81">
        <f t="shared" si="14"/>
        <v>0</v>
      </c>
      <c r="AN35" s="83">
        <v>21</v>
      </c>
      <c r="AO35" s="83">
        <f>G35*0.173868613138686</f>
        <v>0</v>
      </c>
      <c r="AP35" s="83">
        <f>G35*(1-0.173868613138686)</f>
        <v>0</v>
      </c>
      <c r="AQ35" s="82" t="s">
        <v>13</v>
      </c>
      <c r="AV35" s="83">
        <f t="shared" si="15"/>
        <v>0</v>
      </c>
      <c r="AW35" s="83">
        <f t="shared" si="16"/>
        <v>0</v>
      </c>
      <c r="AX35" s="83">
        <f t="shared" si="17"/>
        <v>0</v>
      </c>
      <c r="AY35" s="84" t="s">
        <v>185</v>
      </c>
      <c r="AZ35" s="84" t="s">
        <v>194</v>
      </c>
      <c r="BA35" s="78" t="s">
        <v>198</v>
      </c>
      <c r="BC35" s="83">
        <f t="shared" si="18"/>
        <v>0</v>
      </c>
      <c r="BD35" s="83">
        <f t="shared" si="19"/>
        <v>0</v>
      </c>
      <c r="BE35" s="83">
        <v>0</v>
      </c>
      <c r="BF35" s="83">
        <f t="shared" si="20"/>
        <v>2.2000000000000001E-4</v>
      </c>
      <c r="BH35" s="81">
        <f t="shared" si="21"/>
        <v>0</v>
      </c>
      <c r="BI35" s="81">
        <f t="shared" si="22"/>
        <v>0</v>
      </c>
      <c r="BJ35" s="81">
        <f t="shared" si="23"/>
        <v>0</v>
      </c>
    </row>
    <row r="36" spans="1:62">
      <c r="A36" s="4" t="s">
        <v>25</v>
      </c>
      <c r="B36" s="4"/>
      <c r="C36" s="4" t="s">
        <v>70</v>
      </c>
      <c r="D36" s="4" t="s">
        <v>118</v>
      </c>
      <c r="E36" s="4" t="s">
        <v>151</v>
      </c>
      <c r="F36" s="17">
        <v>2</v>
      </c>
      <c r="G36" s="81">
        <v>0</v>
      </c>
      <c r="H36" s="17">
        <f t="shared" si="0"/>
        <v>0</v>
      </c>
      <c r="I36" s="17">
        <f t="shared" si="1"/>
        <v>0</v>
      </c>
      <c r="J36" s="17">
        <f t="shared" si="2"/>
        <v>0</v>
      </c>
      <c r="K36" s="17">
        <v>1.65E-3</v>
      </c>
      <c r="L36" s="17">
        <f t="shared" si="3"/>
        <v>3.3E-3</v>
      </c>
      <c r="M36" s="26" t="s">
        <v>268</v>
      </c>
      <c r="Z36" s="83">
        <f t="shared" si="4"/>
        <v>0</v>
      </c>
      <c r="AB36" s="83">
        <f t="shared" si="5"/>
        <v>0</v>
      </c>
      <c r="AC36" s="83">
        <f t="shared" si="6"/>
        <v>0</v>
      </c>
      <c r="AD36" s="83">
        <f t="shared" si="7"/>
        <v>0</v>
      </c>
      <c r="AE36" s="83">
        <f t="shared" si="8"/>
        <v>0</v>
      </c>
      <c r="AF36" s="83">
        <f t="shared" si="9"/>
        <v>0</v>
      </c>
      <c r="AG36" s="83">
        <f t="shared" si="10"/>
        <v>0</v>
      </c>
      <c r="AH36" s="83">
        <f t="shared" si="11"/>
        <v>0</v>
      </c>
      <c r="AI36" s="78"/>
      <c r="AJ36" s="81">
        <f t="shared" si="12"/>
        <v>0</v>
      </c>
      <c r="AK36" s="81">
        <f t="shared" si="13"/>
        <v>0</v>
      </c>
      <c r="AL36" s="81">
        <f t="shared" si="14"/>
        <v>0</v>
      </c>
      <c r="AN36" s="83">
        <v>21</v>
      </c>
      <c r="AO36" s="83">
        <f>G36*0.109319213313162</f>
        <v>0</v>
      </c>
      <c r="AP36" s="83">
        <f>G36*(1-0.109319213313162)</f>
        <v>0</v>
      </c>
      <c r="AQ36" s="82" t="s">
        <v>13</v>
      </c>
      <c r="AV36" s="83">
        <f t="shared" si="15"/>
        <v>0</v>
      </c>
      <c r="AW36" s="83">
        <f t="shared" si="16"/>
        <v>0</v>
      </c>
      <c r="AX36" s="83">
        <f t="shared" si="17"/>
        <v>0</v>
      </c>
      <c r="AY36" s="84" t="s">
        <v>185</v>
      </c>
      <c r="AZ36" s="84" t="s">
        <v>194</v>
      </c>
      <c r="BA36" s="78" t="s">
        <v>198</v>
      </c>
      <c r="BC36" s="83">
        <f t="shared" si="18"/>
        <v>0</v>
      </c>
      <c r="BD36" s="83">
        <f t="shared" si="19"/>
        <v>0</v>
      </c>
      <c r="BE36" s="83">
        <v>0</v>
      </c>
      <c r="BF36" s="83">
        <f t="shared" si="20"/>
        <v>3.3E-3</v>
      </c>
      <c r="BH36" s="81">
        <f t="shared" si="21"/>
        <v>0</v>
      </c>
      <c r="BI36" s="81">
        <f t="shared" si="22"/>
        <v>0</v>
      </c>
      <c r="BJ36" s="81">
        <f t="shared" si="23"/>
        <v>0</v>
      </c>
    </row>
    <row r="37" spans="1:62">
      <c r="A37" s="4" t="s">
        <v>26</v>
      </c>
      <c r="B37" s="4"/>
      <c r="C37" s="4" t="s">
        <v>71</v>
      </c>
      <c r="D37" s="4" t="s">
        <v>119</v>
      </c>
      <c r="E37" s="4" t="s">
        <v>150</v>
      </c>
      <c r="F37" s="17">
        <v>17.8</v>
      </c>
      <c r="G37" s="81">
        <v>0</v>
      </c>
      <c r="H37" s="17">
        <f t="shared" si="0"/>
        <v>0</v>
      </c>
      <c r="I37" s="17">
        <f t="shared" si="1"/>
        <v>0</v>
      </c>
      <c r="J37" s="17">
        <f t="shared" si="2"/>
        <v>0</v>
      </c>
      <c r="K37" s="17">
        <v>1.2099999999999999E-3</v>
      </c>
      <c r="L37" s="17">
        <f t="shared" si="3"/>
        <v>2.1537999999999998E-2</v>
      </c>
      <c r="M37" s="26" t="s">
        <v>268</v>
      </c>
      <c r="Z37" s="83">
        <f t="shared" si="4"/>
        <v>0</v>
      </c>
      <c r="AB37" s="83">
        <f t="shared" si="5"/>
        <v>0</v>
      </c>
      <c r="AC37" s="83">
        <f t="shared" si="6"/>
        <v>0</v>
      </c>
      <c r="AD37" s="83">
        <f t="shared" si="7"/>
        <v>0</v>
      </c>
      <c r="AE37" s="83">
        <f t="shared" si="8"/>
        <v>0</v>
      </c>
      <c r="AF37" s="83">
        <f t="shared" si="9"/>
        <v>0</v>
      </c>
      <c r="AG37" s="83">
        <f t="shared" si="10"/>
        <v>0</v>
      </c>
      <c r="AH37" s="83">
        <f t="shared" si="11"/>
        <v>0</v>
      </c>
      <c r="AI37" s="78"/>
      <c r="AJ37" s="81">
        <f t="shared" si="12"/>
        <v>0</v>
      </c>
      <c r="AK37" s="81">
        <f t="shared" si="13"/>
        <v>0</v>
      </c>
      <c r="AL37" s="81">
        <f t="shared" si="14"/>
        <v>0</v>
      </c>
      <c r="AN37" s="83">
        <v>21</v>
      </c>
      <c r="AO37" s="83">
        <f>G37*0.602882485017429</f>
        <v>0</v>
      </c>
      <c r="AP37" s="83">
        <f>G37*(1-0.602882485017429)</f>
        <v>0</v>
      </c>
      <c r="AQ37" s="82" t="s">
        <v>13</v>
      </c>
      <c r="AV37" s="83">
        <f t="shared" si="15"/>
        <v>0</v>
      </c>
      <c r="AW37" s="83">
        <f t="shared" si="16"/>
        <v>0</v>
      </c>
      <c r="AX37" s="83">
        <f t="shared" si="17"/>
        <v>0</v>
      </c>
      <c r="AY37" s="84" t="s">
        <v>185</v>
      </c>
      <c r="AZ37" s="84" t="s">
        <v>194</v>
      </c>
      <c r="BA37" s="78" t="s">
        <v>198</v>
      </c>
      <c r="BC37" s="83">
        <f t="shared" si="18"/>
        <v>0</v>
      </c>
      <c r="BD37" s="83">
        <f t="shared" si="19"/>
        <v>0</v>
      </c>
      <c r="BE37" s="83">
        <v>0</v>
      </c>
      <c r="BF37" s="83">
        <f t="shared" si="20"/>
        <v>2.1537999999999998E-2</v>
      </c>
      <c r="BH37" s="81">
        <f t="shared" si="21"/>
        <v>0</v>
      </c>
      <c r="BI37" s="81">
        <f t="shared" si="22"/>
        <v>0</v>
      </c>
      <c r="BJ37" s="81">
        <f t="shared" si="23"/>
        <v>0</v>
      </c>
    </row>
    <row r="38" spans="1:62">
      <c r="A38" s="4" t="s">
        <v>27</v>
      </c>
      <c r="B38" s="4"/>
      <c r="C38" s="4" t="s">
        <v>72</v>
      </c>
      <c r="D38" s="4" t="s">
        <v>120</v>
      </c>
      <c r="E38" s="4" t="s">
        <v>150</v>
      </c>
      <c r="F38" s="17">
        <v>10.8</v>
      </c>
      <c r="G38" s="81">
        <v>0</v>
      </c>
      <c r="H38" s="17">
        <f t="shared" si="0"/>
        <v>0</v>
      </c>
      <c r="I38" s="17">
        <f t="shared" si="1"/>
        <v>0</v>
      </c>
      <c r="J38" s="17">
        <f t="shared" si="2"/>
        <v>0</v>
      </c>
      <c r="K38" s="17">
        <v>2.6700000000000001E-3</v>
      </c>
      <c r="L38" s="17">
        <f t="shared" si="3"/>
        <v>2.8836000000000004E-2</v>
      </c>
      <c r="M38" s="26" t="s">
        <v>268</v>
      </c>
      <c r="Z38" s="83">
        <f t="shared" si="4"/>
        <v>0</v>
      </c>
      <c r="AB38" s="83">
        <f t="shared" si="5"/>
        <v>0</v>
      </c>
      <c r="AC38" s="83">
        <f t="shared" si="6"/>
        <v>0</v>
      </c>
      <c r="AD38" s="83">
        <f t="shared" si="7"/>
        <v>0</v>
      </c>
      <c r="AE38" s="83">
        <f t="shared" si="8"/>
        <v>0</v>
      </c>
      <c r="AF38" s="83">
        <f t="shared" si="9"/>
        <v>0</v>
      </c>
      <c r="AG38" s="83">
        <f t="shared" si="10"/>
        <v>0</v>
      </c>
      <c r="AH38" s="83">
        <f t="shared" si="11"/>
        <v>0</v>
      </c>
      <c r="AI38" s="78"/>
      <c r="AJ38" s="81">
        <f t="shared" si="12"/>
        <v>0</v>
      </c>
      <c r="AK38" s="81">
        <f t="shared" si="13"/>
        <v>0</v>
      </c>
      <c r="AL38" s="81">
        <f t="shared" si="14"/>
        <v>0</v>
      </c>
      <c r="AN38" s="83">
        <v>21</v>
      </c>
      <c r="AO38" s="83">
        <f>G38*0.851134020618557</f>
        <v>0</v>
      </c>
      <c r="AP38" s="83">
        <f>G38*(1-0.851134020618557)</f>
        <v>0</v>
      </c>
      <c r="AQ38" s="82" t="s">
        <v>13</v>
      </c>
      <c r="AV38" s="83">
        <f t="shared" si="15"/>
        <v>0</v>
      </c>
      <c r="AW38" s="83">
        <f t="shared" si="16"/>
        <v>0</v>
      </c>
      <c r="AX38" s="83">
        <f t="shared" si="17"/>
        <v>0</v>
      </c>
      <c r="AY38" s="84" t="s">
        <v>185</v>
      </c>
      <c r="AZ38" s="84" t="s">
        <v>194</v>
      </c>
      <c r="BA38" s="78" t="s">
        <v>198</v>
      </c>
      <c r="BC38" s="83">
        <f t="shared" si="18"/>
        <v>0</v>
      </c>
      <c r="BD38" s="83">
        <f t="shared" si="19"/>
        <v>0</v>
      </c>
      <c r="BE38" s="83">
        <v>0</v>
      </c>
      <c r="BF38" s="83">
        <f t="shared" si="20"/>
        <v>2.8836000000000004E-2</v>
      </c>
      <c r="BH38" s="81">
        <f t="shared" si="21"/>
        <v>0</v>
      </c>
      <c r="BI38" s="81">
        <f t="shared" si="22"/>
        <v>0</v>
      </c>
      <c r="BJ38" s="81">
        <f t="shared" si="23"/>
        <v>0</v>
      </c>
    </row>
    <row r="39" spans="1:62">
      <c r="A39" s="4" t="s">
        <v>28</v>
      </c>
      <c r="B39" s="4"/>
      <c r="C39" s="4" t="s">
        <v>73</v>
      </c>
      <c r="D39" s="4" t="s">
        <v>121</v>
      </c>
      <c r="E39" s="4" t="s">
        <v>151</v>
      </c>
      <c r="F39" s="17">
        <v>2</v>
      </c>
      <c r="G39" s="81">
        <v>0</v>
      </c>
      <c r="H39" s="17">
        <f t="shared" si="0"/>
        <v>0</v>
      </c>
      <c r="I39" s="17">
        <f t="shared" si="1"/>
        <v>0</v>
      </c>
      <c r="J39" s="17">
        <f t="shared" si="2"/>
        <v>0</v>
      </c>
      <c r="K39" s="17">
        <v>3.6000000000000002E-4</v>
      </c>
      <c r="L39" s="17">
        <f t="shared" si="3"/>
        <v>7.2000000000000005E-4</v>
      </c>
      <c r="M39" s="26" t="s">
        <v>268</v>
      </c>
      <c r="Z39" s="83">
        <f t="shared" si="4"/>
        <v>0</v>
      </c>
      <c r="AB39" s="83">
        <f t="shared" si="5"/>
        <v>0</v>
      </c>
      <c r="AC39" s="83">
        <f t="shared" si="6"/>
        <v>0</v>
      </c>
      <c r="AD39" s="83">
        <f t="shared" si="7"/>
        <v>0</v>
      </c>
      <c r="AE39" s="83">
        <f t="shared" si="8"/>
        <v>0</v>
      </c>
      <c r="AF39" s="83">
        <f t="shared" si="9"/>
        <v>0</v>
      </c>
      <c r="AG39" s="83">
        <f t="shared" si="10"/>
        <v>0</v>
      </c>
      <c r="AH39" s="83">
        <f t="shared" si="11"/>
        <v>0</v>
      </c>
      <c r="AI39" s="78"/>
      <c r="AJ39" s="81">
        <f t="shared" si="12"/>
        <v>0</v>
      </c>
      <c r="AK39" s="81">
        <f t="shared" si="13"/>
        <v>0</v>
      </c>
      <c r="AL39" s="81">
        <f t="shared" si="14"/>
        <v>0</v>
      </c>
      <c r="AN39" s="83">
        <v>21</v>
      </c>
      <c r="AO39" s="83">
        <f>G39*0.644269378158445</f>
        <v>0</v>
      </c>
      <c r="AP39" s="83">
        <f>G39*(1-0.644269378158445)</f>
        <v>0</v>
      </c>
      <c r="AQ39" s="82" t="s">
        <v>13</v>
      </c>
      <c r="AV39" s="83">
        <f t="shared" si="15"/>
        <v>0</v>
      </c>
      <c r="AW39" s="83">
        <f t="shared" si="16"/>
        <v>0</v>
      </c>
      <c r="AX39" s="83">
        <f t="shared" si="17"/>
        <v>0</v>
      </c>
      <c r="AY39" s="84" t="s">
        <v>185</v>
      </c>
      <c r="AZ39" s="84" t="s">
        <v>194</v>
      </c>
      <c r="BA39" s="78" t="s">
        <v>198</v>
      </c>
      <c r="BC39" s="83">
        <f t="shared" si="18"/>
        <v>0</v>
      </c>
      <c r="BD39" s="83">
        <f t="shared" si="19"/>
        <v>0</v>
      </c>
      <c r="BE39" s="83">
        <v>0</v>
      </c>
      <c r="BF39" s="83">
        <f t="shared" si="20"/>
        <v>7.2000000000000005E-4</v>
      </c>
      <c r="BH39" s="81">
        <f t="shared" si="21"/>
        <v>0</v>
      </c>
      <c r="BI39" s="81">
        <f t="shared" si="22"/>
        <v>0</v>
      </c>
      <c r="BJ39" s="81">
        <f t="shared" si="23"/>
        <v>0</v>
      </c>
    </row>
    <row r="40" spans="1:62">
      <c r="A40" s="5"/>
      <c r="B40" s="13"/>
      <c r="C40" s="13" t="s">
        <v>74</v>
      </c>
      <c r="D40" s="13" t="s">
        <v>122</v>
      </c>
      <c r="E40" s="5" t="s">
        <v>6</v>
      </c>
      <c r="F40" s="5" t="s">
        <v>6</v>
      </c>
      <c r="G40" s="85" t="s">
        <v>6</v>
      </c>
      <c r="H40" s="33">
        <f>SUM(H41:H41)</f>
        <v>0</v>
      </c>
      <c r="I40" s="33">
        <f>SUM(I41:I41)</f>
        <v>0</v>
      </c>
      <c r="J40" s="33">
        <f>SUM(J41:J41)</f>
        <v>0</v>
      </c>
      <c r="K40" s="24"/>
      <c r="L40" s="33">
        <f>SUM(L41:L41)</f>
        <v>4.0299999999999997E-3</v>
      </c>
      <c r="M40" s="24"/>
      <c r="AI40" s="78"/>
      <c r="AS40" s="80">
        <f>SUM(AJ41:AJ41)</f>
        <v>0</v>
      </c>
      <c r="AT40" s="80">
        <f>SUM(AK41:AK41)</f>
        <v>0</v>
      </c>
      <c r="AU40" s="80">
        <f>SUM(AL41:AL41)</f>
        <v>0</v>
      </c>
    </row>
    <row r="41" spans="1:62">
      <c r="A41" s="4" t="s">
        <v>29</v>
      </c>
      <c r="B41" s="4"/>
      <c r="C41" s="4" t="s">
        <v>75</v>
      </c>
      <c r="D41" s="4" t="s">
        <v>123</v>
      </c>
      <c r="E41" s="4" t="s">
        <v>151</v>
      </c>
      <c r="F41" s="17">
        <v>1</v>
      </c>
      <c r="G41" s="81">
        <v>0</v>
      </c>
      <c r="H41" s="17">
        <f>F41*AO41</f>
        <v>0</v>
      </c>
      <c r="I41" s="17">
        <f>F41*AP41</f>
        <v>0</v>
      </c>
      <c r="J41" s="17">
        <f>F41*G41</f>
        <v>0</v>
      </c>
      <c r="K41" s="17">
        <v>4.0299999999999997E-3</v>
      </c>
      <c r="L41" s="17">
        <f>F41*K41</f>
        <v>4.0299999999999997E-3</v>
      </c>
      <c r="M41" s="26" t="s">
        <v>268</v>
      </c>
      <c r="Z41" s="83">
        <f>IF(AQ41="5",BJ41,0)</f>
        <v>0</v>
      </c>
      <c r="AB41" s="83">
        <f>IF(AQ41="1",BH41,0)</f>
        <v>0</v>
      </c>
      <c r="AC41" s="83">
        <f>IF(AQ41="1",BI41,0)</f>
        <v>0</v>
      </c>
      <c r="AD41" s="83">
        <f>IF(AQ41="7",BH41,0)</f>
        <v>0</v>
      </c>
      <c r="AE41" s="83">
        <f>IF(AQ41="7",BI41,0)</f>
        <v>0</v>
      </c>
      <c r="AF41" s="83">
        <f>IF(AQ41="2",BH41,0)</f>
        <v>0</v>
      </c>
      <c r="AG41" s="83">
        <f>IF(AQ41="2",BI41,0)</f>
        <v>0</v>
      </c>
      <c r="AH41" s="83">
        <f>IF(AQ41="0",BJ41,0)</f>
        <v>0</v>
      </c>
      <c r="AI41" s="78"/>
      <c r="AJ41" s="81">
        <f>IF(AN41=0,J41,0)</f>
        <v>0</v>
      </c>
      <c r="AK41" s="81">
        <f>IF(AN41=15,J41,0)</f>
        <v>0</v>
      </c>
      <c r="AL41" s="81">
        <f>IF(AN41=21,J41,0)</f>
        <v>0</v>
      </c>
      <c r="AN41" s="83">
        <v>21</v>
      </c>
      <c r="AO41" s="83">
        <f>G41*0.0176758574310693</f>
        <v>0</v>
      </c>
      <c r="AP41" s="83">
        <f>G41*(1-0.0176758574310693)</f>
        <v>0</v>
      </c>
      <c r="AQ41" s="82" t="s">
        <v>13</v>
      </c>
      <c r="AV41" s="83">
        <f>AW41+AX41</f>
        <v>0</v>
      </c>
      <c r="AW41" s="83">
        <f>F41*AO41</f>
        <v>0</v>
      </c>
      <c r="AX41" s="83">
        <f>F41*AP41</f>
        <v>0</v>
      </c>
      <c r="AY41" s="84" t="s">
        <v>186</v>
      </c>
      <c r="AZ41" s="84" t="s">
        <v>194</v>
      </c>
      <c r="BA41" s="78" t="s">
        <v>198</v>
      </c>
      <c r="BC41" s="83">
        <f>AW41+AX41</f>
        <v>0</v>
      </c>
      <c r="BD41" s="83">
        <f>G41/(100-BE41)*100</f>
        <v>0</v>
      </c>
      <c r="BE41" s="83">
        <v>0</v>
      </c>
      <c r="BF41" s="83">
        <f>L41</f>
        <v>4.0299999999999997E-3</v>
      </c>
      <c r="BH41" s="81">
        <f>F41*AO41</f>
        <v>0</v>
      </c>
      <c r="BI41" s="81">
        <f>F41*AP41</f>
        <v>0</v>
      </c>
      <c r="BJ41" s="81">
        <f>F41*G41</f>
        <v>0</v>
      </c>
    </row>
    <row r="42" spans="1:62">
      <c r="A42" s="5"/>
      <c r="B42" s="13"/>
      <c r="C42" s="13" t="s">
        <v>76</v>
      </c>
      <c r="D42" s="13" t="s">
        <v>124</v>
      </c>
      <c r="E42" s="5" t="s">
        <v>6</v>
      </c>
      <c r="F42" s="5" t="s">
        <v>6</v>
      </c>
      <c r="G42" s="85" t="s">
        <v>6</v>
      </c>
      <c r="H42" s="33">
        <f>SUM(H43:H43)</f>
        <v>0</v>
      </c>
      <c r="I42" s="33">
        <f>SUM(I43:I43)</f>
        <v>0</v>
      </c>
      <c r="J42" s="33">
        <f>SUM(J43:J43)</f>
        <v>0</v>
      </c>
      <c r="K42" s="24"/>
      <c r="L42" s="33">
        <f>SUM(L43:L43)</f>
        <v>3.8545499999999996E-2</v>
      </c>
      <c r="M42" s="24"/>
      <c r="AI42" s="78"/>
      <c r="AS42" s="80">
        <f>SUM(AJ43:AJ43)</f>
        <v>0</v>
      </c>
      <c r="AT42" s="80">
        <f>SUM(AK43:AK43)</f>
        <v>0</v>
      </c>
      <c r="AU42" s="80">
        <f>SUM(AL43:AL43)</f>
        <v>0</v>
      </c>
    </row>
    <row r="43" spans="1:62">
      <c r="A43" s="4" t="s">
        <v>30</v>
      </c>
      <c r="B43" s="4"/>
      <c r="C43" s="4" t="s">
        <v>77</v>
      </c>
      <c r="D43" s="4" t="s">
        <v>125</v>
      </c>
      <c r="E43" s="4" t="s">
        <v>147</v>
      </c>
      <c r="F43" s="17">
        <v>110.13</v>
      </c>
      <c r="G43" s="81">
        <v>0</v>
      </c>
      <c r="H43" s="17">
        <f>F43*AO43</f>
        <v>0</v>
      </c>
      <c r="I43" s="17">
        <f>F43*AP43</f>
        <v>0</v>
      </c>
      <c r="J43" s="17">
        <f>F43*G43</f>
        <v>0</v>
      </c>
      <c r="K43" s="17">
        <v>3.5E-4</v>
      </c>
      <c r="L43" s="17">
        <f>F43*K43</f>
        <v>3.8545499999999996E-2</v>
      </c>
      <c r="M43" s="26" t="s">
        <v>268</v>
      </c>
      <c r="Z43" s="83">
        <f>IF(AQ43="5",BJ43,0)</f>
        <v>0</v>
      </c>
      <c r="AB43" s="83">
        <f>IF(AQ43="1",BH43,0)</f>
        <v>0</v>
      </c>
      <c r="AC43" s="83">
        <f>IF(AQ43="1",BI43,0)</f>
        <v>0</v>
      </c>
      <c r="AD43" s="83">
        <f>IF(AQ43="7",BH43,0)</f>
        <v>0</v>
      </c>
      <c r="AE43" s="83">
        <f>IF(AQ43="7",BI43,0)</f>
        <v>0</v>
      </c>
      <c r="AF43" s="83">
        <f>IF(AQ43="2",BH43,0)</f>
        <v>0</v>
      </c>
      <c r="AG43" s="83">
        <f>IF(AQ43="2",BI43,0)</f>
        <v>0</v>
      </c>
      <c r="AH43" s="83">
        <f>IF(AQ43="0",BJ43,0)</f>
        <v>0</v>
      </c>
      <c r="AI43" s="78"/>
      <c r="AJ43" s="81">
        <f>IF(AN43=0,J43,0)</f>
        <v>0</v>
      </c>
      <c r="AK43" s="81">
        <f>IF(AN43=15,J43,0)</f>
        <v>0</v>
      </c>
      <c r="AL43" s="81">
        <f>IF(AN43=21,J43,0)</f>
        <v>0</v>
      </c>
      <c r="AN43" s="83">
        <v>21</v>
      </c>
      <c r="AO43" s="83">
        <f>G43*0.448207009171338</f>
        <v>0</v>
      </c>
      <c r="AP43" s="83">
        <f>G43*(1-0.448207009171338)</f>
        <v>0</v>
      </c>
      <c r="AQ43" s="82" t="s">
        <v>13</v>
      </c>
      <c r="AV43" s="83">
        <f>AW43+AX43</f>
        <v>0</v>
      </c>
      <c r="AW43" s="83">
        <f>F43*AO43</f>
        <v>0</v>
      </c>
      <c r="AX43" s="83">
        <f>F43*AP43</f>
        <v>0</v>
      </c>
      <c r="AY43" s="84" t="s">
        <v>187</v>
      </c>
      <c r="AZ43" s="84" t="s">
        <v>195</v>
      </c>
      <c r="BA43" s="78" t="s">
        <v>198</v>
      </c>
      <c r="BC43" s="83">
        <f>AW43+AX43</f>
        <v>0</v>
      </c>
      <c r="BD43" s="83">
        <f>G43/(100-BE43)*100</f>
        <v>0</v>
      </c>
      <c r="BE43" s="83">
        <v>0</v>
      </c>
      <c r="BF43" s="83">
        <f>L43</f>
        <v>3.8545499999999996E-2</v>
      </c>
      <c r="BH43" s="81">
        <f>F43*AO43</f>
        <v>0</v>
      </c>
      <c r="BI43" s="81">
        <f>F43*AP43</f>
        <v>0</v>
      </c>
      <c r="BJ43" s="81">
        <f>F43*G43</f>
        <v>0</v>
      </c>
    </row>
    <row r="44" spans="1:62">
      <c r="A44" s="5"/>
      <c r="B44" s="13"/>
      <c r="C44" s="13" t="s">
        <v>78</v>
      </c>
      <c r="D44" s="13" t="s">
        <v>126</v>
      </c>
      <c r="E44" s="5" t="s">
        <v>6</v>
      </c>
      <c r="F44" s="5" t="s">
        <v>6</v>
      </c>
      <c r="G44" s="85" t="s">
        <v>6</v>
      </c>
      <c r="H44" s="33">
        <f>SUM(H45:H46)</f>
        <v>0</v>
      </c>
      <c r="I44" s="33">
        <f>SUM(I45:I46)</f>
        <v>0</v>
      </c>
      <c r="J44" s="33">
        <f>SUM(J45:J46)</f>
        <v>0</v>
      </c>
      <c r="K44" s="24"/>
      <c r="L44" s="33">
        <f>SUM(L45:L46)</f>
        <v>0</v>
      </c>
      <c r="M44" s="24"/>
      <c r="AI44" s="78"/>
      <c r="AS44" s="80">
        <f>SUM(AJ45:AJ46)</f>
        <v>0</v>
      </c>
      <c r="AT44" s="80">
        <f>SUM(AK45:AK46)</f>
        <v>0</v>
      </c>
      <c r="AU44" s="80">
        <f>SUM(AL45:AL46)</f>
        <v>0</v>
      </c>
    </row>
    <row r="45" spans="1:62">
      <c r="A45" s="4" t="s">
        <v>31</v>
      </c>
      <c r="B45" s="4"/>
      <c r="C45" s="4" t="s">
        <v>79</v>
      </c>
      <c r="D45" s="4" t="s">
        <v>127</v>
      </c>
      <c r="E45" s="4" t="s">
        <v>152</v>
      </c>
      <c r="F45" s="17">
        <v>5151.16</v>
      </c>
      <c r="G45" s="81">
        <v>0</v>
      </c>
      <c r="H45" s="17">
        <f>F45*AO45</f>
        <v>0</v>
      </c>
      <c r="I45" s="17">
        <f>F45*AP45</f>
        <v>0</v>
      </c>
      <c r="J45" s="17">
        <f>F45*G45</f>
        <v>0</v>
      </c>
      <c r="K45" s="17">
        <v>0</v>
      </c>
      <c r="L45" s="17">
        <f>F45*K45</f>
        <v>0</v>
      </c>
      <c r="M45" s="26" t="s">
        <v>268</v>
      </c>
      <c r="Z45" s="83">
        <f>IF(AQ45="5",BJ45,0)</f>
        <v>0</v>
      </c>
      <c r="AB45" s="83">
        <f>IF(AQ45="1",BH45,0)</f>
        <v>0</v>
      </c>
      <c r="AC45" s="83">
        <f>IF(AQ45="1",BI45,0)</f>
        <v>0</v>
      </c>
      <c r="AD45" s="83">
        <f>IF(AQ45="7",BH45,0)</f>
        <v>0</v>
      </c>
      <c r="AE45" s="83">
        <f>IF(AQ45="7",BI45,0)</f>
        <v>0</v>
      </c>
      <c r="AF45" s="83">
        <f>IF(AQ45="2",BH45,0)</f>
        <v>0</v>
      </c>
      <c r="AG45" s="83">
        <f>IF(AQ45="2",BI45,0)</f>
        <v>0</v>
      </c>
      <c r="AH45" s="83">
        <f>IF(AQ45="0",BJ45,0)</f>
        <v>0</v>
      </c>
      <c r="AI45" s="78"/>
      <c r="AJ45" s="81">
        <f>IF(AN45=0,J45,0)</f>
        <v>0</v>
      </c>
      <c r="AK45" s="81">
        <f>IF(AN45=15,J45,0)</f>
        <v>0</v>
      </c>
      <c r="AL45" s="81">
        <f>IF(AN45=21,J45,0)</f>
        <v>0</v>
      </c>
      <c r="AN45" s="83">
        <v>21</v>
      </c>
      <c r="AO45" s="83">
        <f>G45*0</f>
        <v>0</v>
      </c>
      <c r="AP45" s="83">
        <f>G45*(1-0)</f>
        <v>0</v>
      </c>
      <c r="AQ45" s="82" t="s">
        <v>8</v>
      </c>
      <c r="AV45" s="83">
        <f>AW45+AX45</f>
        <v>0</v>
      </c>
      <c r="AW45" s="83">
        <f>F45*AO45</f>
        <v>0</v>
      </c>
      <c r="AX45" s="83">
        <f>F45*AP45</f>
        <v>0</v>
      </c>
      <c r="AY45" s="84" t="s">
        <v>188</v>
      </c>
      <c r="AZ45" s="84" t="s">
        <v>196</v>
      </c>
      <c r="BA45" s="78" t="s">
        <v>198</v>
      </c>
      <c r="BC45" s="83">
        <f>AW45+AX45</f>
        <v>0</v>
      </c>
      <c r="BD45" s="83">
        <f>G45/(100-BE45)*100</f>
        <v>0</v>
      </c>
      <c r="BE45" s="83">
        <v>0</v>
      </c>
      <c r="BF45" s="83">
        <f>L45</f>
        <v>0</v>
      </c>
      <c r="BH45" s="81">
        <f>F45*AO45</f>
        <v>0</v>
      </c>
      <c r="BI45" s="81">
        <f>F45*AP45</f>
        <v>0</v>
      </c>
      <c r="BJ45" s="81">
        <f>F45*G45</f>
        <v>0</v>
      </c>
    </row>
    <row r="46" spans="1:62">
      <c r="A46" s="4" t="s">
        <v>32</v>
      </c>
      <c r="B46" s="4"/>
      <c r="C46" s="4" t="s">
        <v>80</v>
      </c>
      <c r="D46" s="4" t="s">
        <v>128</v>
      </c>
      <c r="E46" s="4" t="s">
        <v>147</v>
      </c>
      <c r="F46" s="17">
        <v>147.68</v>
      </c>
      <c r="G46" s="81">
        <v>0</v>
      </c>
      <c r="H46" s="17">
        <f>F46*AO46</f>
        <v>0</v>
      </c>
      <c r="I46" s="17">
        <f>F46*AP46</f>
        <v>0</v>
      </c>
      <c r="J46" s="17">
        <f>F46*G46</f>
        <v>0</v>
      </c>
      <c r="K46" s="17">
        <v>0</v>
      </c>
      <c r="L46" s="17">
        <f>F46*K46</f>
        <v>0</v>
      </c>
      <c r="M46" s="26" t="s">
        <v>268</v>
      </c>
      <c r="Z46" s="83">
        <f>IF(AQ46="5",BJ46,0)</f>
        <v>0</v>
      </c>
      <c r="AB46" s="83">
        <f>IF(AQ46="1",BH46,0)</f>
        <v>0</v>
      </c>
      <c r="AC46" s="83">
        <f>IF(AQ46="1",BI46,0)</f>
        <v>0</v>
      </c>
      <c r="AD46" s="83">
        <f>IF(AQ46="7",BH46,0)</f>
        <v>0</v>
      </c>
      <c r="AE46" s="83">
        <f>IF(AQ46="7",BI46,0)</f>
        <v>0</v>
      </c>
      <c r="AF46" s="83">
        <f>IF(AQ46="2",BH46,0)</f>
        <v>0</v>
      </c>
      <c r="AG46" s="83">
        <f>IF(AQ46="2",BI46,0)</f>
        <v>0</v>
      </c>
      <c r="AH46" s="83">
        <f>IF(AQ46="0",BJ46,0)</f>
        <v>0</v>
      </c>
      <c r="AI46" s="78"/>
      <c r="AJ46" s="81">
        <f>IF(AN46=0,J46,0)</f>
        <v>0</v>
      </c>
      <c r="AK46" s="81">
        <f>IF(AN46=15,J46,0)</f>
        <v>0</v>
      </c>
      <c r="AL46" s="81">
        <f>IF(AN46=21,J46,0)</f>
        <v>0</v>
      </c>
      <c r="AN46" s="83">
        <v>21</v>
      </c>
      <c r="AO46" s="83">
        <f>G46*0</f>
        <v>0</v>
      </c>
      <c r="AP46" s="83">
        <f>G46*(1-0)</f>
        <v>0</v>
      </c>
      <c r="AQ46" s="82" t="s">
        <v>8</v>
      </c>
      <c r="AV46" s="83">
        <f>AW46+AX46</f>
        <v>0</v>
      </c>
      <c r="AW46" s="83">
        <f>F46*AO46</f>
        <v>0</v>
      </c>
      <c r="AX46" s="83">
        <f>F46*AP46</f>
        <v>0</v>
      </c>
      <c r="AY46" s="84" t="s">
        <v>188</v>
      </c>
      <c r="AZ46" s="84" t="s">
        <v>196</v>
      </c>
      <c r="BA46" s="78" t="s">
        <v>198</v>
      </c>
      <c r="BC46" s="83">
        <f>AW46+AX46</f>
        <v>0</v>
      </c>
      <c r="BD46" s="83">
        <f>G46/(100-BE46)*100</f>
        <v>0</v>
      </c>
      <c r="BE46" s="83">
        <v>0</v>
      </c>
      <c r="BF46" s="83">
        <f>L46</f>
        <v>0</v>
      </c>
      <c r="BH46" s="81">
        <f>F46*AO46</f>
        <v>0</v>
      </c>
      <c r="BI46" s="81">
        <f>F46*AP46</f>
        <v>0</v>
      </c>
      <c r="BJ46" s="81">
        <f>F46*G46</f>
        <v>0</v>
      </c>
    </row>
    <row r="47" spans="1:62">
      <c r="A47" s="5"/>
      <c r="B47" s="13"/>
      <c r="C47" s="13"/>
      <c r="D47" s="13" t="s">
        <v>129</v>
      </c>
      <c r="E47" s="5" t="s">
        <v>6</v>
      </c>
      <c r="F47" s="5" t="s">
        <v>6</v>
      </c>
      <c r="G47" s="85" t="s">
        <v>6</v>
      </c>
      <c r="H47" s="33">
        <f>SUM(H48:H61)</f>
        <v>0</v>
      </c>
      <c r="I47" s="33">
        <f>SUM(I48:I61)</f>
        <v>0</v>
      </c>
      <c r="J47" s="33">
        <f>SUM(J48:J61)</f>
        <v>0</v>
      </c>
      <c r="K47" s="24"/>
      <c r="L47" s="33">
        <f>SUM(L48:L61)</f>
        <v>23.768639199999996</v>
      </c>
      <c r="M47" s="24"/>
      <c r="AI47" s="78"/>
      <c r="AS47" s="80">
        <f>SUM(AJ48:AJ61)</f>
        <v>0</v>
      </c>
      <c r="AT47" s="80">
        <f>SUM(AK48:AK61)</f>
        <v>0</v>
      </c>
      <c r="AU47" s="80">
        <f>SUM(AL48:AL61)</f>
        <v>0</v>
      </c>
    </row>
    <row r="48" spans="1:62">
      <c r="A48" s="6" t="s">
        <v>33</v>
      </c>
      <c r="B48" s="6"/>
      <c r="C48" s="6"/>
      <c r="D48" s="6" t="s">
        <v>130</v>
      </c>
      <c r="E48" s="6" t="s">
        <v>151</v>
      </c>
      <c r="F48" s="18">
        <v>93</v>
      </c>
      <c r="G48" s="86">
        <v>0</v>
      </c>
      <c r="H48" s="18">
        <f t="shared" ref="H48:H61" si="24">F48*AO48</f>
        <v>0</v>
      </c>
      <c r="I48" s="18">
        <f t="shared" ref="I48:I61" si="25">F48*AP48</f>
        <v>0</v>
      </c>
      <c r="J48" s="18">
        <f t="shared" ref="J48:J61" si="26">F48*G48</f>
        <v>0</v>
      </c>
      <c r="K48" s="18">
        <v>0.11600000000000001</v>
      </c>
      <c r="L48" s="18">
        <f t="shared" ref="L48:L61" si="27">F48*K48</f>
        <v>10.788</v>
      </c>
      <c r="M48" s="27" t="s">
        <v>268</v>
      </c>
      <c r="Z48" s="83">
        <f t="shared" ref="Z48:Z61" si="28">IF(AQ48="5",BJ48,0)</f>
        <v>0</v>
      </c>
      <c r="AB48" s="83">
        <f t="shared" ref="AB48:AB61" si="29">IF(AQ48="1",BH48,0)</f>
        <v>0</v>
      </c>
      <c r="AC48" s="83">
        <f t="shared" ref="AC48:AC61" si="30">IF(AQ48="1",BI48,0)</f>
        <v>0</v>
      </c>
      <c r="AD48" s="83">
        <f t="shared" ref="AD48:AD61" si="31">IF(AQ48="7",BH48,0)</f>
        <v>0</v>
      </c>
      <c r="AE48" s="83">
        <f t="shared" ref="AE48:AE61" si="32">IF(AQ48="7",BI48,0)</f>
        <v>0</v>
      </c>
      <c r="AF48" s="83">
        <f t="shared" ref="AF48:AF61" si="33">IF(AQ48="2",BH48,0)</f>
        <v>0</v>
      </c>
      <c r="AG48" s="83">
        <f t="shared" ref="AG48:AG61" si="34">IF(AQ48="2",BI48,0)</f>
        <v>0</v>
      </c>
      <c r="AH48" s="83">
        <f t="shared" ref="AH48:AH61" si="35">IF(AQ48="0",BJ48,0)</f>
        <v>0</v>
      </c>
      <c r="AI48" s="78"/>
      <c r="AJ48" s="86">
        <f t="shared" ref="AJ48:AJ61" si="36">IF(AN48=0,J48,0)</f>
        <v>0</v>
      </c>
      <c r="AK48" s="86">
        <f t="shared" ref="AK48:AK61" si="37">IF(AN48=15,J48,0)</f>
        <v>0</v>
      </c>
      <c r="AL48" s="86">
        <f t="shared" ref="AL48:AL61" si="38">IF(AN48=21,J48,0)</f>
        <v>0</v>
      </c>
      <c r="AN48" s="83">
        <v>21</v>
      </c>
      <c r="AO48" s="83">
        <f t="shared" ref="AO48:AO61" si="39">G48*1</f>
        <v>0</v>
      </c>
      <c r="AP48" s="83">
        <f t="shared" ref="AP48:AP61" si="40">G48*(1-1)</f>
        <v>0</v>
      </c>
      <c r="AQ48" s="87" t="s">
        <v>179</v>
      </c>
      <c r="AV48" s="83">
        <f t="shared" ref="AV48:AV61" si="41">AW48+AX48</f>
        <v>0</v>
      </c>
      <c r="AW48" s="83">
        <f t="shared" ref="AW48:AW61" si="42">F48*AO48</f>
        <v>0</v>
      </c>
      <c r="AX48" s="83">
        <f t="shared" ref="AX48:AX61" si="43">F48*AP48</f>
        <v>0</v>
      </c>
      <c r="AY48" s="84" t="s">
        <v>189</v>
      </c>
      <c r="AZ48" s="84" t="s">
        <v>197</v>
      </c>
      <c r="BA48" s="78" t="s">
        <v>198</v>
      </c>
      <c r="BC48" s="83">
        <f t="shared" ref="BC48:BC61" si="44">AW48+AX48</f>
        <v>0</v>
      </c>
      <c r="BD48" s="83">
        <f t="shared" ref="BD48:BD61" si="45">G48/(100-BE48)*100</f>
        <v>0</v>
      </c>
      <c r="BE48" s="83">
        <v>0</v>
      </c>
      <c r="BF48" s="83">
        <f t="shared" ref="BF48:BF61" si="46">L48</f>
        <v>10.788</v>
      </c>
      <c r="BH48" s="86">
        <f t="shared" ref="BH48:BH61" si="47">F48*AO48</f>
        <v>0</v>
      </c>
      <c r="BI48" s="86">
        <f t="shared" ref="BI48:BI61" si="48">F48*AP48</f>
        <v>0</v>
      </c>
      <c r="BJ48" s="86">
        <f t="shared" ref="BJ48:BJ61" si="49">F48*G48</f>
        <v>0</v>
      </c>
    </row>
    <row r="49" spans="1:62">
      <c r="A49" s="71" t="s">
        <v>34</v>
      </c>
      <c r="B49" s="6"/>
      <c r="C49" s="6"/>
      <c r="D49" s="71" t="s">
        <v>269</v>
      </c>
      <c r="E49" s="6" t="s">
        <v>151</v>
      </c>
      <c r="F49" s="18">
        <v>6</v>
      </c>
      <c r="G49" s="86">
        <v>0</v>
      </c>
      <c r="H49" s="18">
        <f>F49*AO49</f>
        <v>0</v>
      </c>
      <c r="I49" s="18">
        <f>F49*AP49</f>
        <v>0</v>
      </c>
      <c r="J49" s="18">
        <f>F49*G49</f>
        <v>0</v>
      </c>
      <c r="K49" s="18">
        <v>0.57499999999999996</v>
      </c>
      <c r="L49" s="18">
        <f>F49*K49</f>
        <v>3.4499999999999997</v>
      </c>
      <c r="M49" s="27" t="s">
        <v>268</v>
      </c>
      <c r="Z49" s="83"/>
      <c r="AB49" s="83"/>
      <c r="AC49" s="83"/>
      <c r="AD49" s="83"/>
      <c r="AE49" s="83"/>
      <c r="AF49" s="83"/>
      <c r="AG49" s="83"/>
      <c r="AH49" s="83"/>
      <c r="AI49" s="78"/>
      <c r="AJ49" s="86"/>
      <c r="AK49" s="86"/>
      <c r="AL49" s="86"/>
      <c r="AN49" s="83"/>
      <c r="AO49" s="83"/>
      <c r="AP49" s="83"/>
      <c r="AQ49" s="87"/>
      <c r="AV49" s="83"/>
      <c r="AW49" s="83"/>
      <c r="AX49" s="83"/>
      <c r="AY49" s="84"/>
      <c r="AZ49" s="84"/>
      <c r="BA49" s="78"/>
      <c r="BC49" s="83"/>
      <c r="BD49" s="83"/>
      <c r="BE49" s="83"/>
      <c r="BF49" s="83"/>
      <c r="BH49" s="86"/>
      <c r="BI49" s="86"/>
      <c r="BJ49" s="86"/>
    </row>
    <row r="50" spans="1:62">
      <c r="A50" s="72" t="s">
        <v>35</v>
      </c>
      <c r="B50" s="7"/>
      <c r="C50" s="7"/>
      <c r="D50" s="72" t="s">
        <v>270</v>
      </c>
      <c r="E50" s="7" t="s">
        <v>151</v>
      </c>
      <c r="F50" s="19">
        <v>6</v>
      </c>
      <c r="G50" s="88">
        <v>0</v>
      </c>
      <c r="H50" s="19">
        <f>F50*AO50</f>
        <v>0</v>
      </c>
      <c r="I50" s="19">
        <f>F50*AP50</f>
        <v>0</v>
      </c>
      <c r="J50" s="19">
        <f>F50*G50</f>
        <v>0</v>
      </c>
      <c r="K50" s="19">
        <v>0.57499999999999996</v>
      </c>
      <c r="L50" s="19">
        <f>F50*K50</f>
        <v>3.4499999999999997</v>
      </c>
      <c r="M50" s="28" t="s">
        <v>268</v>
      </c>
      <c r="Z50" s="83"/>
      <c r="AB50" s="83"/>
      <c r="AC50" s="83"/>
      <c r="AD50" s="83"/>
      <c r="AE50" s="83"/>
      <c r="AF50" s="83"/>
      <c r="AG50" s="83"/>
      <c r="AH50" s="83"/>
      <c r="AI50" s="78"/>
      <c r="AJ50" s="86"/>
      <c r="AK50" s="86"/>
      <c r="AL50" s="86"/>
      <c r="AN50" s="83"/>
      <c r="AO50" s="83"/>
      <c r="AP50" s="83"/>
      <c r="AQ50" s="87"/>
      <c r="AV50" s="83"/>
      <c r="AW50" s="83"/>
      <c r="AX50" s="83"/>
      <c r="AY50" s="84"/>
      <c r="AZ50" s="84"/>
      <c r="BA50" s="78"/>
      <c r="BC50" s="83"/>
      <c r="BD50" s="83"/>
      <c r="BE50" s="83"/>
      <c r="BF50" s="83"/>
      <c r="BH50" s="86"/>
      <c r="BI50" s="86"/>
      <c r="BJ50" s="86"/>
    </row>
    <row r="51" spans="1:62">
      <c r="A51" s="71" t="s">
        <v>36</v>
      </c>
      <c r="B51" s="6"/>
      <c r="C51" s="6"/>
      <c r="D51" s="6" t="s">
        <v>131</v>
      </c>
      <c r="E51" s="6" t="s">
        <v>151</v>
      </c>
      <c r="F51" s="18">
        <v>6</v>
      </c>
      <c r="G51" s="86">
        <v>0</v>
      </c>
      <c r="H51" s="18">
        <f t="shared" si="24"/>
        <v>0</v>
      </c>
      <c r="I51" s="18">
        <f t="shared" si="25"/>
        <v>0</v>
      </c>
      <c r="J51" s="18">
        <f t="shared" si="26"/>
        <v>0</v>
      </c>
      <c r="K51" s="18">
        <v>0.11600000000000001</v>
      </c>
      <c r="L51" s="18">
        <f t="shared" si="27"/>
        <v>0.69600000000000006</v>
      </c>
      <c r="M51" s="27" t="s">
        <v>268</v>
      </c>
      <c r="Z51" s="83">
        <f t="shared" si="28"/>
        <v>0</v>
      </c>
      <c r="AB51" s="83">
        <f t="shared" si="29"/>
        <v>0</v>
      </c>
      <c r="AC51" s="83">
        <f t="shared" si="30"/>
        <v>0</v>
      </c>
      <c r="AD51" s="83">
        <f t="shared" si="31"/>
        <v>0</v>
      </c>
      <c r="AE51" s="83">
        <f t="shared" si="32"/>
        <v>0</v>
      </c>
      <c r="AF51" s="83">
        <f t="shared" si="33"/>
        <v>0</v>
      </c>
      <c r="AG51" s="83">
        <f t="shared" si="34"/>
        <v>0</v>
      </c>
      <c r="AH51" s="83">
        <f t="shared" si="35"/>
        <v>0</v>
      </c>
      <c r="AI51" s="78"/>
      <c r="AJ51" s="86">
        <f t="shared" si="36"/>
        <v>0</v>
      </c>
      <c r="AK51" s="86">
        <f t="shared" si="37"/>
        <v>0</v>
      </c>
      <c r="AL51" s="86">
        <f t="shared" si="38"/>
        <v>0</v>
      </c>
      <c r="AN51" s="83">
        <v>21</v>
      </c>
      <c r="AO51" s="83">
        <f t="shared" si="39"/>
        <v>0</v>
      </c>
      <c r="AP51" s="83">
        <f t="shared" si="40"/>
        <v>0</v>
      </c>
      <c r="AQ51" s="87" t="s">
        <v>179</v>
      </c>
      <c r="AV51" s="83">
        <f t="shared" si="41"/>
        <v>0</v>
      </c>
      <c r="AW51" s="83">
        <f t="shared" si="42"/>
        <v>0</v>
      </c>
      <c r="AX51" s="83">
        <f t="shared" si="43"/>
        <v>0</v>
      </c>
      <c r="AY51" s="84" t="s">
        <v>189</v>
      </c>
      <c r="AZ51" s="84" t="s">
        <v>197</v>
      </c>
      <c r="BA51" s="78" t="s">
        <v>198</v>
      </c>
      <c r="BC51" s="83">
        <f t="shared" si="44"/>
        <v>0</v>
      </c>
      <c r="BD51" s="83">
        <f t="shared" si="45"/>
        <v>0</v>
      </c>
      <c r="BE51" s="83">
        <v>0</v>
      </c>
      <c r="BF51" s="83">
        <f t="shared" si="46"/>
        <v>0.69600000000000006</v>
      </c>
      <c r="BH51" s="86">
        <f t="shared" si="47"/>
        <v>0</v>
      </c>
      <c r="BI51" s="86">
        <f t="shared" si="48"/>
        <v>0</v>
      </c>
      <c r="BJ51" s="86">
        <f t="shared" si="49"/>
        <v>0</v>
      </c>
    </row>
    <row r="52" spans="1:62">
      <c r="A52" s="71" t="s">
        <v>37</v>
      </c>
      <c r="B52" s="6"/>
      <c r="C52" s="6" t="s">
        <v>81</v>
      </c>
      <c r="D52" s="6" t="s">
        <v>132</v>
      </c>
      <c r="E52" s="6" t="s">
        <v>147</v>
      </c>
      <c r="F52" s="18">
        <v>147.68</v>
      </c>
      <c r="G52" s="86">
        <v>0</v>
      </c>
      <c r="H52" s="18">
        <f t="shared" si="24"/>
        <v>0</v>
      </c>
      <c r="I52" s="18">
        <f t="shared" si="25"/>
        <v>0</v>
      </c>
      <c r="J52" s="18">
        <f t="shared" si="26"/>
        <v>0</v>
      </c>
      <c r="K52" s="18">
        <v>2.4399999999999999E-3</v>
      </c>
      <c r="L52" s="18">
        <f t="shared" si="27"/>
        <v>0.36033920000000003</v>
      </c>
      <c r="M52" s="27" t="s">
        <v>268</v>
      </c>
      <c r="Z52" s="83">
        <f t="shared" si="28"/>
        <v>0</v>
      </c>
      <c r="AB52" s="83">
        <f t="shared" si="29"/>
        <v>0</v>
      </c>
      <c r="AC52" s="83">
        <f t="shared" si="30"/>
        <v>0</v>
      </c>
      <c r="AD52" s="83">
        <f t="shared" si="31"/>
        <v>0</v>
      </c>
      <c r="AE52" s="83">
        <f t="shared" si="32"/>
        <v>0</v>
      </c>
      <c r="AF52" s="83">
        <f t="shared" si="33"/>
        <v>0</v>
      </c>
      <c r="AG52" s="83">
        <f t="shared" si="34"/>
        <v>0</v>
      </c>
      <c r="AH52" s="83">
        <f t="shared" si="35"/>
        <v>0</v>
      </c>
      <c r="AI52" s="78"/>
      <c r="AJ52" s="86">
        <f t="shared" si="36"/>
        <v>0</v>
      </c>
      <c r="AK52" s="86">
        <f t="shared" si="37"/>
        <v>0</v>
      </c>
      <c r="AL52" s="86">
        <f t="shared" si="38"/>
        <v>0</v>
      </c>
      <c r="AN52" s="83">
        <v>21</v>
      </c>
      <c r="AO52" s="83">
        <f t="shared" si="39"/>
        <v>0</v>
      </c>
      <c r="AP52" s="83">
        <f t="shared" si="40"/>
        <v>0</v>
      </c>
      <c r="AQ52" s="87" t="s">
        <v>179</v>
      </c>
      <c r="AV52" s="83">
        <f t="shared" si="41"/>
        <v>0</v>
      </c>
      <c r="AW52" s="83">
        <f t="shared" si="42"/>
        <v>0</v>
      </c>
      <c r="AX52" s="83">
        <f t="shared" si="43"/>
        <v>0</v>
      </c>
      <c r="AY52" s="84" t="s">
        <v>189</v>
      </c>
      <c r="AZ52" s="84" t="s">
        <v>197</v>
      </c>
      <c r="BA52" s="78" t="s">
        <v>198</v>
      </c>
      <c r="BC52" s="83">
        <f t="shared" si="44"/>
        <v>0</v>
      </c>
      <c r="BD52" s="83">
        <f t="shared" si="45"/>
        <v>0</v>
      </c>
      <c r="BE52" s="83">
        <v>0</v>
      </c>
      <c r="BF52" s="83">
        <f t="shared" si="46"/>
        <v>0.36033920000000003</v>
      </c>
      <c r="BH52" s="86">
        <f t="shared" si="47"/>
        <v>0</v>
      </c>
      <c r="BI52" s="86">
        <f t="shared" si="48"/>
        <v>0</v>
      </c>
      <c r="BJ52" s="86">
        <f t="shared" si="49"/>
        <v>0</v>
      </c>
    </row>
    <row r="53" spans="1:62">
      <c r="A53" s="71" t="s">
        <v>38</v>
      </c>
      <c r="B53" s="6"/>
      <c r="C53" s="6" t="s">
        <v>82</v>
      </c>
      <c r="D53" s="6" t="s">
        <v>133</v>
      </c>
      <c r="E53" s="6" t="s">
        <v>149</v>
      </c>
      <c r="F53" s="18">
        <v>1.5089999999999999</v>
      </c>
      <c r="G53" s="86">
        <v>0</v>
      </c>
      <c r="H53" s="18">
        <f t="shared" si="24"/>
        <v>0</v>
      </c>
      <c r="I53" s="18">
        <f t="shared" si="25"/>
        <v>0</v>
      </c>
      <c r="J53" s="18">
        <f t="shared" si="26"/>
        <v>0</v>
      </c>
      <c r="K53" s="18">
        <v>1</v>
      </c>
      <c r="L53" s="18">
        <f t="shared" si="27"/>
        <v>1.5089999999999999</v>
      </c>
      <c r="M53" s="27" t="s">
        <v>268</v>
      </c>
      <c r="Z53" s="83">
        <f t="shared" si="28"/>
        <v>0</v>
      </c>
      <c r="AB53" s="83">
        <f t="shared" si="29"/>
        <v>0</v>
      </c>
      <c r="AC53" s="83">
        <f t="shared" si="30"/>
        <v>0</v>
      </c>
      <c r="AD53" s="83">
        <f t="shared" si="31"/>
        <v>0</v>
      </c>
      <c r="AE53" s="83">
        <f t="shared" si="32"/>
        <v>0</v>
      </c>
      <c r="AF53" s="83">
        <f t="shared" si="33"/>
        <v>0</v>
      </c>
      <c r="AG53" s="83">
        <f t="shared" si="34"/>
        <v>0</v>
      </c>
      <c r="AH53" s="83">
        <f t="shared" si="35"/>
        <v>0</v>
      </c>
      <c r="AI53" s="78"/>
      <c r="AJ53" s="86">
        <f t="shared" si="36"/>
        <v>0</v>
      </c>
      <c r="AK53" s="86">
        <f t="shared" si="37"/>
        <v>0</v>
      </c>
      <c r="AL53" s="86">
        <f t="shared" si="38"/>
        <v>0</v>
      </c>
      <c r="AN53" s="83">
        <v>21</v>
      </c>
      <c r="AO53" s="83">
        <f t="shared" si="39"/>
        <v>0</v>
      </c>
      <c r="AP53" s="83">
        <f t="shared" si="40"/>
        <v>0</v>
      </c>
      <c r="AQ53" s="87" t="s">
        <v>179</v>
      </c>
      <c r="AV53" s="83">
        <f t="shared" si="41"/>
        <v>0</v>
      </c>
      <c r="AW53" s="83">
        <f t="shared" si="42"/>
        <v>0</v>
      </c>
      <c r="AX53" s="83">
        <f t="shared" si="43"/>
        <v>0</v>
      </c>
      <c r="AY53" s="84" t="s">
        <v>189</v>
      </c>
      <c r="AZ53" s="84" t="s">
        <v>197</v>
      </c>
      <c r="BA53" s="78" t="s">
        <v>198</v>
      </c>
      <c r="BC53" s="83">
        <f t="shared" si="44"/>
        <v>0</v>
      </c>
      <c r="BD53" s="83">
        <f t="shared" si="45"/>
        <v>0</v>
      </c>
      <c r="BE53" s="83">
        <v>0</v>
      </c>
      <c r="BF53" s="83">
        <f t="shared" si="46"/>
        <v>1.5089999999999999</v>
      </c>
      <c r="BH53" s="86">
        <f t="shared" si="47"/>
        <v>0</v>
      </c>
      <c r="BI53" s="86">
        <f t="shared" si="48"/>
        <v>0</v>
      </c>
      <c r="BJ53" s="86">
        <f t="shared" si="49"/>
        <v>0</v>
      </c>
    </row>
    <row r="54" spans="1:62">
      <c r="A54" s="71" t="s">
        <v>39</v>
      </c>
      <c r="B54" s="6"/>
      <c r="C54" s="6" t="s">
        <v>83</v>
      </c>
      <c r="D54" s="6" t="s">
        <v>134</v>
      </c>
      <c r="E54" s="6" t="s">
        <v>152</v>
      </c>
      <c r="F54" s="18">
        <v>65.3</v>
      </c>
      <c r="G54" s="86">
        <v>0</v>
      </c>
      <c r="H54" s="18">
        <f t="shared" si="24"/>
        <v>0</v>
      </c>
      <c r="I54" s="18">
        <f t="shared" si="25"/>
        <v>0</v>
      </c>
      <c r="J54" s="18">
        <f t="shared" si="26"/>
        <v>0</v>
      </c>
      <c r="K54" s="18">
        <v>1E-3</v>
      </c>
      <c r="L54" s="18">
        <f t="shared" si="27"/>
        <v>6.5299999999999997E-2</v>
      </c>
      <c r="M54" s="27" t="s">
        <v>268</v>
      </c>
      <c r="Z54" s="83">
        <f t="shared" si="28"/>
        <v>0</v>
      </c>
      <c r="AB54" s="83">
        <f t="shared" si="29"/>
        <v>0</v>
      </c>
      <c r="AC54" s="83">
        <f t="shared" si="30"/>
        <v>0</v>
      </c>
      <c r="AD54" s="83">
        <f t="shared" si="31"/>
        <v>0</v>
      </c>
      <c r="AE54" s="83">
        <f t="shared" si="32"/>
        <v>0</v>
      </c>
      <c r="AF54" s="83">
        <f t="shared" si="33"/>
        <v>0</v>
      </c>
      <c r="AG54" s="83">
        <f t="shared" si="34"/>
        <v>0</v>
      </c>
      <c r="AH54" s="83">
        <f t="shared" si="35"/>
        <v>0</v>
      </c>
      <c r="AI54" s="78"/>
      <c r="AJ54" s="86">
        <f t="shared" si="36"/>
        <v>0</v>
      </c>
      <c r="AK54" s="86">
        <f t="shared" si="37"/>
        <v>0</v>
      </c>
      <c r="AL54" s="86">
        <f t="shared" si="38"/>
        <v>0</v>
      </c>
      <c r="AN54" s="83">
        <v>21</v>
      </c>
      <c r="AO54" s="83">
        <f t="shared" si="39"/>
        <v>0</v>
      </c>
      <c r="AP54" s="83">
        <f t="shared" si="40"/>
        <v>0</v>
      </c>
      <c r="AQ54" s="87" t="s">
        <v>179</v>
      </c>
      <c r="AV54" s="83">
        <f t="shared" si="41"/>
        <v>0</v>
      </c>
      <c r="AW54" s="83">
        <f t="shared" si="42"/>
        <v>0</v>
      </c>
      <c r="AX54" s="83">
        <f t="shared" si="43"/>
        <v>0</v>
      </c>
      <c r="AY54" s="84" t="s">
        <v>189</v>
      </c>
      <c r="AZ54" s="84" t="s">
        <v>197</v>
      </c>
      <c r="BA54" s="78" t="s">
        <v>198</v>
      </c>
      <c r="BC54" s="83">
        <f t="shared" si="44"/>
        <v>0</v>
      </c>
      <c r="BD54" s="83">
        <f t="shared" si="45"/>
        <v>0</v>
      </c>
      <c r="BE54" s="83">
        <v>0</v>
      </c>
      <c r="BF54" s="83">
        <f t="shared" si="46"/>
        <v>6.5299999999999997E-2</v>
      </c>
      <c r="BH54" s="86">
        <f t="shared" si="47"/>
        <v>0</v>
      </c>
      <c r="BI54" s="86">
        <f t="shared" si="48"/>
        <v>0</v>
      </c>
      <c r="BJ54" s="86">
        <f t="shared" si="49"/>
        <v>0</v>
      </c>
    </row>
    <row r="55" spans="1:62">
      <c r="A55" s="71" t="s">
        <v>40</v>
      </c>
      <c r="B55" s="6"/>
      <c r="C55" s="6" t="s">
        <v>84</v>
      </c>
      <c r="D55" s="6" t="s">
        <v>135</v>
      </c>
      <c r="E55" s="6" t="s">
        <v>149</v>
      </c>
      <c r="F55" s="18">
        <v>9.8000000000000004E-2</v>
      </c>
      <c r="G55" s="86">
        <v>0</v>
      </c>
      <c r="H55" s="18">
        <f t="shared" si="24"/>
        <v>0</v>
      </c>
      <c r="I55" s="18">
        <f t="shared" si="25"/>
        <v>0</v>
      </c>
      <c r="J55" s="18">
        <f t="shared" si="26"/>
        <v>0</v>
      </c>
      <c r="K55" s="18">
        <v>1</v>
      </c>
      <c r="L55" s="18">
        <f t="shared" si="27"/>
        <v>9.8000000000000004E-2</v>
      </c>
      <c r="M55" s="27" t="s">
        <v>268</v>
      </c>
      <c r="Z55" s="83">
        <f t="shared" si="28"/>
        <v>0</v>
      </c>
      <c r="AB55" s="83">
        <f t="shared" si="29"/>
        <v>0</v>
      </c>
      <c r="AC55" s="83">
        <f t="shared" si="30"/>
        <v>0</v>
      </c>
      <c r="AD55" s="83">
        <f t="shared" si="31"/>
        <v>0</v>
      </c>
      <c r="AE55" s="83">
        <f t="shared" si="32"/>
        <v>0</v>
      </c>
      <c r="AF55" s="83">
        <f t="shared" si="33"/>
        <v>0</v>
      </c>
      <c r="AG55" s="83">
        <f t="shared" si="34"/>
        <v>0</v>
      </c>
      <c r="AH55" s="83">
        <f t="shared" si="35"/>
        <v>0</v>
      </c>
      <c r="AI55" s="78"/>
      <c r="AJ55" s="86">
        <f t="shared" si="36"/>
        <v>0</v>
      </c>
      <c r="AK55" s="86">
        <f t="shared" si="37"/>
        <v>0</v>
      </c>
      <c r="AL55" s="86">
        <f t="shared" si="38"/>
        <v>0</v>
      </c>
      <c r="AN55" s="83">
        <v>21</v>
      </c>
      <c r="AO55" s="83">
        <f t="shared" si="39"/>
        <v>0</v>
      </c>
      <c r="AP55" s="83">
        <f t="shared" si="40"/>
        <v>0</v>
      </c>
      <c r="AQ55" s="87" t="s">
        <v>179</v>
      </c>
      <c r="AV55" s="83">
        <f t="shared" si="41"/>
        <v>0</v>
      </c>
      <c r="AW55" s="83">
        <f t="shared" si="42"/>
        <v>0</v>
      </c>
      <c r="AX55" s="83">
        <f t="shared" si="43"/>
        <v>0</v>
      </c>
      <c r="AY55" s="84" t="s">
        <v>189</v>
      </c>
      <c r="AZ55" s="84" t="s">
        <v>197</v>
      </c>
      <c r="BA55" s="78" t="s">
        <v>198</v>
      </c>
      <c r="BC55" s="83">
        <f t="shared" si="44"/>
        <v>0</v>
      </c>
      <c r="BD55" s="83">
        <f t="shared" si="45"/>
        <v>0</v>
      </c>
      <c r="BE55" s="83">
        <v>0</v>
      </c>
      <c r="BF55" s="83">
        <f t="shared" si="46"/>
        <v>9.8000000000000004E-2</v>
      </c>
      <c r="BH55" s="86">
        <f t="shared" si="47"/>
        <v>0</v>
      </c>
      <c r="BI55" s="86">
        <f t="shared" si="48"/>
        <v>0</v>
      </c>
      <c r="BJ55" s="86">
        <f t="shared" si="49"/>
        <v>0</v>
      </c>
    </row>
    <row r="56" spans="1:62">
      <c r="A56" s="71" t="s">
        <v>41</v>
      </c>
      <c r="B56" s="6"/>
      <c r="C56" s="6" t="s">
        <v>85</v>
      </c>
      <c r="D56" s="6" t="s">
        <v>136</v>
      </c>
      <c r="E56" s="6" t="s">
        <v>149</v>
      </c>
      <c r="F56" s="18">
        <v>0.307</v>
      </c>
      <c r="G56" s="86">
        <v>0</v>
      </c>
      <c r="H56" s="18">
        <f t="shared" si="24"/>
        <v>0</v>
      </c>
      <c r="I56" s="18">
        <f t="shared" si="25"/>
        <v>0</v>
      </c>
      <c r="J56" s="18">
        <f t="shared" si="26"/>
        <v>0</v>
      </c>
      <c r="K56" s="18">
        <v>1</v>
      </c>
      <c r="L56" s="18">
        <f t="shared" si="27"/>
        <v>0.307</v>
      </c>
      <c r="M56" s="27" t="s">
        <v>268</v>
      </c>
      <c r="Z56" s="83">
        <f t="shared" si="28"/>
        <v>0</v>
      </c>
      <c r="AB56" s="83">
        <f t="shared" si="29"/>
        <v>0</v>
      </c>
      <c r="AC56" s="83">
        <f t="shared" si="30"/>
        <v>0</v>
      </c>
      <c r="AD56" s="83">
        <f t="shared" si="31"/>
        <v>0</v>
      </c>
      <c r="AE56" s="83">
        <f t="shared" si="32"/>
        <v>0</v>
      </c>
      <c r="AF56" s="83">
        <f t="shared" si="33"/>
        <v>0</v>
      </c>
      <c r="AG56" s="83">
        <f t="shared" si="34"/>
        <v>0</v>
      </c>
      <c r="AH56" s="83">
        <f t="shared" si="35"/>
        <v>0</v>
      </c>
      <c r="AI56" s="78"/>
      <c r="AJ56" s="86">
        <f t="shared" si="36"/>
        <v>0</v>
      </c>
      <c r="AK56" s="86">
        <f t="shared" si="37"/>
        <v>0</v>
      </c>
      <c r="AL56" s="86">
        <f t="shared" si="38"/>
        <v>0</v>
      </c>
      <c r="AN56" s="83">
        <v>21</v>
      </c>
      <c r="AO56" s="83">
        <f t="shared" si="39"/>
        <v>0</v>
      </c>
      <c r="AP56" s="83">
        <f t="shared" si="40"/>
        <v>0</v>
      </c>
      <c r="AQ56" s="87" t="s">
        <v>179</v>
      </c>
      <c r="AV56" s="83">
        <f t="shared" si="41"/>
        <v>0</v>
      </c>
      <c r="AW56" s="83">
        <f t="shared" si="42"/>
        <v>0</v>
      </c>
      <c r="AX56" s="83">
        <f t="shared" si="43"/>
        <v>0</v>
      </c>
      <c r="AY56" s="84" t="s">
        <v>189</v>
      </c>
      <c r="AZ56" s="84" t="s">
        <v>197</v>
      </c>
      <c r="BA56" s="78" t="s">
        <v>198</v>
      </c>
      <c r="BC56" s="83">
        <f t="shared" si="44"/>
        <v>0</v>
      </c>
      <c r="BD56" s="83">
        <f t="shared" si="45"/>
        <v>0</v>
      </c>
      <c r="BE56" s="83">
        <v>0</v>
      </c>
      <c r="BF56" s="83">
        <f t="shared" si="46"/>
        <v>0.307</v>
      </c>
      <c r="BH56" s="86">
        <f t="shared" si="47"/>
        <v>0</v>
      </c>
      <c r="BI56" s="86">
        <f t="shared" si="48"/>
        <v>0</v>
      </c>
      <c r="BJ56" s="86">
        <f t="shared" si="49"/>
        <v>0</v>
      </c>
    </row>
    <row r="57" spans="1:62">
      <c r="A57" s="71" t="s">
        <v>42</v>
      </c>
      <c r="B57" s="6"/>
      <c r="C57" s="6" t="s">
        <v>86</v>
      </c>
      <c r="D57" s="6" t="s">
        <v>137</v>
      </c>
      <c r="E57" s="6" t="s">
        <v>149</v>
      </c>
      <c r="F57" s="18">
        <v>0.15</v>
      </c>
      <c r="G57" s="86">
        <v>0</v>
      </c>
      <c r="H57" s="18">
        <f t="shared" si="24"/>
        <v>0</v>
      </c>
      <c r="I57" s="18">
        <f t="shared" si="25"/>
        <v>0</v>
      </c>
      <c r="J57" s="18">
        <f t="shared" si="26"/>
        <v>0</v>
      </c>
      <c r="K57" s="18">
        <v>1</v>
      </c>
      <c r="L57" s="18">
        <f t="shared" si="27"/>
        <v>0.15</v>
      </c>
      <c r="M57" s="27" t="s">
        <v>268</v>
      </c>
      <c r="Z57" s="83">
        <f t="shared" si="28"/>
        <v>0</v>
      </c>
      <c r="AB57" s="83">
        <f t="shared" si="29"/>
        <v>0</v>
      </c>
      <c r="AC57" s="83">
        <f t="shared" si="30"/>
        <v>0</v>
      </c>
      <c r="AD57" s="83">
        <f t="shared" si="31"/>
        <v>0</v>
      </c>
      <c r="AE57" s="83">
        <f t="shared" si="32"/>
        <v>0</v>
      </c>
      <c r="AF57" s="83">
        <f t="shared" si="33"/>
        <v>0</v>
      </c>
      <c r="AG57" s="83">
        <f t="shared" si="34"/>
        <v>0</v>
      </c>
      <c r="AH57" s="83">
        <f t="shared" si="35"/>
        <v>0</v>
      </c>
      <c r="AI57" s="78"/>
      <c r="AJ57" s="86">
        <f t="shared" si="36"/>
        <v>0</v>
      </c>
      <c r="AK57" s="86">
        <f t="shared" si="37"/>
        <v>0</v>
      </c>
      <c r="AL57" s="86">
        <f t="shared" si="38"/>
        <v>0</v>
      </c>
      <c r="AN57" s="83">
        <v>21</v>
      </c>
      <c r="AO57" s="83">
        <f t="shared" si="39"/>
        <v>0</v>
      </c>
      <c r="AP57" s="83">
        <f t="shared" si="40"/>
        <v>0</v>
      </c>
      <c r="AQ57" s="87" t="s">
        <v>179</v>
      </c>
      <c r="AV57" s="83">
        <f t="shared" si="41"/>
        <v>0</v>
      </c>
      <c r="AW57" s="83">
        <f t="shared" si="42"/>
        <v>0</v>
      </c>
      <c r="AX57" s="83">
        <f t="shared" si="43"/>
        <v>0</v>
      </c>
      <c r="AY57" s="84" t="s">
        <v>189</v>
      </c>
      <c r="AZ57" s="84" t="s">
        <v>197</v>
      </c>
      <c r="BA57" s="78" t="s">
        <v>198</v>
      </c>
      <c r="BC57" s="83">
        <f t="shared" si="44"/>
        <v>0</v>
      </c>
      <c r="BD57" s="83">
        <f t="shared" si="45"/>
        <v>0</v>
      </c>
      <c r="BE57" s="83">
        <v>0</v>
      </c>
      <c r="BF57" s="83">
        <f t="shared" si="46"/>
        <v>0.15</v>
      </c>
      <c r="BH57" s="86">
        <f t="shared" si="47"/>
        <v>0</v>
      </c>
      <c r="BI57" s="86">
        <f t="shared" si="48"/>
        <v>0</v>
      </c>
      <c r="BJ57" s="86">
        <f t="shared" si="49"/>
        <v>0</v>
      </c>
    </row>
    <row r="58" spans="1:62" ht="13.5" customHeight="1">
      <c r="A58" s="71" t="s">
        <v>43</v>
      </c>
      <c r="B58" s="6"/>
      <c r="C58" s="6" t="s">
        <v>87</v>
      </c>
      <c r="D58" s="6" t="s">
        <v>138</v>
      </c>
      <c r="E58" s="6" t="s">
        <v>151</v>
      </c>
      <c r="F58" s="18">
        <v>25</v>
      </c>
      <c r="G58" s="86">
        <v>0</v>
      </c>
      <c r="H58" s="18">
        <f t="shared" si="24"/>
        <v>0</v>
      </c>
      <c r="I58" s="18">
        <f t="shared" si="25"/>
        <v>0</v>
      </c>
      <c r="J58" s="18">
        <f t="shared" si="26"/>
        <v>0</v>
      </c>
      <c r="K58" s="18">
        <v>3.0000000000000001E-3</v>
      </c>
      <c r="L58" s="18">
        <f t="shared" si="27"/>
        <v>7.4999999999999997E-2</v>
      </c>
      <c r="M58" s="27" t="s">
        <v>268</v>
      </c>
      <c r="Z58" s="83">
        <f t="shared" si="28"/>
        <v>0</v>
      </c>
      <c r="AB58" s="83">
        <f t="shared" si="29"/>
        <v>0</v>
      </c>
      <c r="AC58" s="83">
        <f t="shared" si="30"/>
        <v>0</v>
      </c>
      <c r="AD58" s="83">
        <f t="shared" si="31"/>
        <v>0</v>
      </c>
      <c r="AE58" s="83">
        <f t="shared" si="32"/>
        <v>0</v>
      </c>
      <c r="AF58" s="83">
        <f t="shared" si="33"/>
        <v>0</v>
      </c>
      <c r="AG58" s="83">
        <f t="shared" si="34"/>
        <v>0</v>
      </c>
      <c r="AH58" s="83">
        <f t="shared" si="35"/>
        <v>0</v>
      </c>
      <c r="AI58" s="78"/>
      <c r="AJ58" s="86">
        <f t="shared" si="36"/>
        <v>0</v>
      </c>
      <c r="AK58" s="86">
        <f t="shared" si="37"/>
        <v>0</v>
      </c>
      <c r="AL58" s="86">
        <f t="shared" si="38"/>
        <v>0</v>
      </c>
      <c r="AN58" s="83">
        <v>21</v>
      </c>
      <c r="AO58" s="83">
        <f t="shared" si="39"/>
        <v>0</v>
      </c>
      <c r="AP58" s="83">
        <f t="shared" si="40"/>
        <v>0</v>
      </c>
      <c r="AQ58" s="87" t="s">
        <v>179</v>
      </c>
      <c r="AV58" s="83">
        <f t="shared" si="41"/>
        <v>0</v>
      </c>
      <c r="AW58" s="83">
        <f t="shared" si="42"/>
        <v>0</v>
      </c>
      <c r="AX58" s="83">
        <f t="shared" si="43"/>
        <v>0</v>
      </c>
      <c r="AY58" s="84" t="s">
        <v>189</v>
      </c>
      <c r="AZ58" s="84" t="s">
        <v>197</v>
      </c>
      <c r="BA58" s="78" t="s">
        <v>198</v>
      </c>
      <c r="BC58" s="83">
        <f t="shared" si="44"/>
        <v>0</v>
      </c>
      <c r="BD58" s="83">
        <f t="shared" si="45"/>
        <v>0</v>
      </c>
      <c r="BE58" s="83">
        <v>0</v>
      </c>
      <c r="BF58" s="83">
        <f t="shared" si="46"/>
        <v>7.4999999999999997E-2</v>
      </c>
      <c r="BH58" s="86">
        <f t="shared" si="47"/>
        <v>0</v>
      </c>
      <c r="BI58" s="86">
        <f t="shared" si="48"/>
        <v>0</v>
      </c>
      <c r="BJ58" s="86">
        <f t="shared" si="49"/>
        <v>0</v>
      </c>
    </row>
    <row r="59" spans="1:62">
      <c r="A59" s="71" t="s">
        <v>44</v>
      </c>
      <c r="B59" s="6"/>
      <c r="C59" s="6" t="s">
        <v>88</v>
      </c>
      <c r="D59" s="6" t="s">
        <v>139</v>
      </c>
      <c r="E59" s="6" t="s">
        <v>149</v>
      </c>
      <c r="F59" s="18">
        <v>1.702</v>
      </c>
      <c r="G59" s="86">
        <v>0</v>
      </c>
      <c r="H59" s="18">
        <f t="shared" si="24"/>
        <v>0</v>
      </c>
      <c r="I59" s="18">
        <f t="shared" si="25"/>
        <v>0</v>
      </c>
      <c r="J59" s="18">
        <f t="shared" si="26"/>
        <v>0</v>
      </c>
      <c r="K59" s="18">
        <v>1</v>
      </c>
      <c r="L59" s="18">
        <f t="shared" si="27"/>
        <v>1.702</v>
      </c>
      <c r="M59" s="27" t="s">
        <v>268</v>
      </c>
      <c r="Z59" s="83">
        <f t="shared" si="28"/>
        <v>0</v>
      </c>
      <c r="AB59" s="83">
        <f t="shared" si="29"/>
        <v>0</v>
      </c>
      <c r="AC59" s="83">
        <f t="shared" si="30"/>
        <v>0</v>
      </c>
      <c r="AD59" s="83">
        <f t="shared" si="31"/>
        <v>0</v>
      </c>
      <c r="AE59" s="83">
        <f t="shared" si="32"/>
        <v>0</v>
      </c>
      <c r="AF59" s="83">
        <f t="shared" si="33"/>
        <v>0</v>
      </c>
      <c r="AG59" s="83">
        <f t="shared" si="34"/>
        <v>0</v>
      </c>
      <c r="AH59" s="83">
        <f t="shared" si="35"/>
        <v>0</v>
      </c>
      <c r="AI59" s="78"/>
      <c r="AJ59" s="86">
        <f t="shared" si="36"/>
        <v>0</v>
      </c>
      <c r="AK59" s="86">
        <f t="shared" si="37"/>
        <v>0</v>
      </c>
      <c r="AL59" s="86">
        <f t="shared" si="38"/>
        <v>0</v>
      </c>
      <c r="AN59" s="83">
        <v>21</v>
      </c>
      <c r="AO59" s="83">
        <f t="shared" si="39"/>
        <v>0</v>
      </c>
      <c r="AP59" s="83">
        <f t="shared" si="40"/>
        <v>0</v>
      </c>
      <c r="AQ59" s="87" t="s">
        <v>179</v>
      </c>
      <c r="AV59" s="83">
        <f t="shared" si="41"/>
        <v>0</v>
      </c>
      <c r="AW59" s="83">
        <f t="shared" si="42"/>
        <v>0</v>
      </c>
      <c r="AX59" s="83">
        <f t="shared" si="43"/>
        <v>0</v>
      </c>
      <c r="AY59" s="84" t="s">
        <v>189</v>
      </c>
      <c r="AZ59" s="84" t="s">
        <v>197</v>
      </c>
      <c r="BA59" s="78" t="s">
        <v>198</v>
      </c>
      <c r="BC59" s="83">
        <f t="shared" si="44"/>
        <v>0</v>
      </c>
      <c r="BD59" s="83">
        <f t="shared" si="45"/>
        <v>0</v>
      </c>
      <c r="BE59" s="83">
        <v>0</v>
      </c>
      <c r="BF59" s="83">
        <f t="shared" si="46"/>
        <v>1.702</v>
      </c>
      <c r="BH59" s="86">
        <f t="shared" si="47"/>
        <v>0</v>
      </c>
      <c r="BI59" s="86">
        <f t="shared" si="48"/>
        <v>0</v>
      </c>
      <c r="BJ59" s="86">
        <f t="shared" si="49"/>
        <v>0</v>
      </c>
    </row>
    <row r="60" spans="1:62">
      <c r="A60" s="71" t="s">
        <v>45</v>
      </c>
      <c r="B60" s="6"/>
      <c r="C60" s="6" t="s">
        <v>89</v>
      </c>
      <c r="D60" s="6" t="s">
        <v>140</v>
      </c>
      <c r="E60" s="6" t="s">
        <v>149</v>
      </c>
      <c r="F60" s="18">
        <v>0.13700000000000001</v>
      </c>
      <c r="G60" s="86">
        <v>0</v>
      </c>
      <c r="H60" s="18">
        <f t="shared" si="24"/>
        <v>0</v>
      </c>
      <c r="I60" s="18">
        <f t="shared" si="25"/>
        <v>0</v>
      </c>
      <c r="J60" s="18">
        <f t="shared" si="26"/>
        <v>0</v>
      </c>
      <c r="K60" s="18">
        <v>1</v>
      </c>
      <c r="L60" s="18">
        <f t="shared" si="27"/>
        <v>0.13700000000000001</v>
      </c>
      <c r="M60" s="27" t="s">
        <v>268</v>
      </c>
      <c r="Z60" s="83">
        <f t="shared" si="28"/>
        <v>0</v>
      </c>
      <c r="AB60" s="83">
        <f t="shared" si="29"/>
        <v>0</v>
      </c>
      <c r="AC60" s="83">
        <f t="shared" si="30"/>
        <v>0</v>
      </c>
      <c r="AD60" s="83">
        <f t="shared" si="31"/>
        <v>0</v>
      </c>
      <c r="AE60" s="83">
        <f t="shared" si="32"/>
        <v>0</v>
      </c>
      <c r="AF60" s="83">
        <f t="shared" si="33"/>
        <v>0</v>
      </c>
      <c r="AG60" s="83">
        <f t="shared" si="34"/>
        <v>0</v>
      </c>
      <c r="AH60" s="83">
        <f t="shared" si="35"/>
        <v>0</v>
      </c>
      <c r="AI60" s="78"/>
      <c r="AJ60" s="86">
        <f t="shared" si="36"/>
        <v>0</v>
      </c>
      <c r="AK60" s="86">
        <f t="shared" si="37"/>
        <v>0</v>
      </c>
      <c r="AL60" s="86">
        <f t="shared" si="38"/>
        <v>0</v>
      </c>
      <c r="AN60" s="83">
        <v>21</v>
      </c>
      <c r="AO60" s="83">
        <f t="shared" si="39"/>
        <v>0</v>
      </c>
      <c r="AP60" s="83">
        <f t="shared" si="40"/>
        <v>0</v>
      </c>
      <c r="AQ60" s="87" t="s">
        <v>179</v>
      </c>
      <c r="AV60" s="83">
        <f t="shared" si="41"/>
        <v>0</v>
      </c>
      <c r="AW60" s="83">
        <f t="shared" si="42"/>
        <v>0</v>
      </c>
      <c r="AX60" s="83">
        <f t="shared" si="43"/>
        <v>0</v>
      </c>
      <c r="AY60" s="84" t="s">
        <v>189</v>
      </c>
      <c r="AZ60" s="84" t="s">
        <v>197</v>
      </c>
      <c r="BA60" s="78" t="s">
        <v>198</v>
      </c>
      <c r="BC60" s="83">
        <f t="shared" si="44"/>
        <v>0</v>
      </c>
      <c r="BD60" s="83">
        <f t="shared" si="45"/>
        <v>0</v>
      </c>
      <c r="BE60" s="83">
        <v>0</v>
      </c>
      <c r="BF60" s="83">
        <f t="shared" si="46"/>
        <v>0.13700000000000001</v>
      </c>
      <c r="BH60" s="86">
        <f t="shared" si="47"/>
        <v>0</v>
      </c>
      <c r="BI60" s="86">
        <f t="shared" si="48"/>
        <v>0</v>
      </c>
      <c r="BJ60" s="86">
        <f t="shared" si="49"/>
        <v>0</v>
      </c>
    </row>
    <row r="61" spans="1:62">
      <c r="A61" s="71" t="s">
        <v>46</v>
      </c>
      <c r="B61" s="6"/>
      <c r="C61" s="6" t="s">
        <v>90</v>
      </c>
      <c r="D61" s="6" t="s">
        <v>141</v>
      </c>
      <c r="E61" s="6" t="s">
        <v>149</v>
      </c>
      <c r="F61" s="18">
        <v>0.98099999999999998</v>
      </c>
      <c r="G61" s="86">
        <v>0</v>
      </c>
      <c r="H61" s="18">
        <f t="shared" si="24"/>
        <v>0</v>
      </c>
      <c r="I61" s="18">
        <f t="shared" si="25"/>
        <v>0</v>
      </c>
      <c r="J61" s="18">
        <f t="shared" si="26"/>
        <v>0</v>
      </c>
      <c r="K61" s="18">
        <v>1</v>
      </c>
      <c r="L61" s="18">
        <f t="shared" si="27"/>
        <v>0.98099999999999998</v>
      </c>
      <c r="M61" s="27" t="s">
        <v>268</v>
      </c>
      <c r="Z61" s="83">
        <f t="shared" si="28"/>
        <v>0</v>
      </c>
      <c r="AB61" s="83">
        <f t="shared" si="29"/>
        <v>0</v>
      </c>
      <c r="AC61" s="83">
        <f t="shared" si="30"/>
        <v>0</v>
      </c>
      <c r="AD61" s="83">
        <f t="shared" si="31"/>
        <v>0</v>
      </c>
      <c r="AE61" s="83">
        <f t="shared" si="32"/>
        <v>0</v>
      </c>
      <c r="AF61" s="83">
        <f t="shared" si="33"/>
        <v>0</v>
      </c>
      <c r="AG61" s="83">
        <f t="shared" si="34"/>
        <v>0</v>
      </c>
      <c r="AH61" s="83">
        <f t="shared" si="35"/>
        <v>0</v>
      </c>
      <c r="AI61" s="78"/>
      <c r="AJ61" s="86">
        <f t="shared" si="36"/>
        <v>0</v>
      </c>
      <c r="AK61" s="86">
        <f t="shared" si="37"/>
        <v>0</v>
      </c>
      <c r="AL61" s="86">
        <f t="shared" si="38"/>
        <v>0</v>
      </c>
      <c r="AN61" s="83">
        <v>21</v>
      </c>
      <c r="AO61" s="83">
        <f t="shared" si="39"/>
        <v>0</v>
      </c>
      <c r="AP61" s="83">
        <f t="shared" si="40"/>
        <v>0</v>
      </c>
      <c r="AQ61" s="87" t="s">
        <v>179</v>
      </c>
      <c r="AV61" s="83">
        <f t="shared" si="41"/>
        <v>0</v>
      </c>
      <c r="AW61" s="83">
        <f t="shared" si="42"/>
        <v>0</v>
      </c>
      <c r="AX61" s="83">
        <f t="shared" si="43"/>
        <v>0</v>
      </c>
      <c r="AY61" s="84" t="s">
        <v>189</v>
      </c>
      <c r="AZ61" s="84" t="s">
        <v>197</v>
      </c>
      <c r="BA61" s="78" t="s">
        <v>198</v>
      </c>
      <c r="BC61" s="83">
        <f t="shared" si="44"/>
        <v>0</v>
      </c>
      <c r="BD61" s="83">
        <f t="shared" si="45"/>
        <v>0</v>
      </c>
      <c r="BE61" s="83">
        <v>0</v>
      </c>
      <c r="BF61" s="83">
        <f t="shared" si="46"/>
        <v>0.98099999999999998</v>
      </c>
      <c r="BH61" s="86">
        <f t="shared" si="47"/>
        <v>0</v>
      </c>
      <c r="BI61" s="86">
        <f t="shared" si="48"/>
        <v>0</v>
      </c>
      <c r="BJ61" s="86">
        <f t="shared" si="49"/>
        <v>0</v>
      </c>
    </row>
    <row r="62" spans="1:62">
      <c r="A62" s="8"/>
      <c r="B62" s="8"/>
      <c r="C62" s="8"/>
      <c r="D62" s="8"/>
      <c r="E62" s="8"/>
      <c r="F62" s="8"/>
      <c r="G62" s="89"/>
      <c r="H62" s="93" t="s">
        <v>162</v>
      </c>
      <c r="I62" s="94"/>
      <c r="J62" s="90">
        <f>J12+J18+J21+J26+J28+J30+J40+J42+J44+J47</f>
        <v>0</v>
      </c>
      <c r="K62" s="89"/>
      <c r="L62" s="89"/>
      <c r="M62" s="89"/>
    </row>
    <row r="63" spans="1:62" ht="11.25" customHeight="1">
      <c r="A63" s="9" t="s">
        <v>47</v>
      </c>
      <c r="B63" s="162"/>
      <c r="C63" s="162"/>
      <c r="D63" s="162"/>
      <c r="E63" s="162"/>
      <c r="F63" s="162"/>
    </row>
    <row r="64" spans="1:62">
      <c r="A64" s="92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</row>
  </sheetData>
  <sheetProtection password="D298" sheet="1" objects="1" scenarios="1" selectLockedCells="1"/>
  <mergeCells count="29">
    <mergeCell ref="H10:J10"/>
    <mergeCell ref="K10:L10"/>
    <mergeCell ref="H62:I62"/>
    <mergeCell ref="A64:M64"/>
    <mergeCell ref="A8:C9"/>
    <mergeCell ref="D8:D9"/>
    <mergeCell ref="E8:F9"/>
    <mergeCell ref="G8:G9"/>
    <mergeCell ref="H8:H9"/>
    <mergeCell ref="I8:M9"/>
    <mergeCell ref="I4:M5"/>
    <mergeCell ref="A6:C7"/>
    <mergeCell ref="D6:D7"/>
    <mergeCell ref="E6:F7"/>
    <mergeCell ref="G6:G7"/>
    <mergeCell ref="H6:H7"/>
    <mergeCell ref="I6:M7"/>
    <mergeCell ref="A4:C5"/>
    <mergeCell ref="D4:D5"/>
    <mergeCell ref="E4:F5"/>
    <mergeCell ref="G4:G5"/>
    <mergeCell ref="H4:H5"/>
    <mergeCell ref="A1:M1"/>
    <mergeCell ref="A2:C3"/>
    <mergeCell ref="D2:D3"/>
    <mergeCell ref="E2:F3"/>
    <mergeCell ref="G2:G3"/>
    <mergeCell ref="H2:H3"/>
    <mergeCell ref="I2:M3"/>
  </mergeCells>
  <pageMargins left="0.39400000000000002" right="0.39400000000000002" top="0.59099999999999997" bottom="0.59099999999999997" header="0.5" footer="0.5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workbookViewId="0">
      <pane ySplit="10" topLeftCell="A11" activePane="bottomLeft" state="frozenSplit"/>
      <selection pane="bottomLeft" sqref="A1:G1"/>
    </sheetView>
  </sheetViews>
  <sheetFormatPr defaultColWidth="11.5703125" defaultRowHeight="12.75"/>
  <cols>
    <col min="1" max="2" width="16.5703125" customWidth="1"/>
    <col min="3" max="3" width="41.7109375" customWidth="1"/>
    <col min="4" max="4" width="22.140625" customWidth="1"/>
    <col min="5" max="5" width="21" customWidth="1"/>
    <col min="6" max="6" width="20.85546875" customWidth="1"/>
    <col min="7" max="7" width="19.7109375" customWidth="1"/>
    <col min="8" max="9" width="0" hidden="1" customWidth="1"/>
  </cols>
  <sheetData>
    <row r="1" spans="1:9" ht="72.95" customHeight="1">
      <c r="A1" s="95" t="s">
        <v>202</v>
      </c>
      <c r="B1" s="96"/>
      <c r="C1" s="96"/>
      <c r="D1" s="96"/>
      <c r="E1" s="96"/>
      <c r="F1" s="96"/>
      <c r="G1" s="96"/>
    </row>
    <row r="2" spans="1:9">
      <c r="A2" s="97" t="s">
        <v>1</v>
      </c>
      <c r="B2" s="99" t="str">
        <f>'Stavební rozpočet'!D2</f>
        <v>Sklad na posypovou sůl včetně přístřešku na p.p.č. 1876/1 k.ú. Frýdlant -Silnice LK a.s.</v>
      </c>
      <c r="C2" s="100"/>
      <c r="D2" s="102" t="s">
        <v>156</v>
      </c>
      <c r="E2" s="102" t="str">
        <f>'Stavební rozpočet'!I2</f>
        <v> Silnice LK a.s.</v>
      </c>
      <c r="F2" s="104"/>
      <c r="G2" s="105"/>
      <c r="H2" s="29"/>
    </row>
    <row r="3" spans="1:9">
      <c r="A3" s="98"/>
      <c r="B3" s="101"/>
      <c r="C3" s="101"/>
      <c r="D3" s="103"/>
      <c r="E3" s="103"/>
      <c r="F3" s="103"/>
      <c r="G3" s="106"/>
      <c r="H3" s="29"/>
    </row>
    <row r="4" spans="1:9">
      <c r="A4" s="107" t="s">
        <v>2</v>
      </c>
      <c r="B4" s="108" t="str">
        <f>'Stavební rozpočet'!D4</f>
        <v>Sklad posypové soli včetně přístřešku</v>
      </c>
      <c r="C4" s="103"/>
      <c r="D4" s="108" t="s">
        <v>157</v>
      </c>
      <c r="E4" s="108" t="str">
        <f>'Stavební rozpočet'!I4</f>
        <v> </v>
      </c>
      <c r="F4" s="103"/>
      <c r="G4" s="106"/>
      <c r="H4" s="29"/>
    </row>
    <row r="5" spans="1:9">
      <c r="A5" s="98"/>
      <c r="B5" s="103"/>
      <c r="C5" s="103"/>
      <c r="D5" s="103"/>
      <c r="E5" s="103"/>
      <c r="F5" s="103"/>
      <c r="G5" s="106"/>
      <c r="H5" s="29"/>
    </row>
    <row r="6" spans="1:9">
      <c r="A6" s="107" t="s">
        <v>3</v>
      </c>
      <c r="B6" s="108" t="str">
        <f>'Stavební rozpočet'!D6</f>
        <v>Frýdlant p.p.č. 1876/1 k.ú.Frýdlant</v>
      </c>
      <c r="C6" s="103"/>
      <c r="D6" s="108" t="s">
        <v>158</v>
      </c>
      <c r="E6" s="108" t="str">
        <f>'Stavební rozpočet'!I6</f>
        <v> </v>
      </c>
      <c r="F6" s="103"/>
      <c r="G6" s="106"/>
      <c r="H6" s="29"/>
    </row>
    <row r="7" spans="1:9">
      <c r="A7" s="98"/>
      <c r="B7" s="103"/>
      <c r="C7" s="103"/>
      <c r="D7" s="103"/>
      <c r="E7" s="103"/>
      <c r="F7" s="103"/>
      <c r="G7" s="106"/>
      <c r="H7" s="29"/>
    </row>
    <row r="8" spans="1:9">
      <c r="A8" s="107" t="s">
        <v>159</v>
      </c>
      <c r="B8" s="108" t="str">
        <f>'Stavební rozpočet'!I8</f>
        <v> </v>
      </c>
      <c r="C8" s="103"/>
      <c r="D8" s="111" t="s">
        <v>145</v>
      </c>
      <c r="E8" s="108">
        <f>'Stavební rozpočet'!G8</f>
        <v>0</v>
      </c>
      <c r="F8" s="103"/>
      <c r="G8" s="106"/>
      <c r="H8" s="29"/>
    </row>
    <row r="9" spans="1:9">
      <c r="A9" s="109"/>
      <c r="B9" s="110"/>
      <c r="C9" s="110"/>
      <c r="D9" s="110"/>
      <c r="E9" s="110"/>
      <c r="F9" s="110"/>
      <c r="G9" s="112"/>
      <c r="H9" s="29"/>
    </row>
    <row r="10" spans="1:9">
      <c r="A10" s="34" t="s">
        <v>48</v>
      </c>
      <c r="B10" s="36" t="s">
        <v>49</v>
      </c>
      <c r="C10" s="37" t="s">
        <v>92</v>
      </c>
      <c r="D10" s="38" t="s">
        <v>203</v>
      </c>
      <c r="E10" s="38" t="s">
        <v>204</v>
      </c>
      <c r="F10" s="38" t="s">
        <v>205</v>
      </c>
      <c r="G10" s="40" t="s">
        <v>206</v>
      </c>
      <c r="H10" s="30"/>
    </row>
    <row r="11" spans="1:9">
      <c r="A11" s="35"/>
      <c r="B11" s="35" t="s">
        <v>17</v>
      </c>
      <c r="C11" s="35" t="s">
        <v>94</v>
      </c>
      <c r="D11" s="41">
        <f>'Stavební rozpočet'!H12</f>
        <v>0</v>
      </c>
      <c r="E11" s="41">
        <f>'Stavební rozpočet'!I12</f>
        <v>0</v>
      </c>
      <c r="F11" s="41">
        <f>'Stavební rozpočet'!J12</f>
        <v>0</v>
      </c>
      <c r="G11" s="41">
        <f>'Stavební rozpočet'!L12</f>
        <v>151.928</v>
      </c>
      <c r="H11" s="31" t="s">
        <v>207</v>
      </c>
      <c r="I11" s="31">
        <f t="shared" ref="I11:I20" si="0">IF(H11="F",0,F11)</f>
        <v>0</v>
      </c>
    </row>
    <row r="12" spans="1:9">
      <c r="A12" s="15"/>
      <c r="B12" s="15" t="s">
        <v>18</v>
      </c>
      <c r="C12" s="15" t="s">
        <v>100</v>
      </c>
      <c r="D12" s="31">
        <f>'Stavební rozpočet'!H18</f>
        <v>0</v>
      </c>
      <c r="E12" s="31">
        <f>'Stavební rozpočet'!I18</f>
        <v>0</v>
      </c>
      <c r="F12" s="31">
        <f>'Stavební rozpočet'!J18</f>
        <v>0</v>
      </c>
      <c r="G12" s="31">
        <f>'Stavební rozpočet'!L18</f>
        <v>0</v>
      </c>
      <c r="H12" s="31" t="s">
        <v>207</v>
      </c>
      <c r="I12" s="31">
        <f t="shared" si="0"/>
        <v>0</v>
      </c>
    </row>
    <row r="13" spans="1:9">
      <c r="A13" s="15"/>
      <c r="B13" s="15" t="s">
        <v>33</v>
      </c>
      <c r="C13" s="15" t="s">
        <v>103</v>
      </c>
      <c r="D13" s="31">
        <f>'Stavební rozpočet'!H21</f>
        <v>0</v>
      </c>
      <c r="E13" s="31">
        <f>'Stavební rozpočet'!I21</f>
        <v>0</v>
      </c>
      <c r="F13" s="31">
        <f>'Stavební rozpočet'!J21</f>
        <v>0</v>
      </c>
      <c r="G13" s="31">
        <f>'Stavební rozpočet'!L21</f>
        <v>50.900638000000001</v>
      </c>
      <c r="H13" s="31" t="s">
        <v>207</v>
      </c>
      <c r="I13" s="31">
        <f t="shared" si="0"/>
        <v>0</v>
      </c>
    </row>
    <row r="14" spans="1:9">
      <c r="A14" s="15"/>
      <c r="B14" s="15" t="s">
        <v>38</v>
      </c>
      <c r="C14" s="15" t="s">
        <v>108</v>
      </c>
      <c r="D14" s="31">
        <f>'Stavební rozpočet'!H26</f>
        <v>0</v>
      </c>
      <c r="E14" s="31">
        <f>'Stavební rozpočet'!I26</f>
        <v>0</v>
      </c>
      <c r="F14" s="31">
        <f>'Stavební rozpočet'!J26</f>
        <v>0</v>
      </c>
      <c r="G14" s="31">
        <f>'Stavební rozpočet'!L26</f>
        <v>9.6416096000000007</v>
      </c>
      <c r="H14" s="31" t="s">
        <v>207</v>
      </c>
      <c r="I14" s="31">
        <f t="shared" si="0"/>
        <v>0</v>
      </c>
    </row>
    <row r="15" spans="1:9">
      <c r="A15" s="15"/>
      <c r="B15" s="15" t="s">
        <v>62</v>
      </c>
      <c r="C15" s="15" t="s">
        <v>110</v>
      </c>
      <c r="D15" s="31">
        <f>'Stavební rozpočet'!H28</f>
        <v>0</v>
      </c>
      <c r="E15" s="31">
        <f>'Stavební rozpočet'!I28</f>
        <v>0</v>
      </c>
      <c r="F15" s="31">
        <f>'Stavební rozpočet'!J28</f>
        <v>0</v>
      </c>
      <c r="G15" s="31">
        <f>'Stavební rozpočet'!L28</f>
        <v>43.436250000000001</v>
      </c>
      <c r="H15" s="31" t="s">
        <v>207</v>
      </c>
      <c r="I15" s="31">
        <f t="shared" si="0"/>
        <v>0</v>
      </c>
    </row>
    <row r="16" spans="1:9">
      <c r="A16" s="15"/>
      <c r="B16" s="15" t="s">
        <v>64</v>
      </c>
      <c r="C16" s="15" t="s">
        <v>112</v>
      </c>
      <c r="D16" s="31">
        <f>'Stavební rozpočet'!H30</f>
        <v>0</v>
      </c>
      <c r="E16" s="31">
        <f>'Stavební rozpočet'!I30</f>
        <v>0</v>
      </c>
      <c r="F16" s="31">
        <f>'Stavební rozpočet'!J30</f>
        <v>0</v>
      </c>
      <c r="G16" s="31">
        <f>'Stavební rozpočet'!L30</f>
        <v>0.11156399999999998</v>
      </c>
      <c r="H16" s="31" t="s">
        <v>207</v>
      </c>
      <c r="I16" s="31">
        <f t="shared" si="0"/>
        <v>0</v>
      </c>
    </row>
    <row r="17" spans="1:9">
      <c r="A17" s="15"/>
      <c r="B17" s="15" t="s">
        <v>74</v>
      </c>
      <c r="C17" s="15" t="s">
        <v>122</v>
      </c>
      <c r="D17" s="31">
        <f>'Stavební rozpočet'!H40</f>
        <v>0</v>
      </c>
      <c r="E17" s="31">
        <f>'Stavební rozpočet'!I40</f>
        <v>0</v>
      </c>
      <c r="F17" s="31">
        <f>'Stavební rozpočet'!J40</f>
        <v>0</v>
      </c>
      <c r="G17" s="31">
        <f>'Stavební rozpočet'!L40</f>
        <v>4.0299999999999997E-3</v>
      </c>
      <c r="H17" s="31" t="s">
        <v>207</v>
      </c>
      <c r="I17" s="31">
        <f t="shared" si="0"/>
        <v>0</v>
      </c>
    </row>
    <row r="18" spans="1:9">
      <c r="A18" s="15"/>
      <c r="B18" s="15" t="s">
        <v>76</v>
      </c>
      <c r="C18" s="15" t="s">
        <v>124</v>
      </c>
      <c r="D18" s="31">
        <f>'Stavební rozpočet'!H42</f>
        <v>0</v>
      </c>
      <c r="E18" s="31">
        <f>'Stavební rozpočet'!I42</f>
        <v>0</v>
      </c>
      <c r="F18" s="31">
        <f>'Stavební rozpočet'!J42</f>
        <v>0</v>
      </c>
      <c r="G18" s="31">
        <f>'Stavební rozpočet'!L42</f>
        <v>3.8545499999999996E-2</v>
      </c>
      <c r="H18" s="31" t="s">
        <v>207</v>
      </c>
      <c r="I18" s="31">
        <f t="shared" si="0"/>
        <v>0</v>
      </c>
    </row>
    <row r="19" spans="1:9">
      <c r="A19" s="15"/>
      <c r="B19" s="15" t="s">
        <v>78</v>
      </c>
      <c r="C19" s="15" t="s">
        <v>126</v>
      </c>
      <c r="D19" s="31">
        <f>'Stavební rozpočet'!H44</f>
        <v>0</v>
      </c>
      <c r="E19" s="31">
        <f>'Stavební rozpočet'!I44</f>
        <v>0</v>
      </c>
      <c r="F19" s="31">
        <f>'Stavební rozpočet'!J44</f>
        <v>0</v>
      </c>
      <c r="G19" s="31">
        <f>'Stavební rozpočet'!L44</f>
        <v>0</v>
      </c>
      <c r="H19" s="31" t="s">
        <v>207</v>
      </c>
      <c r="I19" s="31">
        <f t="shared" si="0"/>
        <v>0</v>
      </c>
    </row>
    <row r="20" spans="1:9">
      <c r="A20" s="15"/>
      <c r="B20" s="15"/>
      <c r="C20" s="15" t="s">
        <v>129</v>
      </c>
      <c r="D20" s="31">
        <f>'Stavební rozpočet'!H47</f>
        <v>0</v>
      </c>
      <c r="E20" s="31">
        <f>'Stavební rozpočet'!I47</f>
        <v>0</v>
      </c>
      <c r="F20" s="31">
        <f>'Stavební rozpočet'!J47</f>
        <v>0</v>
      </c>
      <c r="G20" s="31">
        <f>'Stavební rozpočet'!L47</f>
        <v>23.768639199999996</v>
      </c>
      <c r="H20" s="31" t="s">
        <v>207</v>
      </c>
      <c r="I20" s="31">
        <f t="shared" si="0"/>
        <v>0</v>
      </c>
    </row>
    <row r="22" spans="1:9">
      <c r="E22" s="39" t="s">
        <v>162</v>
      </c>
      <c r="F22" s="42">
        <f>SUM(I11:I20)</f>
        <v>0</v>
      </c>
    </row>
  </sheetData>
  <mergeCells count="17">
    <mergeCell ref="A8:A9"/>
    <mergeCell ref="B8:C9"/>
    <mergeCell ref="D8:D9"/>
    <mergeCell ref="E8:G9"/>
    <mergeCell ref="A4:A5"/>
    <mergeCell ref="B4:C5"/>
    <mergeCell ref="D4:D5"/>
    <mergeCell ref="E4:G5"/>
    <mergeCell ref="A6:A7"/>
    <mergeCell ref="B6:C7"/>
    <mergeCell ref="D6:D7"/>
    <mergeCell ref="E6:G7"/>
    <mergeCell ref="A1:G1"/>
    <mergeCell ref="A2:A3"/>
    <mergeCell ref="B2:C3"/>
    <mergeCell ref="D2:D3"/>
    <mergeCell ref="E2:G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workbookViewId="0">
      <pane ySplit="10" topLeftCell="A11" activePane="bottomLeft" state="frozenSplit"/>
      <selection pane="bottomLeft" sqref="A1:H1"/>
    </sheetView>
  </sheetViews>
  <sheetFormatPr defaultColWidth="11.5703125" defaultRowHeight="12.75"/>
  <cols>
    <col min="1" max="2" width="9.140625" customWidth="1"/>
    <col min="3" max="3" width="13.28515625" customWidth="1"/>
    <col min="4" max="4" width="44" customWidth="1"/>
    <col min="5" max="5" width="14.5703125" customWidth="1"/>
    <col min="6" max="6" width="24.140625" customWidth="1"/>
    <col min="7" max="7" width="15.7109375" customWidth="1"/>
    <col min="8" max="8" width="18.140625" customWidth="1"/>
  </cols>
  <sheetData>
    <row r="1" spans="1:9" ht="72.95" customHeight="1">
      <c r="A1" s="95" t="s">
        <v>208</v>
      </c>
      <c r="B1" s="96"/>
      <c r="C1" s="96"/>
      <c r="D1" s="96"/>
      <c r="E1" s="96"/>
      <c r="F1" s="96"/>
      <c r="G1" s="96"/>
      <c r="H1" s="96"/>
    </row>
    <row r="2" spans="1:9">
      <c r="A2" s="97" t="s">
        <v>1</v>
      </c>
      <c r="B2" s="104"/>
      <c r="C2" s="99" t="str">
        <f>'Stavební rozpočet'!D2</f>
        <v>Sklad na posypovou sůl včetně přístřešku na p.p.č. 1876/1 k.ú. Frýdlant -Silnice LK a.s.</v>
      </c>
      <c r="D2" s="100"/>
      <c r="E2" s="102" t="s">
        <v>156</v>
      </c>
      <c r="F2" s="102" t="str">
        <f>'Stavební rozpočet'!I2</f>
        <v> Silnice LK a.s.</v>
      </c>
      <c r="G2" s="104"/>
      <c r="H2" s="105"/>
      <c r="I2" s="29"/>
    </row>
    <row r="3" spans="1:9">
      <c r="A3" s="98"/>
      <c r="B3" s="103"/>
      <c r="C3" s="101"/>
      <c r="D3" s="101"/>
      <c r="E3" s="103"/>
      <c r="F3" s="103"/>
      <c r="G3" s="103"/>
      <c r="H3" s="106"/>
      <c r="I3" s="29"/>
    </row>
    <row r="4" spans="1:9">
      <c r="A4" s="107" t="s">
        <v>2</v>
      </c>
      <c r="B4" s="103"/>
      <c r="C4" s="108" t="str">
        <f>'Stavební rozpočet'!D4</f>
        <v>Sklad posypové soli včetně přístřešku</v>
      </c>
      <c r="D4" s="103"/>
      <c r="E4" s="108" t="s">
        <v>157</v>
      </c>
      <c r="F4" s="108" t="str">
        <f>'Stavební rozpočet'!I4</f>
        <v> </v>
      </c>
      <c r="G4" s="103"/>
      <c r="H4" s="106"/>
      <c r="I4" s="29"/>
    </row>
    <row r="5" spans="1:9">
      <c r="A5" s="98"/>
      <c r="B5" s="103"/>
      <c r="C5" s="103"/>
      <c r="D5" s="103"/>
      <c r="E5" s="103"/>
      <c r="F5" s="103"/>
      <c r="G5" s="103"/>
      <c r="H5" s="106"/>
      <c r="I5" s="29"/>
    </row>
    <row r="6" spans="1:9">
      <c r="A6" s="107" t="s">
        <v>3</v>
      </c>
      <c r="B6" s="103"/>
      <c r="C6" s="108" t="str">
        <f>'Stavební rozpočet'!D6</f>
        <v>Frýdlant p.p.č. 1876/1 k.ú.Frýdlant</v>
      </c>
      <c r="D6" s="103"/>
      <c r="E6" s="108" t="s">
        <v>158</v>
      </c>
      <c r="F6" s="108" t="str">
        <f>'Stavební rozpočet'!I6</f>
        <v> </v>
      </c>
      <c r="G6" s="103"/>
      <c r="H6" s="106"/>
      <c r="I6" s="29"/>
    </row>
    <row r="7" spans="1:9">
      <c r="A7" s="98"/>
      <c r="B7" s="103"/>
      <c r="C7" s="103"/>
      <c r="D7" s="103"/>
      <c r="E7" s="103"/>
      <c r="F7" s="103"/>
      <c r="G7" s="103"/>
      <c r="H7" s="106"/>
      <c r="I7" s="29"/>
    </row>
    <row r="8" spans="1:9">
      <c r="A8" s="107" t="s">
        <v>159</v>
      </c>
      <c r="B8" s="103"/>
      <c r="C8" s="108" t="str">
        <f>'Stavební rozpočet'!I8</f>
        <v> </v>
      </c>
      <c r="D8" s="103"/>
      <c r="E8" s="108" t="s">
        <v>145</v>
      </c>
      <c r="F8" s="108">
        <f>'Stavební rozpočet'!G8</f>
        <v>0</v>
      </c>
      <c r="G8" s="103"/>
      <c r="H8" s="106"/>
      <c r="I8" s="29"/>
    </row>
    <row r="9" spans="1:9">
      <c r="A9" s="109"/>
      <c r="B9" s="110"/>
      <c r="C9" s="110"/>
      <c r="D9" s="110"/>
      <c r="E9" s="110"/>
      <c r="F9" s="110"/>
      <c r="G9" s="110"/>
      <c r="H9" s="112"/>
      <c r="I9" s="29"/>
    </row>
    <row r="10" spans="1:9">
      <c r="A10" s="36" t="s">
        <v>5</v>
      </c>
      <c r="B10" s="37" t="s">
        <v>48</v>
      </c>
      <c r="C10" s="37" t="s">
        <v>49</v>
      </c>
      <c r="D10" s="113" t="s">
        <v>92</v>
      </c>
      <c r="E10" s="114"/>
      <c r="F10" s="37" t="s">
        <v>146</v>
      </c>
      <c r="G10" s="44" t="s">
        <v>153</v>
      </c>
      <c r="H10" s="34" t="s">
        <v>209</v>
      </c>
      <c r="I10" s="30"/>
    </row>
    <row r="11" spans="1:9">
      <c r="A11" s="43"/>
      <c r="B11" s="43"/>
      <c r="C11" s="43"/>
      <c r="D11" s="43"/>
      <c r="E11" s="43"/>
      <c r="F11" s="43"/>
      <c r="G11" s="43"/>
      <c r="H11" s="43"/>
    </row>
    <row r="12" spans="1:9" ht="11.25" customHeight="1">
      <c r="A12" s="9" t="s">
        <v>47</v>
      </c>
    </row>
    <row r="13" spans="1:9">
      <c r="A13" s="108"/>
      <c r="B13" s="103"/>
      <c r="C13" s="103"/>
      <c r="D13" s="103"/>
      <c r="E13" s="103"/>
      <c r="F13" s="103"/>
      <c r="G13" s="103"/>
    </row>
  </sheetData>
  <mergeCells count="19">
    <mergeCell ref="A13:G13"/>
    <mergeCell ref="A6:B7"/>
    <mergeCell ref="C6:D7"/>
    <mergeCell ref="E6:E7"/>
    <mergeCell ref="F6:H7"/>
    <mergeCell ref="A8:B9"/>
    <mergeCell ref="C8:D9"/>
    <mergeCell ref="E8:E9"/>
    <mergeCell ref="F8:H9"/>
    <mergeCell ref="A4:B5"/>
    <mergeCell ref="C4:D5"/>
    <mergeCell ref="E4:E5"/>
    <mergeCell ref="F4:H5"/>
    <mergeCell ref="D10:E10"/>
    <mergeCell ref="A1:H1"/>
    <mergeCell ref="A2:B3"/>
    <mergeCell ref="C2:D3"/>
    <mergeCell ref="E2:E3"/>
    <mergeCell ref="F2:H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workbookViewId="0"/>
  </sheetViews>
  <sheetFormatPr defaultColWidth="11.5703125" defaultRowHeight="12.7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2.85546875" customWidth="1"/>
    <col min="9" max="9" width="22.85546875" customWidth="1"/>
  </cols>
  <sheetData>
    <row r="1" spans="1:10" ht="72.95" customHeight="1">
      <c r="A1" s="70"/>
      <c r="B1" s="45"/>
      <c r="C1" s="115" t="s">
        <v>224</v>
      </c>
      <c r="D1" s="96"/>
      <c r="E1" s="96"/>
      <c r="F1" s="96"/>
      <c r="G1" s="96"/>
      <c r="H1" s="96"/>
      <c r="I1" s="96"/>
    </row>
    <row r="2" spans="1:10">
      <c r="A2" s="97" t="s">
        <v>1</v>
      </c>
      <c r="B2" s="104"/>
      <c r="C2" s="99" t="str">
        <f>'Stavební rozpočet'!D2</f>
        <v>Sklad na posypovou sůl včetně přístřešku na p.p.č. 1876/1 k.ú. Frýdlant -Silnice LK a.s.</v>
      </c>
      <c r="D2" s="100"/>
      <c r="E2" s="102" t="s">
        <v>156</v>
      </c>
      <c r="F2" s="102" t="str">
        <f>'Stavební rozpočet'!I2</f>
        <v> Silnice LK a.s.</v>
      </c>
      <c r="G2" s="104"/>
      <c r="H2" s="102" t="s">
        <v>249</v>
      </c>
      <c r="I2" s="116"/>
      <c r="J2" s="29"/>
    </row>
    <row r="3" spans="1:10">
      <c r="A3" s="98"/>
      <c r="B3" s="103"/>
      <c r="C3" s="101"/>
      <c r="D3" s="101"/>
      <c r="E3" s="103"/>
      <c r="F3" s="103"/>
      <c r="G3" s="103"/>
      <c r="H3" s="103"/>
      <c r="I3" s="106"/>
      <c r="J3" s="29"/>
    </row>
    <row r="4" spans="1:10">
      <c r="A4" s="107" t="s">
        <v>2</v>
      </c>
      <c r="B4" s="103"/>
      <c r="C4" s="108" t="str">
        <f>'Stavební rozpočet'!D4</f>
        <v>Sklad posypové soli včetně přístřešku</v>
      </c>
      <c r="D4" s="103"/>
      <c r="E4" s="108" t="s">
        <v>157</v>
      </c>
      <c r="F4" s="108" t="str">
        <f>'Stavební rozpočet'!I4</f>
        <v> </v>
      </c>
      <c r="G4" s="103"/>
      <c r="H4" s="108" t="s">
        <v>249</v>
      </c>
      <c r="I4" s="117"/>
      <c r="J4" s="29"/>
    </row>
    <row r="5" spans="1:10">
      <c r="A5" s="98"/>
      <c r="B5" s="103"/>
      <c r="C5" s="103"/>
      <c r="D5" s="103"/>
      <c r="E5" s="103"/>
      <c r="F5" s="103"/>
      <c r="G5" s="103"/>
      <c r="H5" s="103"/>
      <c r="I5" s="106"/>
      <c r="J5" s="29"/>
    </row>
    <row r="6" spans="1:10">
      <c r="A6" s="107" t="s">
        <v>3</v>
      </c>
      <c r="B6" s="103"/>
      <c r="C6" s="108" t="str">
        <f>'Stavební rozpočet'!D6</f>
        <v>Frýdlant p.p.č. 1876/1 k.ú.Frýdlant</v>
      </c>
      <c r="D6" s="103"/>
      <c r="E6" s="108" t="s">
        <v>158</v>
      </c>
      <c r="F6" s="108" t="str">
        <f>'Stavební rozpočet'!I6</f>
        <v> </v>
      </c>
      <c r="G6" s="103"/>
      <c r="H6" s="108" t="s">
        <v>249</v>
      </c>
      <c r="I6" s="117"/>
      <c r="J6" s="29"/>
    </row>
    <row r="7" spans="1:10">
      <c r="A7" s="98"/>
      <c r="B7" s="103"/>
      <c r="C7" s="103"/>
      <c r="D7" s="103"/>
      <c r="E7" s="103"/>
      <c r="F7" s="103"/>
      <c r="G7" s="103"/>
      <c r="H7" s="103"/>
      <c r="I7" s="106"/>
      <c r="J7" s="29"/>
    </row>
    <row r="8" spans="1:10">
      <c r="A8" s="107" t="s">
        <v>143</v>
      </c>
      <c r="B8" s="103"/>
      <c r="C8" s="108">
        <f>'Stavební rozpočet'!G4</f>
        <v>0</v>
      </c>
      <c r="D8" s="103"/>
      <c r="E8" s="108" t="s">
        <v>144</v>
      </c>
      <c r="F8" s="108">
        <f>'Stavební rozpočet'!G6</f>
        <v>0</v>
      </c>
      <c r="G8" s="103"/>
      <c r="H8" s="111" t="s">
        <v>250</v>
      </c>
      <c r="I8" s="117" t="s">
        <v>46</v>
      </c>
      <c r="J8" s="29"/>
    </row>
    <row r="9" spans="1:10">
      <c r="A9" s="98"/>
      <c r="B9" s="103"/>
      <c r="C9" s="103"/>
      <c r="D9" s="103"/>
      <c r="E9" s="103"/>
      <c r="F9" s="103"/>
      <c r="G9" s="103"/>
      <c r="H9" s="103"/>
      <c r="I9" s="106"/>
      <c r="J9" s="29"/>
    </row>
    <row r="10" spans="1:10">
      <c r="A10" s="107" t="s">
        <v>4</v>
      </c>
      <c r="B10" s="103"/>
      <c r="C10" s="108" t="str">
        <f>'Stavební rozpočet'!D8</f>
        <v xml:space="preserve"> </v>
      </c>
      <c r="D10" s="103"/>
      <c r="E10" s="108" t="s">
        <v>159</v>
      </c>
      <c r="F10" s="108" t="str">
        <f>'Stavební rozpočet'!I8</f>
        <v> </v>
      </c>
      <c r="G10" s="103"/>
      <c r="H10" s="111" t="s">
        <v>251</v>
      </c>
      <c r="I10" s="120">
        <f>'Stavební rozpočet'!G8</f>
        <v>0</v>
      </c>
      <c r="J10" s="29"/>
    </row>
    <row r="11" spans="1:10">
      <c r="A11" s="118"/>
      <c r="B11" s="119"/>
      <c r="C11" s="119"/>
      <c r="D11" s="119"/>
      <c r="E11" s="119"/>
      <c r="F11" s="119"/>
      <c r="G11" s="119"/>
      <c r="H11" s="119"/>
      <c r="I11" s="121"/>
      <c r="J11" s="29"/>
    </row>
    <row r="12" spans="1:10" ht="23.45" customHeight="1">
      <c r="A12" s="122" t="s">
        <v>210</v>
      </c>
      <c r="B12" s="123"/>
      <c r="C12" s="123"/>
      <c r="D12" s="123"/>
      <c r="E12" s="123"/>
      <c r="F12" s="123"/>
      <c r="G12" s="123"/>
      <c r="H12" s="123"/>
      <c r="I12" s="123"/>
    </row>
    <row r="13" spans="1:10" ht="26.45" customHeight="1">
      <c r="A13" s="46" t="s">
        <v>211</v>
      </c>
      <c r="B13" s="124" t="s">
        <v>222</v>
      </c>
      <c r="C13" s="125"/>
      <c r="D13" s="46" t="s">
        <v>225</v>
      </c>
      <c r="E13" s="124" t="s">
        <v>234</v>
      </c>
      <c r="F13" s="125"/>
      <c r="G13" s="46" t="s">
        <v>235</v>
      </c>
      <c r="H13" s="124" t="s">
        <v>252</v>
      </c>
      <c r="I13" s="125"/>
      <c r="J13" s="29"/>
    </row>
    <row r="14" spans="1:10" ht="15.2" customHeight="1">
      <c r="A14" s="47" t="s">
        <v>212</v>
      </c>
      <c r="B14" s="51" t="s">
        <v>223</v>
      </c>
      <c r="C14" s="54">
        <f>SUM('Stavební rozpočet'!AB12:AB61)</f>
        <v>0</v>
      </c>
      <c r="D14" s="126" t="s">
        <v>226</v>
      </c>
      <c r="E14" s="127"/>
      <c r="F14" s="54">
        <f>VORN!I15</f>
        <v>0</v>
      </c>
      <c r="G14" s="126" t="s">
        <v>236</v>
      </c>
      <c r="H14" s="127"/>
      <c r="I14" s="54">
        <f>VORN!I21</f>
        <v>0</v>
      </c>
      <c r="J14" s="29"/>
    </row>
    <row r="15" spans="1:10" ht="15.2" customHeight="1">
      <c r="A15" s="48"/>
      <c r="B15" s="51" t="s">
        <v>164</v>
      </c>
      <c r="C15" s="54">
        <f>SUM('Stavební rozpočet'!AC12:AC61)</f>
        <v>0</v>
      </c>
      <c r="D15" s="126" t="s">
        <v>227</v>
      </c>
      <c r="E15" s="127"/>
      <c r="F15" s="54">
        <f>VORN!I16</f>
        <v>0</v>
      </c>
      <c r="G15" s="126" t="s">
        <v>237</v>
      </c>
      <c r="H15" s="127"/>
      <c r="I15" s="54">
        <f>VORN!I22</f>
        <v>0</v>
      </c>
      <c r="J15" s="29"/>
    </row>
    <row r="16" spans="1:10" ht="15.2" customHeight="1">
      <c r="A16" s="47" t="s">
        <v>213</v>
      </c>
      <c r="B16" s="51" t="s">
        <v>223</v>
      </c>
      <c r="C16" s="54">
        <f>SUM('Stavební rozpočet'!AD12:AD61)</f>
        <v>0</v>
      </c>
      <c r="D16" s="126" t="s">
        <v>228</v>
      </c>
      <c r="E16" s="127"/>
      <c r="F16" s="54">
        <f>VORN!I17</f>
        <v>0</v>
      </c>
      <c r="G16" s="126" t="s">
        <v>238</v>
      </c>
      <c r="H16" s="127"/>
      <c r="I16" s="54">
        <f>VORN!I23</f>
        <v>0</v>
      </c>
      <c r="J16" s="29"/>
    </row>
    <row r="17" spans="1:10" ht="15.2" customHeight="1">
      <c r="A17" s="48"/>
      <c r="B17" s="51" t="s">
        <v>164</v>
      </c>
      <c r="C17" s="54">
        <f>SUM('Stavební rozpočet'!AE12:AE61)</f>
        <v>0</v>
      </c>
      <c r="D17" s="126"/>
      <c r="E17" s="127"/>
      <c r="F17" s="55"/>
      <c r="G17" s="126" t="s">
        <v>239</v>
      </c>
      <c r="H17" s="127"/>
      <c r="I17" s="54">
        <f>VORN!I24</f>
        <v>0</v>
      </c>
      <c r="J17" s="29"/>
    </row>
    <row r="18" spans="1:10" ht="15.2" customHeight="1">
      <c r="A18" s="47" t="s">
        <v>214</v>
      </c>
      <c r="B18" s="51" t="s">
        <v>223</v>
      </c>
      <c r="C18" s="54">
        <f>SUM('Stavební rozpočet'!AF12:AF61)</f>
        <v>0</v>
      </c>
      <c r="D18" s="126"/>
      <c r="E18" s="127"/>
      <c r="F18" s="55"/>
      <c r="G18" s="126" t="s">
        <v>240</v>
      </c>
      <c r="H18" s="127"/>
      <c r="I18" s="54">
        <f>VORN!I25</f>
        <v>0</v>
      </c>
      <c r="J18" s="29"/>
    </row>
    <row r="19" spans="1:10" ht="15.2" customHeight="1">
      <c r="A19" s="48"/>
      <c r="B19" s="51" t="s">
        <v>164</v>
      </c>
      <c r="C19" s="54">
        <f>SUM('Stavební rozpočet'!AG12:AG61)</f>
        <v>0</v>
      </c>
      <c r="D19" s="126"/>
      <c r="E19" s="127"/>
      <c r="F19" s="55"/>
      <c r="G19" s="126" t="s">
        <v>241</v>
      </c>
      <c r="H19" s="127"/>
      <c r="I19" s="54">
        <f>VORN!I26</f>
        <v>0</v>
      </c>
      <c r="J19" s="29"/>
    </row>
    <row r="20" spans="1:10" ht="15.2" customHeight="1">
      <c r="A20" s="128" t="s">
        <v>129</v>
      </c>
      <c r="B20" s="129"/>
      <c r="C20" s="54">
        <f>SUM('Stavební rozpočet'!AH12:AH61)</f>
        <v>0</v>
      </c>
      <c r="D20" s="126"/>
      <c r="E20" s="127"/>
      <c r="F20" s="55"/>
      <c r="G20" s="126"/>
      <c r="H20" s="127"/>
      <c r="I20" s="55"/>
      <c r="J20" s="29"/>
    </row>
    <row r="21" spans="1:10" ht="15.2" customHeight="1">
      <c r="A21" s="128" t="s">
        <v>215</v>
      </c>
      <c r="B21" s="129"/>
      <c r="C21" s="54">
        <f>SUM('Stavební rozpočet'!Z12:Z61)</f>
        <v>0</v>
      </c>
      <c r="D21" s="126"/>
      <c r="E21" s="127"/>
      <c r="F21" s="55"/>
      <c r="G21" s="126"/>
      <c r="H21" s="127"/>
      <c r="I21" s="55"/>
      <c r="J21" s="29"/>
    </row>
    <row r="22" spans="1:10" ht="16.7" customHeight="1">
      <c r="A22" s="128" t="s">
        <v>216</v>
      </c>
      <c r="B22" s="129"/>
      <c r="C22" s="54">
        <f>SUM(C14:C21)</f>
        <v>0</v>
      </c>
      <c r="D22" s="128" t="s">
        <v>229</v>
      </c>
      <c r="E22" s="129"/>
      <c r="F22" s="54">
        <f>SUM(F14:F21)</f>
        <v>0</v>
      </c>
      <c r="G22" s="128" t="s">
        <v>242</v>
      </c>
      <c r="H22" s="129"/>
      <c r="I22" s="54">
        <f>SUM(I14:I21)</f>
        <v>0</v>
      </c>
      <c r="J22" s="29"/>
    </row>
    <row r="23" spans="1:10" ht="15.2" customHeight="1">
      <c r="A23" s="8"/>
      <c r="B23" s="8"/>
      <c r="C23" s="52"/>
      <c r="D23" s="128" t="s">
        <v>230</v>
      </c>
      <c r="E23" s="129"/>
      <c r="F23" s="56">
        <v>0</v>
      </c>
      <c r="G23" s="128" t="s">
        <v>243</v>
      </c>
      <c r="H23" s="129"/>
      <c r="I23" s="54">
        <v>0</v>
      </c>
      <c r="J23" s="29"/>
    </row>
    <row r="24" spans="1:10" ht="15.2" customHeight="1">
      <c r="D24" s="8"/>
      <c r="E24" s="8"/>
      <c r="F24" s="57"/>
      <c r="G24" s="128" t="s">
        <v>244</v>
      </c>
      <c r="H24" s="129"/>
      <c r="I24" s="54">
        <f>vorn_sum</f>
        <v>0</v>
      </c>
      <c r="J24" s="29"/>
    </row>
    <row r="25" spans="1:10" ht="15.2" customHeight="1">
      <c r="F25" s="58"/>
      <c r="G25" s="128" t="s">
        <v>245</v>
      </c>
      <c r="H25" s="129"/>
      <c r="I25" s="54">
        <v>0</v>
      </c>
      <c r="J25" s="29"/>
    </row>
    <row r="26" spans="1:10">
      <c r="A26" s="45"/>
      <c r="B26" s="45"/>
      <c r="C26" s="45"/>
      <c r="G26" s="8"/>
      <c r="H26" s="8"/>
      <c r="I26" s="8"/>
    </row>
    <row r="27" spans="1:10" ht="15.2" customHeight="1">
      <c r="A27" s="130" t="s">
        <v>217</v>
      </c>
      <c r="B27" s="131"/>
      <c r="C27" s="59">
        <f>SUM('Stavební rozpočet'!AJ12:AJ61)</f>
        <v>0</v>
      </c>
      <c r="D27" s="53"/>
      <c r="E27" s="45"/>
      <c r="F27" s="45"/>
      <c r="G27" s="45"/>
      <c r="H27" s="45"/>
      <c r="I27" s="45"/>
    </row>
    <row r="28" spans="1:10" ht="15.2" customHeight="1">
      <c r="A28" s="130" t="s">
        <v>218</v>
      </c>
      <c r="B28" s="131"/>
      <c r="C28" s="59">
        <f>SUM('Stavební rozpočet'!AK12:AK61)</f>
        <v>0</v>
      </c>
      <c r="D28" s="130" t="s">
        <v>231</v>
      </c>
      <c r="E28" s="131"/>
      <c r="F28" s="59">
        <f>ROUND(C28*(15/100),2)</f>
        <v>0</v>
      </c>
      <c r="G28" s="130" t="s">
        <v>246</v>
      </c>
      <c r="H28" s="131"/>
      <c r="I28" s="59">
        <f>SUM(C27:C29)</f>
        <v>0</v>
      </c>
      <c r="J28" s="29"/>
    </row>
    <row r="29" spans="1:10" ht="15.2" customHeight="1">
      <c r="A29" s="130" t="s">
        <v>219</v>
      </c>
      <c r="B29" s="131"/>
      <c r="C29" s="59">
        <f>SUM('Stavební rozpočet'!AL12:AL61)+(F22+I22+F23+I23+I24+I25)</f>
        <v>0</v>
      </c>
      <c r="D29" s="130" t="s">
        <v>232</v>
      </c>
      <c r="E29" s="131"/>
      <c r="F29" s="59">
        <f>ROUND(C29*(21/100),2)</f>
        <v>0</v>
      </c>
      <c r="G29" s="130" t="s">
        <v>247</v>
      </c>
      <c r="H29" s="131"/>
      <c r="I29" s="59">
        <f>SUM(F28:F29)+I28</f>
        <v>0</v>
      </c>
      <c r="J29" s="29"/>
    </row>
    <row r="30" spans="1:10">
      <c r="A30" s="49"/>
      <c r="B30" s="49"/>
      <c r="C30" s="49"/>
      <c r="D30" s="49"/>
      <c r="E30" s="49"/>
      <c r="F30" s="49"/>
      <c r="G30" s="49"/>
      <c r="H30" s="49"/>
      <c r="I30" s="49"/>
    </row>
    <row r="31" spans="1:10" ht="14.45" customHeight="1">
      <c r="A31" s="132" t="s">
        <v>220</v>
      </c>
      <c r="B31" s="133"/>
      <c r="C31" s="134"/>
      <c r="D31" s="132" t="s">
        <v>233</v>
      </c>
      <c r="E31" s="133"/>
      <c r="F31" s="134"/>
      <c r="G31" s="132" t="s">
        <v>248</v>
      </c>
      <c r="H31" s="133"/>
      <c r="I31" s="134"/>
      <c r="J31" s="30"/>
    </row>
    <row r="32" spans="1:10" ht="14.45" customHeight="1">
      <c r="A32" s="135"/>
      <c r="B32" s="136"/>
      <c r="C32" s="137"/>
      <c r="D32" s="135"/>
      <c r="E32" s="136"/>
      <c r="F32" s="137"/>
      <c r="G32" s="135"/>
      <c r="H32" s="136"/>
      <c r="I32" s="137"/>
      <c r="J32" s="30"/>
    </row>
    <row r="33" spans="1:10" ht="14.45" customHeight="1">
      <c r="A33" s="135"/>
      <c r="B33" s="136"/>
      <c r="C33" s="137"/>
      <c r="D33" s="135"/>
      <c r="E33" s="136"/>
      <c r="F33" s="137"/>
      <c r="G33" s="135"/>
      <c r="H33" s="136"/>
      <c r="I33" s="137"/>
      <c r="J33" s="30"/>
    </row>
    <row r="34" spans="1:10" ht="14.45" customHeight="1">
      <c r="A34" s="135"/>
      <c r="B34" s="136"/>
      <c r="C34" s="137"/>
      <c r="D34" s="135"/>
      <c r="E34" s="136"/>
      <c r="F34" s="137"/>
      <c r="G34" s="135"/>
      <c r="H34" s="136"/>
      <c r="I34" s="137"/>
      <c r="J34" s="30"/>
    </row>
    <row r="35" spans="1:10" ht="14.45" customHeight="1">
      <c r="A35" s="138" t="s">
        <v>221</v>
      </c>
      <c r="B35" s="139"/>
      <c r="C35" s="140"/>
      <c r="D35" s="138" t="s">
        <v>221</v>
      </c>
      <c r="E35" s="139"/>
      <c r="F35" s="140"/>
      <c r="G35" s="138" t="s">
        <v>221</v>
      </c>
      <c r="H35" s="139"/>
      <c r="I35" s="140"/>
      <c r="J35" s="30"/>
    </row>
    <row r="36" spans="1:10" ht="11.25" customHeight="1">
      <c r="A36" s="50" t="s">
        <v>47</v>
      </c>
      <c r="B36" s="43"/>
      <c r="C36" s="43"/>
      <c r="D36" s="43"/>
      <c r="E36" s="43"/>
      <c r="F36" s="43"/>
      <c r="G36" s="43"/>
      <c r="H36" s="43"/>
      <c r="I36" s="43"/>
    </row>
    <row r="37" spans="1:10">
      <c r="A37" s="108"/>
      <c r="B37" s="103"/>
      <c r="C37" s="103"/>
      <c r="D37" s="103"/>
      <c r="E37" s="103"/>
      <c r="F37" s="103"/>
      <c r="G37" s="103"/>
      <c r="H37" s="103"/>
      <c r="I37" s="103"/>
    </row>
  </sheetData>
  <mergeCells count="83"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A28:B28"/>
    <mergeCell ref="D28:E28"/>
    <mergeCell ref="G28:H28"/>
    <mergeCell ref="A29:B29"/>
    <mergeCell ref="D29:E29"/>
    <mergeCell ref="G29:H29"/>
    <mergeCell ref="D23:E23"/>
    <mergeCell ref="G23:H23"/>
    <mergeCell ref="G24:H24"/>
    <mergeCell ref="G25:H25"/>
    <mergeCell ref="A27:B27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workbookViewId="0"/>
  </sheetViews>
  <sheetFormatPr defaultColWidth="11.5703125" defaultRowHeight="12.7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10" ht="72.95" customHeight="1">
      <c r="A1" s="70"/>
      <c r="B1" s="45"/>
      <c r="C1" s="115" t="s">
        <v>261</v>
      </c>
      <c r="D1" s="96"/>
      <c r="E1" s="96"/>
      <c r="F1" s="96"/>
      <c r="G1" s="96"/>
      <c r="H1" s="96"/>
      <c r="I1" s="96"/>
    </row>
    <row r="2" spans="1:10">
      <c r="A2" s="97" t="s">
        <v>1</v>
      </c>
      <c r="B2" s="104"/>
      <c r="C2" s="99" t="str">
        <f>'Stavební rozpočet'!D2</f>
        <v>Sklad na posypovou sůl včetně přístřešku na p.p.č. 1876/1 k.ú. Frýdlant -Silnice LK a.s.</v>
      </c>
      <c r="D2" s="100"/>
      <c r="E2" s="102" t="s">
        <v>156</v>
      </c>
      <c r="F2" s="102" t="str">
        <f>'Stavební rozpočet'!I2</f>
        <v> Silnice LK a.s.</v>
      </c>
      <c r="G2" s="104"/>
      <c r="H2" s="102" t="s">
        <v>249</v>
      </c>
      <c r="I2" s="116"/>
      <c r="J2" s="29"/>
    </row>
    <row r="3" spans="1:10">
      <c r="A3" s="98"/>
      <c r="B3" s="103"/>
      <c r="C3" s="101"/>
      <c r="D3" s="101"/>
      <c r="E3" s="103"/>
      <c r="F3" s="103"/>
      <c r="G3" s="103"/>
      <c r="H3" s="103"/>
      <c r="I3" s="106"/>
      <c r="J3" s="29"/>
    </row>
    <row r="4" spans="1:10">
      <c r="A4" s="107" t="s">
        <v>2</v>
      </c>
      <c r="B4" s="103"/>
      <c r="C4" s="108" t="str">
        <f>'Stavební rozpočet'!D4</f>
        <v>Sklad posypové soli včetně přístřešku</v>
      </c>
      <c r="D4" s="103"/>
      <c r="E4" s="108" t="s">
        <v>157</v>
      </c>
      <c r="F4" s="108" t="str">
        <f>'Stavební rozpočet'!I4</f>
        <v> </v>
      </c>
      <c r="G4" s="103"/>
      <c r="H4" s="108" t="s">
        <v>249</v>
      </c>
      <c r="I4" s="117"/>
      <c r="J4" s="29"/>
    </row>
    <row r="5" spans="1:10">
      <c r="A5" s="98"/>
      <c r="B5" s="103"/>
      <c r="C5" s="103"/>
      <c r="D5" s="103"/>
      <c r="E5" s="103"/>
      <c r="F5" s="103"/>
      <c r="G5" s="103"/>
      <c r="H5" s="103"/>
      <c r="I5" s="106"/>
      <c r="J5" s="29"/>
    </row>
    <row r="6" spans="1:10">
      <c r="A6" s="107" t="s">
        <v>3</v>
      </c>
      <c r="B6" s="103"/>
      <c r="C6" s="108" t="str">
        <f>'Stavební rozpočet'!D6</f>
        <v>Frýdlant p.p.č. 1876/1 k.ú.Frýdlant</v>
      </c>
      <c r="D6" s="103"/>
      <c r="E6" s="108" t="s">
        <v>158</v>
      </c>
      <c r="F6" s="108" t="str">
        <f>'Stavební rozpočet'!I6</f>
        <v> </v>
      </c>
      <c r="G6" s="103"/>
      <c r="H6" s="108" t="s">
        <v>249</v>
      </c>
      <c r="I6" s="117"/>
      <c r="J6" s="29"/>
    </row>
    <row r="7" spans="1:10">
      <c r="A7" s="98"/>
      <c r="B7" s="103"/>
      <c r="C7" s="103"/>
      <c r="D7" s="103"/>
      <c r="E7" s="103"/>
      <c r="F7" s="103"/>
      <c r="G7" s="103"/>
      <c r="H7" s="103"/>
      <c r="I7" s="106"/>
      <c r="J7" s="29"/>
    </row>
    <row r="8" spans="1:10">
      <c r="A8" s="107" t="s">
        <v>143</v>
      </c>
      <c r="B8" s="103"/>
      <c r="C8" s="108">
        <f>'Stavební rozpočet'!G4</f>
        <v>0</v>
      </c>
      <c r="D8" s="103"/>
      <c r="E8" s="108" t="s">
        <v>144</v>
      </c>
      <c r="F8" s="108">
        <f>'Stavební rozpočet'!G6</f>
        <v>0</v>
      </c>
      <c r="G8" s="103"/>
      <c r="H8" s="111" t="s">
        <v>250</v>
      </c>
      <c r="I8" s="117" t="s">
        <v>46</v>
      </c>
      <c r="J8" s="29"/>
    </row>
    <row r="9" spans="1:10">
      <c r="A9" s="98"/>
      <c r="B9" s="103"/>
      <c r="C9" s="103"/>
      <c r="D9" s="103"/>
      <c r="E9" s="103"/>
      <c r="F9" s="103"/>
      <c r="G9" s="103"/>
      <c r="H9" s="103"/>
      <c r="I9" s="106"/>
      <c r="J9" s="29"/>
    </row>
    <row r="10" spans="1:10">
      <c r="A10" s="107" t="s">
        <v>4</v>
      </c>
      <c r="B10" s="103"/>
      <c r="C10" s="108" t="str">
        <f>'Stavební rozpočet'!D8</f>
        <v xml:space="preserve"> </v>
      </c>
      <c r="D10" s="103"/>
      <c r="E10" s="108" t="s">
        <v>159</v>
      </c>
      <c r="F10" s="108" t="str">
        <f>'Stavební rozpočet'!I8</f>
        <v> </v>
      </c>
      <c r="G10" s="103"/>
      <c r="H10" s="111" t="s">
        <v>251</v>
      </c>
      <c r="I10" s="120">
        <f>'Stavební rozpočet'!G8</f>
        <v>0</v>
      </c>
      <c r="J10" s="29"/>
    </row>
    <row r="11" spans="1:10">
      <c r="A11" s="118"/>
      <c r="B11" s="119"/>
      <c r="C11" s="119"/>
      <c r="D11" s="119"/>
      <c r="E11" s="119"/>
      <c r="F11" s="119"/>
      <c r="G11" s="119"/>
      <c r="H11" s="119"/>
      <c r="I11" s="121"/>
      <c r="J11" s="29"/>
    </row>
    <row r="12" spans="1:10">
      <c r="A12" s="8"/>
      <c r="B12" s="8"/>
      <c r="C12" s="8"/>
      <c r="D12" s="8"/>
      <c r="E12" s="8"/>
      <c r="F12" s="8"/>
      <c r="G12" s="8"/>
      <c r="H12" s="8"/>
      <c r="I12" s="8"/>
    </row>
    <row r="13" spans="1:10" ht="15.2" customHeight="1">
      <c r="A13" s="141" t="s">
        <v>253</v>
      </c>
      <c r="B13" s="142"/>
      <c r="C13" s="142"/>
      <c r="D13" s="142"/>
      <c r="E13" s="142"/>
      <c r="F13" s="61"/>
      <c r="G13" s="61"/>
      <c r="H13" s="61"/>
      <c r="I13" s="61"/>
    </row>
    <row r="14" spans="1:10">
      <c r="A14" s="143" t="s">
        <v>254</v>
      </c>
      <c r="B14" s="144"/>
      <c r="C14" s="144"/>
      <c r="D14" s="144"/>
      <c r="E14" s="145"/>
      <c r="F14" s="62" t="s">
        <v>262</v>
      </c>
      <c r="G14" s="62" t="s">
        <v>263</v>
      </c>
      <c r="H14" s="62" t="s">
        <v>264</v>
      </c>
      <c r="I14" s="62" t="s">
        <v>262</v>
      </c>
      <c r="J14" s="30"/>
    </row>
    <row r="15" spans="1:10">
      <c r="A15" s="146" t="s">
        <v>226</v>
      </c>
      <c r="B15" s="147"/>
      <c r="C15" s="147"/>
      <c r="D15" s="147"/>
      <c r="E15" s="148"/>
      <c r="F15" s="63">
        <v>0</v>
      </c>
      <c r="G15" s="66"/>
      <c r="H15" s="66"/>
      <c r="I15" s="63">
        <f>F15</f>
        <v>0</v>
      </c>
      <c r="J15" s="29"/>
    </row>
    <row r="16" spans="1:10">
      <c r="A16" s="146" t="s">
        <v>227</v>
      </c>
      <c r="B16" s="147"/>
      <c r="C16" s="147"/>
      <c r="D16" s="147"/>
      <c r="E16" s="148"/>
      <c r="F16" s="63">
        <v>0</v>
      </c>
      <c r="G16" s="66"/>
      <c r="H16" s="66"/>
      <c r="I16" s="63">
        <f>F16</f>
        <v>0</v>
      </c>
      <c r="J16" s="29"/>
    </row>
    <row r="17" spans="1:10">
      <c r="A17" s="149" t="s">
        <v>228</v>
      </c>
      <c r="B17" s="150"/>
      <c r="C17" s="150"/>
      <c r="D17" s="150"/>
      <c r="E17" s="151"/>
      <c r="F17" s="64">
        <v>0</v>
      </c>
      <c r="G17" s="67"/>
      <c r="H17" s="67"/>
      <c r="I17" s="64">
        <f>F17</f>
        <v>0</v>
      </c>
      <c r="J17" s="29"/>
    </row>
    <row r="18" spans="1:10">
      <c r="A18" s="152" t="s">
        <v>255</v>
      </c>
      <c r="B18" s="153"/>
      <c r="C18" s="153"/>
      <c r="D18" s="153"/>
      <c r="E18" s="154"/>
      <c r="F18" s="65"/>
      <c r="G18" s="68"/>
      <c r="H18" s="68"/>
      <c r="I18" s="69">
        <f>SUM(I15:I17)</f>
        <v>0</v>
      </c>
      <c r="J18" s="30"/>
    </row>
    <row r="19" spans="1:10">
      <c r="A19" s="60"/>
      <c r="B19" s="60"/>
      <c r="C19" s="60"/>
      <c r="D19" s="60"/>
      <c r="E19" s="60"/>
      <c r="F19" s="60"/>
      <c r="G19" s="60"/>
      <c r="H19" s="60"/>
      <c r="I19" s="60"/>
    </row>
    <row r="20" spans="1:10">
      <c r="A20" s="143" t="s">
        <v>252</v>
      </c>
      <c r="B20" s="144"/>
      <c r="C20" s="144"/>
      <c r="D20" s="144"/>
      <c r="E20" s="145"/>
      <c r="F20" s="62" t="s">
        <v>262</v>
      </c>
      <c r="G20" s="62" t="s">
        <v>263</v>
      </c>
      <c r="H20" s="62" t="s">
        <v>264</v>
      </c>
      <c r="I20" s="62" t="s">
        <v>262</v>
      </c>
      <c r="J20" s="30"/>
    </row>
    <row r="21" spans="1:10">
      <c r="A21" s="146" t="s">
        <v>236</v>
      </c>
      <c r="B21" s="147"/>
      <c r="C21" s="147"/>
      <c r="D21" s="147"/>
      <c r="E21" s="148"/>
      <c r="F21" s="66"/>
      <c r="G21" s="63">
        <v>4</v>
      </c>
      <c r="H21" s="63">
        <f>'Krycí list rozpočtu'!C22</f>
        <v>0</v>
      </c>
      <c r="I21" s="63">
        <f>(G21/100)*H21</f>
        <v>0</v>
      </c>
      <c r="J21" s="29"/>
    </row>
    <row r="22" spans="1:10">
      <c r="A22" s="146" t="s">
        <v>237</v>
      </c>
      <c r="B22" s="147"/>
      <c r="C22" s="147"/>
      <c r="D22" s="147"/>
      <c r="E22" s="148"/>
      <c r="F22" s="63">
        <v>0</v>
      </c>
      <c r="G22" s="66"/>
      <c r="H22" s="66"/>
      <c r="I22" s="63">
        <f>F22</f>
        <v>0</v>
      </c>
      <c r="J22" s="29"/>
    </row>
    <row r="23" spans="1:10">
      <c r="A23" s="146" t="s">
        <v>238</v>
      </c>
      <c r="B23" s="147"/>
      <c r="C23" s="147"/>
      <c r="D23" s="147"/>
      <c r="E23" s="148"/>
      <c r="F23" s="63">
        <v>0</v>
      </c>
      <c r="G23" s="66"/>
      <c r="H23" s="66"/>
      <c r="I23" s="63">
        <f>F23</f>
        <v>0</v>
      </c>
      <c r="J23" s="29"/>
    </row>
    <row r="24" spans="1:10">
      <c r="A24" s="146" t="s">
        <v>239</v>
      </c>
      <c r="B24" s="147"/>
      <c r="C24" s="147"/>
      <c r="D24" s="147"/>
      <c r="E24" s="148"/>
      <c r="F24" s="63">
        <v>0</v>
      </c>
      <c r="G24" s="66"/>
      <c r="H24" s="66"/>
      <c r="I24" s="63">
        <f>F24</f>
        <v>0</v>
      </c>
      <c r="J24" s="29"/>
    </row>
    <row r="25" spans="1:10">
      <c r="A25" s="146" t="s">
        <v>240</v>
      </c>
      <c r="B25" s="147"/>
      <c r="C25" s="147"/>
      <c r="D25" s="147"/>
      <c r="E25" s="148"/>
      <c r="F25" s="63">
        <v>0</v>
      </c>
      <c r="G25" s="66"/>
      <c r="H25" s="66"/>
      <c r="I25" s="63">
        <f>F25</f>
        <v>0</v>
      </c>
      <c r="J25" s="29"/>
    </row>
    <row r="26" spans="1:10">
      <c r="A26" s="149" t="s">
        <v>241</v>
      </c>
      <c r="B26" s="150"/>
      <c r="C26" s="150"/>
      <c r="D26" s="150"/>
      <c r="E26" s="151"/>
      <c r="F26" s="64">
        <v>0</v>
      </c>
      <c r="G26" s="67"/>
      <c r="H26" s="67"/>
      <c r="I26" s="64">
        <f>F26</f>
        <v>0</v>
      </c>
      <c r="J26" s="29"/>
    </row>
    <row r="27" spans="1:10">
      <c r="A27" s="152" t="s">
        <v>256</v>
      </c>
      <c r="B27" s="153"/>
      <c r="C27" s="153"/>
      <c r="D27" s="153"/>
      <c r="E27" s="154"/>
      <c r="F27" s="65"/>
      <c r="G27" s="68"/>
      <c r="H27" s="68"/>
      <c r="I27" s="69">
        <f>SUM(I21:I26)</f>
        <v>0</v>
      </c>
      <c r="J27" s="30"/>
    </row>
    <row r="28" spans="1:10">
      <c r="A28" s="60"/>
      <c r="B28" s="60"/>
      <c r="C28" s="60"/>
      <c r="D28" s="60"/>
      <c r="E28" s="60"/>
      <c r="F28" s="60"/>
      <c r="G28" s="60"/>
      <c r="H28" s="60"/>
      <c r="I28" s="60"/>
    </row>
    <row r="29" spans="1:10" ht="15.2" customHeight="1">
      <c r="A29" s="155" t="s">
        <v>257</v>
      </c>
      <c r="B29" s="156"/>
      <c r="C29" s="156"/>
      <c r="D29" s="156"/>
      <c r="E29" s="157"/>
      <c r="F29" s="158">
        <f>I18+I27</f>
        <v>0</v>
      </c>
      <c r="G29" s="159"/>
      <c r="H29" s="159"/>
      <c r="I29" s="160"/>
      <c r="J29" s="30"/>
    </row>
    <row r="30" spans="1:10">
      <c r="A30" s="43"/>
      <c r="B30" s="43"/>
      <c r="C30" s="43"/>
      <c r="D30" s="43"/>
      <c r="E30" s="43"/>
      <c r="F30" s="43"/>
      <c r="G30" s="43"/>
      <c r="H30" s="43"/>
      <c r="I30" s="43"/>
    </row>
    <row r="33" spans="1:10" ht="15.2" customHeight="1">
      <c r="A33" s="141" t="s">
        <v>258</v>
      </c>
      <c r="B33" s="142"/>
      <c r="C33" s="142"/>
      <c r="D33" s="142"/>
      <c r="E33" s="142"/>
      <c r="F33" s="61"/>
      <c r="G33" s="61"/>
      <c r="H33" s="61"/>
      <c r="I33" s="61"/>
    </row>
    <row r="34" spans="1:10">
      <c r="A34" s="143" t="s">
        <v>259</v>
      </c>
      <c r="B34" s="144"/>
      <c r="C34" s="144"/>
      <c r="D34" s="144"/>
      <c r="E34" s="145"/>
      <c r="F34" s="62" t="s">
        <v>262</v>
      </c>
      <c r="G34" s="62" t="s">
        <v>263</v>
      </c>
      <c r="H34" s="62" t="s">
        <v>264</v>
      </c>
      <c r="I34" s="62" t="s">
        <v>262</v>
      </c>
      <c r="J34" s="30"/>
    </row>
    <row r="35" spans="1:10">
      <c r="A35" s="149"/>
      <c r="B35" s="150"/>
      <c r="C35" s="150"/>
      <c r="D35" s="150"/>
      <c r="E35" s="151"/>
      <c r="F35" s="64">
        <v>0</v>
      </c>
      <c r="G35" s="67"/>
      <c r="H35" s="67"/>
      <c r="I35" s="64">
        <f>F35</f>
        <v>0</v>
      </c>
      <c r="J35" s="29"/>
    </row>
    <row r="36" spans="1:10">
      <c r="A36" s="152" t="s">
        <v>260</v>
      </c>
      <c r="B36" s="153"/>
      <c r="C36" s="153"/>
      <c r="D36" s="153"/>
      <c r="E36" s="154"/>
      <c r="F36" s="65"/>
      <c r="G36" s="68"/>
      <c r="H36" s="68"/>
      <c r="I36" s="69">
        <f>SUM(I35:I35)</f>
        <v>0</v>
      </c>
      <c r="J36" s="30"/>
    </row>
    <row r="37" spans="1:10">
      <c r="A37" s="43"/>
      <c r="B37" s="43"/>
      <c r="C37" s="43"/>
      <c r="D37" s="43"/>
      <c r="E37" s="43"/>
      <c r="F37" s="43"/>
      <c r="G37" s="43"/>
      <c r="H37" s="43"/>
      <c r="I37" s="43"/>
    </row>
  </sheetData>
  <mergeCells count="51">
    <mergeCell ref="F29:I29"/>
    <mergeCell ref="A33:E33"/>
    <mergeCell ref="A34:E34"/>
    <mergeCell ref="A24:E24"/>
    <mergeCell ref="A25:E25"/>
    <mergeCell ref="A35:E35"/>
    <mergeCell ref="A36:E36"/>
    <mergeCell ref="A26:E26"/>
    <mergeCell ref="A27:E27"/>
    <mergeCell ref="A29:E29"/>
    <mergeCell ref="A18:E18"/>
    <mergeCell ref="A20:E20"/>
    <mergeCell ref="A21:E21"/>
    <mergeCell ref="A22:E22"/>
    <mergeCell ref="A23:E23"/>
    <mergeCell ref="A13:E13"/>
    <mergeCell ref="A14:E14"/>
    <mergeCell ref="A15:E15"/>
    <mergeCell ref="A16:E16"/>
    <mergeCell ref="A17:E17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Stavební rozpočet</vt:lpstr>
      <vt:lpstr>Stavební rozpočet - součet</vt:lpstr>
      <vt:lpstr>Výkaz výměr</vt:lpstr>
      <vt:lpstr>Krycí list rozpočtu</vt:lpstr>
      <vt:lpstr>VORN</vt:lpstr>
      <vt:lpstr>vorn_sum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 systému Windows</cp:lastModifiedBy>
  <dcterms:created xsi:type="dcterms:W3CDTF">2021-07-12T21:15:08Z</dcterms:created>
  <dcterms:modified xsi:type="dcterms:W3CDTF">2021-07-15T11:48:25Z</dcterms:modified>
</cp:coreProperties>
</file>