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Krycí list rozpočtu" sheetId="1" r:id="rId1"/>
    <sheet name="Stavební rozpočet" sheetId="2" r:id="rId2"/>
    <sheet name="Stavební rozpočet - součet" sheetId="3" r:id="rId3"/>
  </sheets>
  <definedNames/>
  <calcPr fullCalcOnLoad="1"/>
</workbook>
</file>

<file path=xl/sharedStrings.xml><?xml version="1.0" encoding="utf-8"?>
<sst xmlns="http://schemas.openxmlformats.org/spreadsheetml/2006/main" count="881" uniqueCount="306">
  <si>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</si>
  <si>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</si>
  <si>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</si>
  <si>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</si>
  <si>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</si>
  <si>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</si>
  <si>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</si>
  <si>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</si>
  <si>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</si>
  <si>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</si>
  <si>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</si>
  <si>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</si>
  <si>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</si>
  <si>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</si>
  <si>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</si>
  <si>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</si>
  <si>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</si>
  <si>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</si>
  <si>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</si>
  <si>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</si>
  <si>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</si>
  <si>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</si>
  <si>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</si>
  <si>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</si>
  <si>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</si>
  <si>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</si>
  <si>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</si>
  <si>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</si>
  <si>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</si>
  <si>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</si>
  <si>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</si>
  <si>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</si>
  <si>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</si>
  <si>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</si>
  <si>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</si>
  <si>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</si>
  <si>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</si>
  <si>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</si>
  <si>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</si>
  <si>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</si>
  <si>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</si>
  <si>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</si>
  <si>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</si>
  <si>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</si>
  <si>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</si>
  <si>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</si>
  <si>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</si>
  <si>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</si>
  <si>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</si>
  <si>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</si>
  <si>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Poznámka:</t>
  </si>
  <si>
    <t>Objekt</t>
  </si>
  <si>
    <t>001</t>
  </si>
  <si>
    <t>121</t>
  </si>
  <si>
    <t>Kód</t>
  </si>
  <si>
    <t>521</t>
  </si>
  <si>
    <t>5211030VD</t>
  </si>
  <si>
    <t>5211031VD</t>
  </si>
  <si>
    <t>521 1020VD</t>
  </si>
  <si>
    <t>5211010VD</t>
  </si>
  <si>
    <t>5211025VD</t>
  </si>
  <si>
    <t>5211027VD</t>
  </si>
  <si>
    <t>5211080VD</t>
  </si>
  <si>
    <t>5211015VD</t>
  </si>
  <si>
    <t>113151315R00</t>
  </si>
  <si>
    <t>979990112R00</t>
  </si>
  <si>
    <t>113202111R00</t>
  </si>
  <si>
    <t>979093111R00</t>
  </si>
  <si>
    <t>979990104R00</t>
  </si>
  <si>
    <t>113107612R00</t>
  </si>
  <si>
    <t>122301102R00</t>
  </si>
  <si>
    <t>122301109R00</t>
  </si>
  <si>
    <t>120001101R00</t>
  </si>
  <si>
    <t>162701105R00</t>
  </si>
  <si>
    <t>171201101R00</t>
  </si>
  <si>
    <t>181101102R00</t>
  </si>
  <si>
    <t>199000002R00</t>
  </si>
  <si>
    <t>56</t>
  </si>
  <si>
    <t>565131211R00</t>
  </si>
  <si>
    <t>564851111R00</t>
  </si>
  <si>
    <t>564112215R00</t>
  </si>
  <si>
    <t>57</t>
  </si>
  <si>
    <t>577141112R00</t>
  </si>
  <si>
    <t>573231111R00</t>
  </si>
  <si>
    <t>59</t>
  </si>
  <si>
    <t>599142111R00</t>
  </si>
  <si>
    <t>83</t>
  </si>
  <si>
    <t>831350113RAF</t>
  </si>
  <si>
    <t>Varianta:</t>
  </si>
  <si>
    <t>831350014RA0</t>
  </si>
  <si>
    <t>RTS komentář:</t>
  </si>
  <si>
    <t>89</t>
  </si>
  <si>
    <t>894411010RAF</t>
  </si>
  <si>
    <t>899431111R00</t>
  </si>
  <si>
    <t>899331111R00</t>
  </si>
  <si>
    <t>894412313RA0</t>
  </si>
  <si>
    <t>91</t>
  </si>
  <si>
    <t>919735113R00</t>
  </si>
  <si>
    <t>919731122R00</t>
  </si>
  <si>
    <t>917862111R00</t>
  </si>
  <si>
    <t>59217460</t>
  </si>
  <si>
    <t>914001121R00</t>
  </si>
  <si>
    <t>96</t>
  </si>
  <si>
    <t>966006132R00</t>
  </si>
  <si>
    <t>998225111R00</t>
  </si>
  <si>
    <t>966</t>
  </si>
  <si>
    <t>966008112VD</t>
  </si>
  <si>
    <t>S</t>
  </si>
  <si>
    <t>979082213R00</t>
  </si>
  <si>
    <t>S00</t>
  </si>
  <si>
    <t>979082219R00</t>
  </si>
  <si>
    <t>OPRAVA MK - HLUBOKÉ MAŠŮVKY</t>
  </si>
  <si>
    <t>POZEMNÍ KOMUNIKACE</t>
  </si>
  <si>
    <t>HLUBOKÉ MAŠŮVKY</t>
  </si>
  <si>
    <t>Zkrácený popis / Varianta</t>
  </si>
  <si>
    <t>Rozměry</t>
  </si>
  <si>
    <t>VEDLEJŠÍ A OSTATNÍ NÁKLADY</t>
  </si>
  <si>
    <t>Dočasná dopravní opatření</t>
  </si>
  <si>
    <t>Vytýčení stavby</t>
  </si>
  <si>
    <t>Individuální a komplexní vyzkoušení</t>
  </si>
  <si>
    <t>Dokumentace skutečného provedení</t>
  </si>
  <si>
    <t>Geodetické zaměření skutečného provedení</t>
  </si>
  <si>
    <t>Vytyčení inženýrských sítí</t>
  </si>
  <si>
    <t>Bezpečnostní a hygienická opatření na staveništi</t>
  </si>
  <si>
    <t>Propagace</t>
  </si>
  <si>
    <t>MÍSTNÍ KOMUNIKACE</t>
  </si>
  <si>
    <t>Přípravné a přidružené práce</t>
  </si>
  <si>
    <t>Fréz.živič.krytu nad 500 m2, s překážkami, tl.6 cm</t>
  </si>
  <si>
    <t>Poplatek za uložení suti - obal. kamenivo, asfalt, skupina odpadu 170302</t>
  </si>
  <si>
    <t>Vytrhání obrub obrubníků silničních</t>
  </si>
  <si>
    <t>Uložení suti na skládku bez zhutnění</t>
  </si>
  <si>
    <t>Poplatek za skládku suti - beton nad 30x30 cm</t>
  </si>
  <si>
    <t>Odstranění podkladu nad 50 m2,kam.drcené tl.12 cm</t>
  </si>
  <si>
    <t>Odkopávky a prokopávky</t>
  </si>
  <si>
    <t>Odkopávky nezapažené v hor. 4 do 1000 m3</t>
  </si>
  <si>
    <t>Příplatek za lepivost - odkopávky v hor. 4</t>
  </si>
  <si>
    <t>Příplatek za ztížení vykopávky v blízkosti vedení</t>
  </si>
  <si>
    <t>Přemístění výkopku</t>
  </si>
  <si>
    <t>Vodorovné přemístění výkopku z hor.1-4 do 10000 m</t>
  </si>
  <si>
    <t>Konstrukce ze zemin</t>
  </si>
  <si>
    <t>Uložení sypaniny do násypů nezhutněných</t>
  </si>
  <si>
    <t>Povrchové úpravy terénu</t>
  </si>
  <si>
    <t>Úprava pláně v zářezech v hor. 1-4, se zhutněním</t>
  </si>
  <si>
    <t>Hloubení pro podzemní stěny, ražení a hloubení důlní</t>
  </si>
  <si>
    <t>Poplatek za skládku horniny 1- 4</t>
  </si>
  <si>
    <t>Podkladní vrstvy komunikací, letišť a ploch</t>
  </si>
  <si>
    <t>Podklad z obal kamen. ACP 16+, š.nad 3 m, tl. 5 cm</t>
  </si>
  <si>
    <t>Podklad ze štěrkodrti po zhutnění tloušťky 15 cm</t>
  </si>
  <si>
    <t>Podklad z bet.recyklátu fr.0-32 po zhutn.tl.15 cm</t>
  </si>
  <si>
    <t>Kryty pozemních komunikací, letišť a ploch z kameniva nebo živičné</t>
  </si>
  <si>
    <t>Beton asfalt. ACO 11+,nebo ACO 16+,do 3 m, tl.5 cm</t>
  </si>
  <si>
    <t>Postřik živičný spojovací z emulze 0,5-0,7 kg/m2</t>
  </si>
  <si>
    <t>Kryty pozemních komunikací, letišť a ploch dlážděných (předlažby)</t>
  </si>
  <si>
    <t>Úprava zálivky dil.spár hloubky do 4 cm š. do 4 cm</t>
  </si>
  <si>
    <t>Potrubí z trub kameninových</t>
  </si>
  <si>
    <t>Kanalizační přípojka z trub PVC, D 160 mm; Vč. navrtávky a dodávky tvarovky útesu.</t>
  </si>
  <si>
    <t>rýha šířky 0,9 m, hloubky 3,0 m</t>
  </si>
  <si>
    <t>Kanalizace z trub PVC hrdlových D 315 mm</t>
  </si>
  <si>
    <t>V položce je zakalkulováno: hloubení rýh, pažení a rozepření rýh včetně přepažování, svislé přemístění, naložení přebytku po zásypu (0,747 m3/m rýhy) na dopravní prostředek, odvoz do 6 km a uložení na skládku, lože pod potrubí ze štěrkopísku, dodávka a montáž potrubí z trub PVC vnějšího průměru dle popisu,  zřízení kanalizační přípojky (1 kus/20 m potrubí), dodávka a montáž PVC tvarovek odbočných (1 kus/ 20 m potrubí), dodávka a montáž PVC tvarovek jednoosých (1 kus/ 20 m potrubí), obsyp potrubí pískem, zásyp rýhy sypaninou, se zhutněním. V položce není kalkulován poplatek za skládku zeminy. Tyto náklady se oceňují individuálně podle místních podmínek.</t>
  </si>
  <si>
    <t>Ostatní konstrukce a práce na trubním vedení</t>
  </si>
  <si>
    <t>Vpusť uliční z dílců DN 450,s odkalištěm,napojení</t>
  </si>
  <si>
    <t>DN 150, mříž litina 500x500 40 t, hl. 1,67 m</t>
  </si>
  <si>
    <t>Výšková úprava do 20 cm, zvýšení krytu šoupěte</t>
  </si>
  <si>
    <t>Výšková úprava vstupu do 20 cm, zvýšení poklopu</t>
  </si>
  <si>
    <t>Šachta, DN 1000 stěna 120 mm, dno přímé V max. 60</t>
  </si>
  <si>
    <t>V položce je zakalkulováno: osazení betonového dna, betonové skruže, šachetního konusu, vyrovnávacího prstence vložení těsnění mezi dílce a osazení litinového poklopu.  V max. 60 vtok/výtok do max. DN 60</t>
  </si>
  <si>
    <t>Doplňující konstrukce a práce na pozemních komunikacích a zpevněných plochách</t>
  </si>
  <si>
    <t>Řezání stávajícího živičného krytu tl. 10 - 15 cm</t>
  </si>
  <si>
    <t>Zarovnání styčné plochy živičné tl. do 10 cm</t>
  </si>
  <si>
    <t>Osazení stojat. obrub.bet. s opěrou,lože z C 12/15</t>
  </si>
  <si>
    <t>Obrubník silniční dvouvrstvý ABO 2-15  100x15x25cm</t>
  </si>
  <si>
    <t>Osaz.svislé dopr.značky a sloupku,Al patka, základ</t>
  </si>
  <si>
    <t>Bourání konstrukcí</t>
  </si>
  <si>
    <t>Odstranění doprav.značek se sloupky, s bet.patkami</t>
  </si>
  <si>
    <t>Přesun hmot, pozemní komunikace, kryt živičný</t>
  </si>
  <si>
    <t>ostatních stavebních konstrukcí</t>
  </si>
  <si>
    <t>Vybourání uliční vpusti z dílů DN do 60 cm; vč. odvozu a uložení suti na skládku.</t>
  </si>
  <si>
    <t>Přesuny sutí</t>
  </si>
  <si>
    <t>Vodorovná doprava suti po suchu do 1 km</t>
  </si>
  <si>
    <t>Běžné stavební práce</t>
  </si>
  <si>
    <t>Příplatek za dopravu suti po suchu za další 1 km</t>
  </si>
  <si>
    <t>Doba výstavby:</t>
  </si>
  <si>
    <t>Začátek výstavby:</t>
  </si>
  <si>
    <t>Konec výstavby:</t>
  </si>
  <si>
    <t>Zpracováno dne:</t>
  </si>
  <si>
    <t>MJ</t>
  </si>
  <si>
    <t>komplet</t>
  </si>
  <si>
    <t>soubor</t>
  </si>
  <si>
    <t>m2</t>
  </si>
  <si>
    <t>t</t>
  </si>
  <si>
    <t>m</t>
  </si>
  <si>
    <t>m3</t>
  </si>
  <si>
    <t>kus</t>
  </si>
  <si>
    <t>KUS</t>
  </si>
  <si>
    <t>Množství</t>
  </si>
  <si>
    <t>07.12.2020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</si>
  <si>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</si>
  <si>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</si>
  <si>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</si>
  <si>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</si>
  <si>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</si>
  <si>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</si>
  <si>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</si>
  <si>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</si>
  <si>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</si>
  <si>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 </t>
  </si>
  <si>
    <t>Montáž</t>
  </si>
  <si>
    <t>Celkem</t>
  </si>
  <si>
    <t>Hmotnost (t)</t>
  </si>
  <si>
    <t>Jednot.</t>
  </si>
  <si>
    <t>Cenová</t>
  </si>
  <si>
    <t>soustava</t>
  </si>
  <si>
    <t>RTS II / 2020</t>
  </si>
  <si>
    <t>RTS II / 2021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</si>
  <si>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</si>
  <si>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</si>
  <si>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</si>
  <si>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</si>
  <si>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</si>
  <si>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</si>
  <si>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</si>
  <si>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</si>
  <si>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</si>
  <si>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521_</t>
  </si>
  <si>
    <t>11_</t>
  </si>
  <si>
    <t>12_</t>
  </si>
  <si>
    <t>16_</t>
  </si>
  <si>
    <t>17_</t>
  </si>
  <si>
    <t>18_</t>
  </si>
  <si>
    <t>19_</t>
  </si>
  <si>
    <t>56_</t>
  </si>
  <si>
    <t>57_</t>
  </si>
  <si>
    <t>59_</t>
  </si>
  <si>
    <t>83_</t>
  </si>
  <si>
    <t>89_</t>
  </si>
  <si>
    <t>91_</t>
  </si>
  <si>
    <t>96_</t>
  </si>
  <si>
    <t>966_</t>
  </si>
  <si>
    <t>S_</t>
  </si>
  <si>
    <t>S00_</t>
  </si>
  <si>
    <t>001_5_</t>
  </si>
  <si>
    <t>121_1_</t>
  </si>
  <si>
    <t>121_5_</t>
  </si>
  <si>
    <t>121_8_</t>
  </si>
  <si>
    <t>121_9_</t>
  </si>
  <si>
    <t>001_</t>
  </si>
  <si>
    <t>121_</t>
  </si>
  <si>
    <t>MAT</t>
  </si>
  <si>
    <t>WORK</t>
  </si>
  <si>
    <t>CELK</t>
  </si>
  <si>
    <t>ISWORK</t>
  </si>
  <si>
    <t>P</t>
  </si>
  <si>
    <t>M</t>
  </si>
  <si>
    <t>GROUPCODE</t>
  </si>
  <si>
    <t>Stavební rozpočet - rekapitulace</t>
  </si>
  <si>
    <t>Zkrácený popis</t>
  </si>
  <si>
    <t>Náklady (Kč) - dodávka</t>
  </si>
  <si>
    <t>Náklady (Kč) - Montáž</t>
  </si>
  <si>
    <t>Náklady (Kč) - celkem</t>
  </si>
  <si>
    <t>Celková hmotnost (t)</t>
  </si>
  <si>
    <t>F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</si>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</sst>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0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58"/>
      <name val="Arial"/>
      <family val="0"/>
    </font>
    <font>
      <i/>
      <sz val="10"/>
      <color indexed="59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6" fillId="20" borderId="0" applyNumberFormat="0" applyBorder="0" applyAlignment="0" applyProtection="0"/>
    <xf numFmtId="0" fontId="37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4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34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9" fillId="33" borderId="18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right" vertical="top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18" xfId="0" applyNumberFormat="1" applyFont="1" applyFill="1" applyBorder="1" applyAlignment="1" applyProtection="1">
      <alignment horizontal="left" vertical="center"/>
      <protection/>
    </xf>
    <xf numFmtId="49" fontId="5" fillId="34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9" fillId="33" borderId="18" xfId="0" applyNumberFormat="1" applyFont="1" applyFill="1" applyBorder="1" applyAlignment="1" applyProtection="1">
      <alignment horizontal="right" vertical="center"/>
      <protection/>
    </xf>
    <xf numFmtId="49" fontId="10" fillId="34" borderId="0" xfId="0" applyNumberFormat="1" applyFont="1" applyFill="1" applyBorder="1" applyAlignment="1" applyProtection="1">
      <alignment horizontal="right" vertical="center"/>
      <protection/>
    </xf>
    <xf numFmtId="49" fontId="9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9" fillId="33" borderId="27" xfId="0" applyNumberFormat="1" applyFont="1" applyFill="1" applyBorder="1" applyAlignment="1" applyProtection="1">
      <alignment horizontal="right" vertical="center"/>
      <protection/>
    </xf>
    <xf numFmtId="49" fontId="10" fillId="34" borderId="28" xfId="0" applyNumberFormat="1" applyFont="1" applyFill="1" applyBorder="1" applyAlignment="1" applyProtection="1">
      <alignment horizontal="right" vertical="center"/>
      <protection/>
    </xf>
    <xf numFmtId="49" fontId="6" fillId="0" borderId="28" xfId="0" applyNumberFormat="1" applyFont="1" applyFill="1" applyBorder="1" applyAlignment="1" applyProtection="1">
      <alignment horizontal="right" vertical="center"/>
      <protection/>
    </xf>
    <xf numFmtId="49" fontId="9" fillId="33" borderId="28" xfId="0" applyNumberFormat="1" applyFont="1" applyFill="1" applyBorder="1" applyAlignment="1" applyProtection="1">
      <alignment horizontal="right" vertical="center"/>
      <protection/>
    </xf>
    <xf numFmtId="49" fontId="7" fillId="0" borderId="28" xfId="0" applyNumberFormat="1" applyFont="1" applyFill="1" applyBorder="1" applyAlignment="1" applyProtection="1">
      <alignment horizontal="right" vertical="center"/>
      <protection/>
    </xf>
    <xf numFmtId="49" fontId="6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9" fillId="33" borderId="18" xfId="0" applyNumberFormat="1" applyFont="1" applyFill="1" applyBorder="1" applyAlignment="1" applyProtection="1">
      <alignment horizontal="right" vertical="center"/>
      <protection/>
    </xf>
    <xf numFmtId="4" fontId="10" fillId="34" borderId="0" xfId="0" applyNumberFormat="1" applyFont="1" applyFill="1" applyBorder="1" applyAlignment="1" applyProtection="1">
      <alignment horizontal="right" vertical="center"/>
      <protection/>
    </xf>
    <xf numFmtId="4" fontId="9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33" xfId="0" applyNumberFormat="1" applyFont="1" applyFill="1" applyBorder="1" applyAlignment="1" applyProtection="1">
      <alignment horizontal="left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" fontId="1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28" xfId="0" applyNumberFormat="1" applyFont="1" applyFill="1" applyBorder="1" applyAlignment="1" applyProtection="1">
      <alignment horizontal="right" vertical="center"/>
      <protection/>
    </xf>
    <xf numFmtId="4" fontId="1" fillId="0" borderId="29" xfId="0" applyNumberFormat="1" applyFont="1" applyFill="1" applyBorder="1" applyAlignment="1" applyProtection="1">
      <alignment horizontal="right" vertical="center"/>
      <protection/>
    </xf>
    <xf numFmtId="49" fontId="8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14" fillId="35" borderId="35" xfId="0" applyNumberFormat="1" applyFont="1" applyFill="1" applyBorder="1" applyAlignment="1" applyProtection="1">
      <alignment horizontal="center" vertical="center"/>
      <protection/>
    </xf>
    <xf numFmtId="49" fontId="15" fillId="0" borderId="36" xfId="0" applyNumberFormat="1" applyFont="1" applyFill="1" applyBorder="1" applyAlignment="1" applyProtection="1">
      <alignment horizontal="left" vertical="center"/>
      <protection/>
    </xf>
    <xf numFmtId="49" fontId="15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49" fontId="16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16" fillId="0" borderId="35" xfId="0" applyNumberFormat="1" applyFont="1" applyFill="1" applyBorder="1" applyAlignment="1" applyProtection="1">
      <alignment horizontal="right" vertical="center"/>
      <protection/>
    </xf>
    <xf numFmtId="49" fontId="16" fillId="0" borderId="35" xfId="0" applyNumberFormat="1" applyFont="1" applyFill="1" applyBorder="1" applyAlignment="1" applyProtection="1">
      <alignment horizontal="right" vertical="center"/>
      <protection/>
    </xf>
    <xf numFmtId="4" fontId="16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" fontId="15" fillId="35" borderId="40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49" fontId="3" fillId="0" borderId="42" xfId="0" applyNumberFormat="1" applyFont="1" applyFill="1" applyBorder="1" applyAlignment="1" applyProtection="1">
      <alignment horizontal="left" vertical="center"/>
      <protection/>
    </xf>
    <xf numFmtId="0" fontId="3" fillId="0" borderId="44" xfId="0" applyNumberFormat="1" applyFont="1" applyFill="1" applyBorder="1" applyAlignment="1" applyProtection="1">
      <alignment horizontal="left" vertical="center"/>
      <protection/>
    </xf>
    <xf numFmtId="49" fontId="9" fillId="33" borderId="18" xfId="0" applyNumberFormat="1" applyFont="1" applyFill="1" applyBorder="1" applyAlignment="1" applyProtection="1">
      <alignment horizontal="left" vertical="center"/>
      <protection/>
    </xf>
    <xf numFmtId="0" fontId="9" fillId="33" borderId="18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28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0" fontId="11" fillId="0" borderId="28" xfId="0" applyNumberFormat="1" applyFont="1" applyFill="1" applyBorder="1" applyAlignment="1" applyProtection="1">
      <alignment horizontal="left" vertical="top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28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39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49" fontId="13" fillId="0" borderId="48" xfId="0" applyNumberFormat="1" applyFont="1" applyFill="1" applyBorder="1" applyAlignment="1" applyProtection="1">
      <alignment horizontal="center" vertical="center"/>
      <protection/>
    </xf>
    <xf numFmtId="0" fontId="13" fillId="0" borderId="48" xfId="0" applyNumberFormat="1" applyFont="1" applyFill="1" applyBorder="1" applyAlignment="1" applyProtection="1">
      <alignment horizontal="center" vertical="center"/>
      <protection/>
    </xf>
    <xf numFmtId="49" fontId="17" fillId="0" borderId="49" xfId="0" applyNumberFormat="1" applyFont="1" applyFill="1" applyBorder="1" applyAlignment="1" applyProtection="1">
      <alignment horizontal="left" vertical="center"/>
      <protection/>
    </xf>
    <xf numFmtId="0" fontId="17" fillId="0" borderId="40" xfId="0" applyNumberFormat="1" applyFont="1" applyFill="1" applyBorder="1" applyAlignment="1" applyProtection="1">
      <alignment horizontal="left" vertical="center"/>
      <protection/>
    </xf>
    <xf numFmtId="49" fontId="16" fillId="0" borderId="49" xfId="0" applyNumberFormat="1" applyFont="1" applyFill="1" applyBorder="1" applyAlignment="1" applyProtection="1">
      <alignment horizontal="left" vertical="center"/>
      <protection/>
    </xf>
    <xf numFmtId="0" fontId="16" fillId="0" borderId="40" xfId="0" applyNumberFormat="1" applyFont="1" applyFill="1" applyBorder="1" applyAlignment="1" applyProtection="1">
      <alignment horizontal="left" vertical="center"/>
      <protection/>
    </xf>
    <xf numFmtId="49" fontId="15" fillId="0" borderId="49" xfId="0" applyNumberFormat="1" applyFont="1" applyFill="1" applyBorder="1" applyAlignment="1" applyProtection="1">
      <alignment horizontal="left" vertical="center"/>
      <protection/>
    </xf>
    <xf numFmtId="0" fontId="15" fillId="0" borderId="40" xfId="0" applyNumberFormat="1" applyFont="1" applyFill="1" applyBorder="1" applyAlignment="1" applyProtection="1">
      <alignment horizontal="left" vertical="center"/>
      <protection/>
    </xf>
    <xf numFmtId="49" fontId="15" fillId="35" borderId="49" xfId="0" applyNumberFormat="1" applyFont="1" applyFill="1" applyBorder="1" applyAlignment="1" applyProtection="1">
      <alignment horizontal="left" vertical="center"/>
      <protection/>
    </xf>
    <xf numFmtId="0" fontId="15" fillId="35" borderId="48" xfId="0" applyNumberFormat="1" applyFont="1" applyFill="1" applyBorder="1" applyAlignment="1" applyProtection="1">
      <alignment horizontal="left" vertical="center"/>
      <protection/>
    </xf>
    <xf numFmtId="49" fontId="16" fillId="0" borderId="50" xfId="0" applyNumberFormat="1" applyFont="1" applyFill="1" applyBorder="1" applyAlignment="1" applyProtection="1">
      <alignment horizontal="left" vertical="center"/>
      <protection/>
    </xf>
    <xf numFmtId="0" fontId="16" fillId="0" borderId="18" xfId="0" applyNumberFormat="1" applyFont="1" applyFill="1" applyBorder="1" applyAlignment="1" applyProtection="1">
      <alignment horizontal="left" vertical="center"/>
      <protection/>
    </xf>
    <xf numFmtId="0" fontId="16" fillId="0" borderId="51" xfId="0" applyNumberFormat="1" applyFont="1" applyFill="1" applyBorder="1" applyAlignment="1" applyProtection="1">
      <alignment horizontal="left" vertical="center"/>
      <protection/>
    </xf>
    <xf numFmtId="49" fontId="16" fillId="0" borderId="3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52" xfId="0" applyNumberFormat="1" applyFont="1" applyFill="1" applyBorder="1" applyAlignment="1" applyProtection="1">
      <alignment horizontal="left" vertical="center"/>
      <protection/>
    </xf>
    <xf numFmtId="49" fontId="16" fillId="0" borderId="53" xfId="0" applyNumberFormat="1" applyFont="1" applyFill="1" applyBorder="1" applyAlignment="1" applyProtection="1">
      <alignment horizontal="left" vertical="center"/>
      <protection/>
    </xf>
    <xf numFmtId="0" fontId="16" fillId="0" borderId="43" xfId="0" applyNumberFormat="1" applyFont="1" applyFill="1" applyBorder="1" applyAlignment="1" applyProtection="1">
      <alignment horizontal="left" vertical="center"/>
      <protection/>
    </xf>
    <xf numFmtId="0" fontId="16" fillId="0" borderId="54" xfId="0" applyNumberFormat="1" applyFont="1" applyFill="1" applyBorder="1" applyAlignment="1" applyProtection="1">
      <alignment horizontal="left" vertical="center"/>
      <protection/>
    </xf>
    <xf numFmtId="4" fontId="44" fillId="23" borderId="6" xfId="46" applyNumberFormat="1" applyFont="1" applyAlignment="1" applyProtection="1">
      <alignment horizontal="right" vertical="center"/>
      <protection/>
    </xf>
    <xf numFmtId="4" fontId="6" fillId="23" borderId="6" xfId="46" applyNumberFormat="1" applyFont="1" applyAlignment="1" applyProtection="1">
      <alignment horizontal="right" vertical="center"/>
      <protection/>
    </xf>
    <xf numFmtId="4" fontId="7" fillId="23" borderId="6" xfId="46" applyNumberFormat="1" applyFont="1" applyAlignment="1" applyProtection="1">
      <alignment horizontal="righ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88"/>
      <c r="B1" s="74"/>
      <c r="C1" s="139" t="s">
        <v>277</v>
      </c>
      <c r="D1" s="90"/>
      <c r="E1" s="90"/>
      <c r="F1" s="90"/>
      <c r="G1" s="90"/>
      <c r="H1" s="90"/>
      <c r="I1" s="90"/>
    </row>
    <row r="2" spans="1:10" ht="12.75">
      <c r="A2" s="91" t="s">
        <v>1</v>
      </c>
      <c r="B2" s="92"/>
      <c r="C2" s="95" t="str">
        <f>'Stavební rozpočet'!D2</f>
        <v>OPRAVA MK - HLUBOKÉ MAŠŮVKY</v>
      </c>
      <c r="D2" s="96"/>
      <c r="E2" s="99" t="s">
        <v>198</v>
      </c>
      <c r="F2" s="99" t="str">
        <f>'Stavební rozpočet'!J2</f>
        <v> </v>
      </c>
      <c r="G2" s="92"/>
      <c r="H2" s="99" t="s">
        <v>302</v>
      </c>
      <c r="I2" s="140"/>
      <c r="J2" s="7"/>
    </row>
    <row r="3" spans="1:10" ht="12.75">
      <c r="A3" s="93"/>
      <c r="B3" s="94"/>
      <c r="C3" s="97"/>
      <c r="D3" s="97"/>
      <c r="E3" s="94"/>
      <c r="F3" s="94"/>
      <c r="G3" s="94"/>
      <c r="H3" s="94"/>
      <c r="I3" s="101"/>
      <c r="J3" s="7"/>
    </row>
    <row r="4" spans="1:10" ht="12.75">
      <c r="A4" s="102" t="s">
        <v>2</v>
      </c>
      <c r="B4" s="94"/>
      <c r="C4" s="103" t="str">
        <f>'Stavební rozpočet'!D4</f>
        <v>POZEMNÍ KOMUNIKACE</v>
      </c>
      <c r="D4" s="94"/>
      <c r="E4" s="103" t="s">
        <v>199</v>
      </c>
      <c r="F4" s="103" t="str">
        <f>'Stavební rozpočet'!J4</f>
        <v> </v>
      </c>
      <c r="G4" s="94"/>
      <c r="H4" s="103" t="s">
        <v>302</v>
      </c>
      <c r="I4" s="141"/>
      <c r="J4" s="7"/>
    </row>
    <row r="5" spans="1:10" ht="12.75">
      <c r="A5" s="93"/>
      <c r="B5" s="94"/>
      <c r="C5" s="94"/>
      <c r="D5" s="94"/>
      <c r="E5" s="94"/>
      <c r="F5" s="94"/>
      <c r="G5" s="94"/>
      <c r="H5" s="94"/>
      <c r="I5" s="101"/>
      <c r="J5" s="7"/>
    </row>
    <row r="6" spans="1:10" ht="12.75">
      <c r="A6" s="102" t="s">
        <v>3</v>
      </c>
      <c r="B6" s="94"/>
      <c r="C6" s="103" t="str">
        <f>'Stavební rozpočet'!D6</f>
        <v>HLUBOKÉ MAŠŮVKY</v>
      </c>
      <c r="D6" s="94"/>
      <c r="E6" s="103" t="s">
        <v>200</v>
      </c>
      <c r="F6" s="103" t="str">
        <f>'Stavební rozpočet'!J6</f>
        <v> </v>
      </c>
      <c r="G6" s="94"/>
      <c r="H6" s="103" t="s">
        <v>302</v>
      </c>
      <c r="I6" s="141"/>
      <c r="J6" s="7"/>
    </row>
    <row r="7" spans="1:10" ht="12.75">
      <c r="A7" s="93"/>
      <c r="B7" s="94"/>
      <c r="C7" s="94"/>
      <c r="D7" s="94"/>
      <c r="E7" s="94"/>
      <c r="F7" s="94"/>
      <c r="G7" s="94"/>
      <c r="H7" s="94"/>
      <c r="I7" s="101"/>
      <c r="J7" s="7"/>
    </row>
    <row r="8" spans="1:10" ht="12.75">
      <c r="A8" s="102" t="s">
        <v>182</v>
      </c>
      <c r="B8" s="94"/>
      <c r="C8" s="103" t="str">
        <f>'Stavební rozpočet'!H4</f>
        <v>07.12.2020</v>
      </c>
      <c r="D8" s="94"/>
      <c r="E8" s="103" t="s">
        <v>183</v>
      </c>
      <c r="F8" s="103" t="str">
        <f>'Stavební rozpočet'!H6</f>
        <v> </v>
      </c>
      <c r="G8" s="94"/>
      <c r="H8" s="104" t="s">
        <v>303</v>
      </c>
      <c r="I8" s="141" t="s">
        <v>49</v>
      </c>
      <c r="J8" s="7"/>
    </row>
    <row r="9" spans="1:10" ht="12.75">
      <c r="A9" s="93"/>
      <c r="B9" s="94"/>
      <c r="C9" s="94"/>
      <c r="D9" s="94"/>
      <c r="E9" s="94"/>
      <c r="F9" s="94"/>
      <c r="G9" s="94"/>
      <c r="H9" s="94"/>
      <c r="I9" s="101"/>
      <c r="J9" s="7"/>
    </row>
    <row r="10" spans="1:10" ht="12.75">
      <c r="A10" s="102" t="s">
        <v>4</v>
      </c>
      <c r="B10" s="94"/>
      <c r="C10" s="103" t="str">
        <f>'Stavební rozpočet'!D8</f>
        <v> </v>
      </c>
      <c r="D10" s="94"/>
      <c r="E10" s="103" t="s">
        <v>201</v>
      </c>
      <c r="F10" s="103" t="str">
        <f>'Stavební rozpočet'!J8</f>
        <v> </v>
      </c>
      <c r="G10" s="94"/>
      <c r="H10" s="104" t="s">
        <v>304</v>
      </c>
      <c r="I10" s="135" t="str">
        <f>'Stavební rozpočet'!H8</f>
        <v>07.12.2020</v>
      </c>
      <c r="J10" s="7"/>
    </row>
    <row r="11" spans="1:10" ht="12.75">
      <c r="A11" s="136"/>
      <c r="B11" s="137"/>
      <c r="C11" s="137"/>
      <c r="D11" s="137"/>
      <c r="E11" s="137"/>
      <c r="F11" s="137"/>
      <c r="G11" s="137"/>
      <c r="H11" s="137"/>
      <c r="I11" s="138"/>
      <c r="J11" s="7"/>
    </row>
    <row r="12" spans="1:9" ht="23.25" customHeight="1">
      <c r="A12" s="142" t="s">
        <v>262</v>
      </c>
      <c r="B12" s="143"/>
      <c r="C12" s="143"/>
      <c r="D12" s="143"/>
      <c r="E12" s="143"/>
      <c r="F12" s="143"/>
      <c r="G12" s="143"/>
      <c r="H12" s="143"/>
      <c r="I12" s="143"/>
    </row>
    <row r="13" spans="1:10" ht="26.25" customHeight="1">
      <c r="A13" s="75" t="s">
        <v>263</v>
      </c>
      <c r="B13" s="144" t="s">
        <v>275</v>
      </c>
      <c r="C13" s="145"/>
      <c r="D13" s="75" t="s">
        <v>278</v>
      </c>
      <c r="E13" s="144" t="s">
        <v>287</v>
      </c>
      <c r="F13" s="145"/>
      <c r="G13" s="75" t="s">
        <v>288</v>
      </c>
      <c r="H13" s="144" t="s">
        <v>305</v>
      </c>
      <c r="I13" s="145"/>
      <c r="J13" s="7"/>
    </row>
    <row r="14" spans="1:10" ht="15" customHeight="1">
      <c r="A14" s="76" t="s">
        <v>264</v>
      </c>
      <c r="B14" s="79" t="s">
        <v>276</v>
      </c>
      <c r="C14" s="82">
        <f>SUM('Stavební rozpočet'!AB12:AB77)</f>
        <v>0</v>
      </c>
      <c r="D14" s="146" t="s">
        <v>279</v>
      </c>
      <c r="E14" s="147"/>
      <c r="F14" s="82">
        <v>0</v>
      </c>
      <c r="G14" s="146" t="s">
        <v>289</v>
      </c>
      <c r="H14" s="147"/>
      <c r="I14" s="82">
        <v>0</v>
      </c>
      <c r="J14" s="7"/>
    </row>
    <row r="15" spans="1:10" ht="15" customHeight="1">
      <c r="A15" s="77"/>
      <c r="B15" s="79" t="s">
        <v>206</v>
      </c>
      <c r="C15" s="82">
        <f>SUM('Stavební rozpočet'!AC12:AC77)</f>
        <v>0</v>
      </c>
      <c r="D15" s="146" t="s">
        <v>280</v>
      </c>
      <c r="E15" s="147"/>
      <c r="F15" s="82">
        <v>0</v>
      </c>
      <c r="G15" s="146" t="s">
        <v>290</v>
      </c>
      <c r="H15" s="147"/>
      <c r="I15" s="82">
        <v>0</v>
      </c>
      <c r="J15" s="7"/>
    </row>
    <row r="16" spans="1:10" ht="15" customHeight="1">
      <c r="A16" s="76" t="s">
        <v>265</v>
      </c>
      <c r="B16" s="79" t="s">
        <v>276</v>
      </c>
      <c r="C16" s="82">
        <f>SUM('Stavební rozpočet'!AD12:AD77)</f>
        <v>0</v>
      </c>
      <c r="D16" s="146" t="s">
        <v>281</v>
      </c>
      <c r="E16" s="147"/>
      <c r="F16" s="82">
        <v>0</v>
      </c>
      <c r="G16" s="146" t="s">
        <v>291</v>
      </c>
      <c r="H16" s="147"/>
      <c r="I16" s="82">
        <v>0</v>
      </c>
      <c r="J16" s="7"/>
    </row>
    <row r="17" spans="1:10" ht="15" customHeight="1">
      <c r="A17" s="77"/>
      <c r="B17" s="79" t="s">
        <v>206</v>
      </c>
      <c r="C17" s="82">
        <f>SUM('Stavební rozpočet'!AE12:AE77)</f>
        <v>0</v>
      </c>
      <c r="D17" s="146"/>
      <c r="E17" s="147"/>
      <c r="F17" s="83"/>
      <c r="G17" s="146" t="s">
        <v>292</v>
      </c>
      <c r="H17" s="147"/>
      <c r="I17" s="82">
        <v>0</v>
      </c>
      <c r="J17" s="7"/>
    </row>
    <row r="18" spans="1:10" ht="15" customHeight="1">
      <c r="A18" s="76" t="s">
        <v>266</v>
      </c>
      <c r="B18" s="79" t="s">
        <v>276</v>
      </c>
      <c r="C18" s="82">
        <f>SUM('Stavební rozpočet'!AF12:AF77)</f>
        <v>0</v>
      </c>
      <c r="D18" s="146"/>
      <c r="E18" s="147"/>
      <c r="F18" s="83"/>
      <c r="G18" s="146" t="s">
        <v>293</v>
      </c>
      <c r="H18" s="147"/>
      <c r="I18" s="82">
        <v>0</v>
      </c>
      <c r="J18" s="7"/>
    </row>
    <row r="19" spans="1:10" ht="15" customHeight="1">
      <c r="A19" s="77"/>
      <c r="B19" s="79" t="s">
        <v>206</v>
      </c>
      <c r="C19" s="82">
        <f>SUM('Stavební rozpočet'!AG12:AG77)</f>
        <v>0</v>
      </c>
      <c r="D19" s="146"/>
      <c r="E19" s="147"/>
      <c r="F19" s="83"/>
      <c r="G19" s="146" t="s">
        <v>294</v>
      </c>
      <c r="H19" s="147"/>
      <c r="I19" s="82">
        <v>0</v>
      </c>
      <c r="J19" s="7"/>
    </row>
    <row r="20" spans="1:10" ht="15" customHeight="1">
      <c r="A20" s="148" t="s">
        <v>267</v>
      </c>
      <c r="B20" s="149"/>
      <c r="C20" s="82">
        <f>SUM('Stavební rozpočet'!AH12:AH77)</f>
        <v>0</v>
      </c>
      <c r="D20" s="146"/>
      <c r="E20" s="147"/>
      <c r="F20" s="83"/>
      <c r="G20" s="146"/>
      <c r="H20" s="147"/>
      <c r="I20" s="83"/>
      <c r="J20" s="7"/>
    </row>
    <row r="21" spans="1:10" ht="15" customHeight="1">
      <c r="A21" s="148" t="s">
        <v>268</v>
      </c>
      <c r="B21" s="149"/>
      <c r="C21" s="82">
        <f>SUM('Stavební rozpočet'!Z12:Z77)</f>
        <v>0</v>
      </c>
      <c r="D21" s="146"/>
      <c r="E21" s="147"/>
      <c r="F21" s="83"/>
      <c r="G21" s="146"/>
      <c r="H21" s="147"/>
      <c r="I21" s="83"/>
      <c r="J21" s="7"/>
    </row>
    <row r="22" spans="1:10" ht="16.5" customHeight="1">
      <c r="A22" s="148" t="s">
        <v>269</v>
      </c>
      <c r="B22" s="149"/>
      <c r="C22" s="82">
        <f>SUM(C14:C21)</f>
        <v>0</v>
      </c>
      <c r="D22" s="148" t="s">
        <v>282</v>
      </c>
      <c r="E22" s="149"/>
      <c r="F22" s="82">
        <f>SUM(F14:F21)</f>
        <v>0</v>
      </c>
      <c r="G22" s="148" t="s">
        <v>295</v>
      </c>
      <c r="H22" s="149"/>
      <c r="I22" s="82">
        <f>SUM(I14:I21)</f>
        <v>0</v>
      </c>
      <c r="J22" s="7"/>
    </row>
    <row r="23" spans="1:10" ht="15" customHeight="1">
      <c r="A23" s="10"/>
      <c r="B23" s="10"/>
      <c r="C23" s="80"/>
      <c r="D23" s="148" t="s">
        <v>283</v>
      </c>
      <c r="E23" s="149"/>
      <c r="F23" s="84">
        <v>0</v>
      </c>
      <c r="G23" s="148" t="s">
        <v>296</v>
      </c>
      <c r="H23" s="149"/>
      <c r="I23" s="82">
        <v>0</v>
      </c>
      <c r="J23" s="7"/>
    </row>
    <row r="24" spans="4:10" ht="15" customHeight="1">
      <c r="D24" s="10"/>
      <c r="E24" s="10"/>
      <c r="F24" s="85"/>
      <c r="G24" s="148" t="s">
        <v>297</v>
      </c>
      <c r="H24" s="149"/>
      <c r="I24" s="82">
        <v>0</v>
      </c>
      <c r="J24" s="7"/>
    </row>
    <row r="25" spans="6:10" ht="15" customHeight="1">
      <c r="F25" s="86"/>
      <c r="G25" s="148" t="s">
        <v>298</v>
      </c>
      <c r="H25" s="149"/>
      <c r="I25" s="82">
        <v>0</v>
      </c>
      <c r="J25" s="7"/>
    </row>
    <row r="26" spans="1:9" ht="12.75">
      <c r="A26" s="74"/>
      <c r="B26" s="74"/>
      <c r="C26" s="74"/>
      <c r="G26" s="10"/>
      <c r="H26" s="10"/>
      <c r="I26" s="10"/>
    </row>
    <row r="27" spans="1:9" ht="15" customHeight="1">
      <c r="A27" s="150" t="s">
        <v>270</v>
      </c>
      <c r="B27" s="151"/>
      <c r="C27" s="87">
        <f>SUM('Stavební rozpočet'!AJ12:AJ77)</f>
        <v>0</v>
      </c>
      <c r="D27" s="81"/>
      <c r="E27" s="74"/>
      <c r="F27" s="74"/>
      <c r="G27" s="74"/>
      <c r="H27" s="74"/>
      <c r="I27" s="74"/>
    </row>
    <row r="28" spans="1:10" ht="15" customHeight="1">
      <c r="A28" s="150" t="s">
        <v>271</v>
      </c>
      <c r="B28" s="151"/>
      <c r="C28" s="87">
        <f>SUM('Stavební rozpočet'!AK12:AK77)</f>
        <v>0</v>
      </c>
      <c r="D28" s="150" t="s">
        <v>284</v>
      </c>
      <c r="E28" s="151"/>
      <c r="F28" s="87">
        <f>ROUND(C28*(15/100),2)</f>
        <v>0</v>
      </c>
      <c r="G28" s="150" t="s">
        <v>299</v>
      </c>
      <c r="H28" s="151"/>
      <c r="I28" s="87">
        <f>SUM(C27:C29)</f>
        <v>0</v>
      </c>
      <c r="J28" s="7"/>
    </row>
    <row r="29" spans="1:10" ht="15" customHeight="1">
      <c r="A29" s="150" t="s">
        <v>272</v>
      </c>
      <c r="B29" s="151"/>
      <c r="C29" s="87">
        <f>SUM('Stavební rozpočet'!AL12:AL77)+(F22+I22+F23+I23+I24+I25)</f>
        <v>0</v>
      </c>
      <c r="D29" s="150" t="s">
        <v>285</v>
      </c>
      <c r="E29" s="151"/>
      <c r="F29" s="87">
        <f>ROUND(C29*(21/100),2)</f>
        <v>0</v>
      </c>
      <c r="G29" s="150" t="s">
        <v>300</v>
      </c>
      <c r="H29" s="151"/>
      <c r="I29" s="87">
        <f>SUM(F28:F29)+I28</f>
        <v>0</v>
      </c>
      <c r="J29" s="7"/>
    </row>
    <row r="30" spans="1:9" ht="12.75">
      <c r="A30" s="78"/>
      <c r="B30" s="78"/>
      <c r="C30" s="78"/>
      <c r="D30" s="78"/>
      <c r="E30" s="78"/>
      <c r="F30" s="78"/>
      <c r="G30" s="78"/>
      <c r="H30" s="78"/>
      <c r="I30" s="78"/>
    </row>
    <row r="31" spans="1:10" ht="14.25" customHeight="1">
      <c r="A31" s="152" t="s">
        <v>273</v>
      </c>
      <c r="B31" s="153"/>
      <c r="C31" s="154"/>
      <c r="D31" s="152" t="s">
        <v>286</v>
      </c>
      <c r="E31" s="153"/>
      <c r="F31" s="154"/>
      <c r="G31" s="152" t="s">
        <v>301</v>
      </c>
      <c r="H31" s="153"/>
      <c r="I31" s="154"/>
      <c r="J31" s="46"/>
    </row>
    <row r="32" spans="1:10" ht="14.25" customHeight="1">
      <c r="A32" s="155"/>
      <c r="B32" s="156"/>
      <c r="C32" s="157"/>
      <c r="D32" s="155"/>
      <c r="E32" s="156"/>
      <c r="F32" s="157"/>
      <c r="G32" s="155"/>
      <c r="H32" s="156"/>
      <c r="I32" s="157"/>
      <c r="J32" s="46"/>
    </row>
    <row r="33" spans="1:10" ht="14.25" customHeight="1">
      <c r="A33" s="155"/>
      <c r="B33" s="156"/>
      <c r="C33" s="157"/>
      <c r="D33" s="155"/>
      <c r="E33" s="156"/>
      <c r="F33" s="157"/>
      <c r="G33" s="155"/>
      <c r="H33" s="156"/>
      <c r="I33" s="157"/>
      <c r="J33" s="46"/>
    </row>
    <row r="34" spans="1:10" ht="14.25" customHeight="1">
      <c r="A34" s="155"/>
      <c r="B34" s="156"/>
      <c r="C34" s="157"/>
      <c r="D34" s="155"/>
      <c r="E34" s="156"/>
      <c r="F34" s="157"/>
      <c r="G34" s="155"/>
      <c r="H34" s="156"/>
      <c r="I34" s="157"/>
      <c r="J34" s="46"/>
    </row>
    <row r="35" spans="1:10" ht="14.25" customHeight="1">
      <c r="A35" s="158" t="s">
        <v>274</v>
      </c>
      <c r="B35" s="159"/>
      <c r="C35" s="160"/>
      <c r="D35" s="158" t="s">
        <v>274</v>
      </c>
      <c r="E35" s="159"/>
      <c r="F35" s="160"/>
      <c r="G35" s="158" t="s">
        <v>274</v>
      </c>
      <c r="H35" s="159"/>
      <c r="I35" s="160"/>
      <c r="J35" s="46"/>
    </row>
    <row r="36" spans="1:9" ht="11.25" customHeight="1">
      <c r="A36" s="72" t="s">
        <v>50</v>
      </c>
      <c r="B36" s="73"/>
      <c r="C36" s="73"/>
      <c r="D36" s="73"/>
      <c r="E36" s="73"/>
      <c r="F36" s="73"/>
      <c r="G36" s="73"/>
      <c r="H36" s="73"/>
      <c r="I36" s="73"/>
    </row>
    <row r="37" spans="1:9" ht="12.75">
      <c r="A37" s="103"/>
      <c r="B37" s="94"/>
      <c r="C37" s="94"/>
      <c r="D37" s="94"/>
      <c r="E37" s="94"/>
      <c r="F37" s="94"/>
      <c r="G37" s="94"/>
      <c r="H37" s="94"/>
      <c r="I37" s="94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80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H77" sqref="H77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1.421875" style="0" customWidth="1"/>
    <col min="5" max="5" width="69.28125" style="0" customWidth="1"/>
    <col min="6" max="6" width="7.421875" style="0" customWidth="1"/>
    <col min="7" max="7" width="12.8515625" style="0" customWidth="1"/>
    <col min="8" max="8" width="12.00390625" style="0" customWidth="1"/>
    <col min="9" max="11" width="14.28125" style="0" customWidth="1"/>
    <col min="12" max="14" width="11.7109375" style="0" customWidth="1"/>
    <col min="15" max="24" width="11.57421875" style="0" customWidth="1"/>
    <col min="25" max="64" width="12.140625" style="0" hidden="1" customWidth="1"/>
  </cols>
  <sheetData>
    <row r="1" spans="1:14" ht="72.7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5" ht="12.75">
      <c r="A2" s="91" t="s">
        <v>1</v>
      </c>
      <c r="B2" s="92"/>
      <c r="C2" s="92"/>
      <c r="D2" s="95" t="s">
        <v>111</v>
      </c>
      <c r="E2" s="96"/>
      <c r="F2" s="98" t="s">
        <v>181</v>
      </c>
      <c r="G2" s="92"/>
      <c r="H2" s="98" t="s">
        <v>6</v>
      </c>
      <c r="I2" s="99" t="s">
        <v>198</v>
      </c>
      <c r="J2" s="98" t="s">
        <v>205</v>
      </c>
      <c r="K2" s="92"/>
      <c r="L2" s="92"/>
      <c r="M2" s="92"/>
      <c r="N2" s="100"/>
      <c r="O2" s="7"/>
    </row>
    <row r="3" spans="1:15" ht="12.75">
      <c r="A3" s="93"/>
      <c r="B3" s="94"/>
      <c r="C3" s="94"/>
      <c r="D3" s="97"/>
      <c r="E3" s="97"/>
      <c r="F3" s="94"/>
      <c r="G3" s="94"/>
      <c r="H3" s="94"/>
      <c r="I3" s="94"/>
      <c r="J3" s="94"/>
      <c r="K3" s="94"/>
      <c r="L3" s="94"/>
      <c r="M3" s="94"/>
      <c r="N3" s="101"/>
      <c r="O3" s="7"/>
    </row>
    <row r="4" spans="1:15" ht="12.75">
      <c r="A4" s="102" t="s">
        <v>2</v>
      </c>
      <c r="B4" s="94"/>
      <c r="C4" s="94"/>
      <c r="D4" s="103" t="s">
        <v>112</v>
      </c>
      <c r="E4" s="94"/>
      <c r="F4" s="104" t="s">
        <v>182</v>
      </c>
      <c r="G4" s="94"/>
      <c r="H4" s="104" t="s">
        <v>195</v>
      </c>
      <c r="I4" s="103" t="s">
        <v>199</v>
      </c>
      <c r="J4" s="104" t="s">
        <v>205</v>
      </c>
      <c r="K4" s="94"/>
      <c r="L4" s="94"/>
      <c r="M4" s="94"/>
      <c r="N4" s="101"/>
      <c r="O4" s="7"/>
    </row>
    <row r="5" spans="1:15" ht="12.75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101"/>
      <c r="O5" s="7"/>
    </row>
    <row r="6" spans="1:15" ht="12.75">
      <c r="A6" s="102" t="s">
        <v>3</v>
      </c>
      <c r="B6" s="94"/>
      <c r="C6" s="94"/>
      <c r="D6" s="103" t="s">
        <v>113</v>
      </c>
      <c r="E6" s="94"/>
      <c r="F6" s="104" t="s">
        <v>183</v>
      </c>
      <c r="G6" s="94"/>
      <c r="H6" s="104" t="s">
        <v>6</v>
      </c>
      <c r="I6" s="103" t="s">
        <v>200</v>
      </c>
      <c r="J6" s="104" t="s">
        <v>205</v>
      </c>
      <c r="K6" s="94"/>
      <c r="L6" s="94"/>
      <c r="M6" s="94"/>
      <c r="N6" s="101"/>
      <c r="O6" s="7"/>
    </row>
    <row r="7" spans="1:15" ht="12.75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101"/>
      <c r="O7" s="7"/>
    </row>
    <row r="8" spans="1:15" ht="12.75">
      <c r="A8" s="102" t="s">
        <v>4</v>
      </c>
      <c r="B8" s="94"/>
      <c r="C8" s="94"/>
      <c r="D8" s="103" t="s">
        <v>6</v>
      </c>
      <c r="E8" s="94"/>
      <c r="F8" s="104" t="s">
        <v>184</v>
      </c>
      <c r="G8" s="94"/>
      <c r="H8" s="104" t="s">
        <v>195</v>
      </c>
      <c r="I8" s="103" t="s">
        <v>201</v>
      </c>
      <c r="J8" s="104" t="s">
        <v>205</v>
      </c>
      <c r="K8" s="94"/>
      <c r="L8" s="94"/>
      <c r="M8" s="94"/>
      <c r="N8" s="101"/>
      <c r="O8" s="7"/>
    </row>
    <row r="9" spans="1:15" ht="12.75">
      <c r="A9" s="105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7"/>
      <c r="O9" s="7"/>
    </row>
    <row r="10" spans="1:64" ht="12.75">
      <c r="A10" s="1" t="s">
        <v>5</v>
      </c>
      <c r="B10" s="12" t="s">
        <v>51</v>
      </c>
      <c r="C10" s="12" t="s">
        <v>54</v>
      </c>
      <c r="D10" s="108" t="s">
        <v>114</v>
      </c>
      <c r="E10" s="109"/>
      <c r="F10" s="12" t="s">
        <v>185</v>
      </c>
      <c r="G10" s="25" t="s">
        <v>194</v>
      </c>
      <c r="H10" s="29" t="s">
        <v>196</v>
      </c>
      <c r="I10" s="110" t="s">
        <v>202</v>
      </c>
      <c r="J10" s="111"/>
      <c r="K10" s="112"/>
      <c r="L10" s="110" t="s">
        <v>208</v>
      </c>
      <c r="M10" s="112"/>
      <c r="N10" s="38" t="s">
        <v>210</v>
      </c>
      <c r="O10" s="46"/>
      <c r="BK10" s="36" t="s">
        <v>250</v>
      </c>
      <c r="BL10" s="51" t="s">
        <v>253</v>
      </c>
    </row>
    <row r="11" spans="1:62" ht="12.75">
      <c r="A11" s="2" t="s">
        <v>6</v>
      </c>
      <c r="B11" s="13" t="s">
        <v>6</v>
      </c>
      <c r="C11" s="13" t="s">
        <v>6</v>
      </c>
      <c r="D11" s="113" t="s">
        <v>115</v>
      </c>
      <c r="E11" s="114"/>
      <c r="F11" s="13" t="s">
        <v>6</v>
      </c>
      <c r="G11" s="13" t="s">
        <v>6</v>
      </c>
      <c r="H11" s="30" t="s">
        <v>197</v>
      </c>
      <c r="I11" s="31" t="s">
        <v>203</v>
      </c>
      <c r="J11" s="33" t="s">
        <v>206</v>
      </c>
      <c r="K11" s="34" t="s">
        <v>207</v>
      </c>
      <c r="L11" s="31" t="s">
        <v>209</v>
      </c>
      <c r="M11" s="34" t="s">
        <v>207</v>
      </c>
      <c r="N11" s="39" t="s">
        <v>211</v>
      </c>
      <c r="O11" s="46"/>
      <c r="Z11" s="36" t="s">
        <v>214</v>
      </c>
      <c r="AA11" s="36" t="s">
        <v>215</v>
      </c>
      <c r="AB11" s="36" t="s">
        <v>216</v>
      </c>
      <c r="AC11" s="36" t="s">
        <v>217</v>
      </c>
      <c r="AD11" s="36" t="s">
        <v>218</v>
      </c>
      <c r="AE11" s="36" t="s">
        <v>219</v>
      </c>
      <c r="AF11" s="36" t="s">
        <v>220</v>
      </c>
      <c r="AG11" s="36" t="s">
        <v>221</v>
      </c>
      <c r="AH11" s="36" t="s">
        <v>222</v>
      </c>
      <c r="BH11" s="36" t="s">
        <v>247</v>
      </c>
      <c r="BI11" s="36" t="s">
        <v>248</v>
      </c>
      <c r="BJ11" s="36" t="s">
        <v>249</v>
      </c>
    </row>
    <row r="12" spans="1:15" ht="12.75">
      <c r="A12" s="3"/>
      <c r="B12" s="14" t="s">
        <v>52</v>
      </c>
      <c r="C12" s="14"/>
      <c r="D12" s="115" t="s">
        <v>116</v>
      </c>
      <c r="E12" s="116"/>
      <c r="F12" s="22" t="s">
        <v>6</v>
      </c>
      <c r="G12" s="22" t="s">
        <v>6</v>
      </c>
      <c r="H12" s="22" t="s">
        <v>6</v>
      </c>
      <c r="I12" s="52">
        <f>I13</f>
        <v>0</v>
      </c>
      <c r="J12" s="52">
        <f>J13</f>
        <v>0</v>
      </c>
      <c r="K12" s="52">
        <f>K13</f>
        <v>0</v>
      </c>
      <c r="L12" s="35"/>
      <c r="M12" s="52">
        <f>M13</f>
        <v>0</v>
      </c>
      <c r="N12" s="40"/>
      <c r="O12" s="7"/>
    </row>
    <row r="13" spans="1:47" ht="12.75">
      <c r="A13" s="4"/>
      <c r="B13" s="15" t="s">
        <v>52</v>
      </c>
      <c r="C13" s="15" t="s">
        <v>55</v>
      </c>
      <c r="D13" s="117"/>
      <c r="E13" s="118"/>
      <c r="F13" s="23" t="s">
        <v>6</v>
      </c>
      <c r="G13" s="23" t="s">
        <v>6</v>
      </c>
      <c r="H13" s="23" t="s">
        <v>6</v>
      </c>
      <c r="I13" s="53">
        <f>SUM(I14:I21)</f>
        <v>0</v>
      </c>
      <c r="J13" s="53">
        <f>SUM(J14:J21)</f>
        <v>0</v>
      </c>
      <c r="K13" s="53">
        <f>SUM(K14:K21)</f>
        <v>0</v>
      </c>
      <c r="L13" s="36"/>
      <c r="M13" s="53">
        <f>SUM(M14:M21)</f>
        <v>0</v>
      </c>
      <c r="N13" s="41"/>
      <c r="O13" s="7"/>
      <c r="AI13" s="36" t="s">
        <v>52</v>
      </c>
      <c r="AS13" s="53">
        <f>SUM(AJ14:AJ21)</f>
        <v>0</v>
      </c>
      <c r="AT13" s="53">
        <f>SUM(AK14:AK21)</f>
        <v>0</v>
      </c>
      <c r="AU13" s="53">
        <f>SUM(AL14:AL21)</f>
        <v>0</v>
      </c>
    </row>
    <row r="14" spans="1:64" ht="15">
      <c r="A14" s="5" t="s">
        <v>7</v>
      </c>
      <c r="B14" s="16" t="s">
        <v>52</v>
      </c>
      <c r="C14" s="16" t="s">
        <v>56</v>
      </c>
      <c r="D14" s="119" t="s">
        <v>117</v>
      </c>
      <c r="E14" s="120"/>
      <c r="F14" s="16" t="s">
        <v>186</v>
      </c>
      <c r="G14" s="26">
        <v>1</v>
      </c>
      <c r="H14" s="161"/>
      <c r="I14" s="26">
        <f aca="true" t="shared" si="0" ref="I14:I21">G14*AO14</f>
        <v>0</v>
      </c>
      <c r="J14" s="26">
        <f aca="true" t="shared" si="1" ref="J14:J21">G14*AP14</f>
        <v>0</v>
      </c>
      <c r="K14" s="26">
        <f aca="true" t="shared" si="2" ref="K14:K21">G14*H14</f>
        <v>0</v>
      </c>
      <c r="L14" s="26">
        <v>0</v>
      </c>
      <c r="M14" s="26">
        <f aca="true" t="shared" si="3" ref="M14:M21">G14*L14</f>
        <v>0</v>
      </c>
      <c r="N14" s="42" t="s">
        <v>212</v>
      </c>
      <c r="O14" s="7"/>
      <c r="Z14" s="47">
        <f aca="true" t="shared" si="4" ref="Z14:Z21">IF(AQ14="5",BJ14,0)</f>
        <v>0</v>
      </c>
      <c r="AB14" s="47">
        <f aca="true" t="shared" si="5" ref="AB14:AB21">IF(AQ14="1",BH14,0)</f>
        <v>0</v>
      </c>
      <c r="AC14" s="47">
        <f aca="true" t="shared" si="6" ref="AC14:AC21">IF(AQ14="1",BI14,0)</f>
        <v>0</v>
      </c>
      <c r="AD14" s="47">
        <f aca="true" t="shared" si="7" ref="AD14:AD21">IF(AQ14="7",BH14,0)</f>
        <v>0</v>
      </c>
      <c r="AE14" s="47">
        <f aca="true" t="shared" si="8" ref="AE14:AE21">IF(AQ14="7",BI14,0)</f>
        <v>0</v>
      </c>
      <c r="AF14" s="47">
        <f aca="true" t="shared" si="9" ref="AF14:AF21">IF(AQ14="2",BH14,0)</f>
        <v>0</v>
      </c>
      <c r="AG14" s="47">
        <f aca="true" t="shared" si="10" ref="AG14:AG21">IF(AQ14="2",BI14,0)</f>
        <v>0</v>
      </c>
      <c r="AH14" s="47">
        <f aca="true" t="shared" si="11" ref="AH14:AH21">IF(AQ14="0",BJ14,0)</f>
        <v>0</v>
      </c>
      <c r="AI14" s="36" t="s">
        <v>52</v>
      </c>
      <c r="AJ14" s="26">
        <f aca="true" t="shared" si="12" ref="AJ14:AJ21">IF(AN14=0,K14,0)</f>
        <v>0</v>
      </c>
      <c r="AK14" s="26">
        <f aca="true" t="shared" si="13" ref="AK14:AK21">IF(AN14=15,K14,0)</f>
        <v>0</v>
      </c>
      <c r="AL14" s="26">
        <f aca="true" t="shared" si="14" ref="AL14:AL21">IF(AN14=21,K14,0)</f>
        <v>0</v>
      </c>
      <c r="AN14" s="47">
        <v>21</v>
      </c>
      <c r="AO14" s="47">
        <f aca="true" t="shared" si="15" ref="AO14:AO21">H14*0</f>
        <v>0</v>
      </c>
      <c r="AP14" s="47">
        <f aca="true" t="shared" si="16" ref="AP14:AP21">H14*(1-0)</f>
        <v>0</v>
      </c>
      <c r="AQ14" s="48" t="s">
        <v>7</v>
      </c>
      <c r="AV14" s="47">
        <f aca="true" t="shared" si="17" ref="AV14:AV21">AW14+AX14</f>
        <v>0</v>
      </c>
      <c r="AW14" s="47">
        <f aca="true" t="shared" si="18" ref="AW14:AW21">G14*AO14</f>
        <v>0</v>
      </c>
      <c r="AX14" s="47">
        <f aca="true" t="shared" si="19" ref="AX14:AX21">G14*AP14</f>
        <v>0</v>
      </c>
      <c r="AY14" s="50" t="s">
        <v>223</v>
      </c>
      <c r="AZ14" s="50" t="s">
        <v>240</v>
      </c>
      <c r="BA14" s="36" t="s">
        <v>245</v>
      </c>
      <c r="BC14" s="47">
        <f aca="true" t="shared" si="20" ref="BC14:BC21">AW14+AX14</f>
        <v>0</v>
      </c>
      <c r="BD14" s="47">
        <f aca="true" t="shared" si="21" ref="BD14:BD21">H14/(100-BE14)*100</f>
        <v>0</v>
      </c>
      <c r="BE14" s="47">
        <v>0</v>
      </c>
      <c r="BF14" s="47">
        <f aca="true" t="shared" si="22" ref="BF14:BF21">M14</f>
        <v>0</v>
      </c>
      <c r="BH14" s="26">
        <f aca="true" t="shared" si="23" ref="BH14:BH21">G14*AO14</f>
        <v>0</v>
      </c>
      <c r="BI14" s="26">
        <f aca="true" t="shared" si="24" ref="BI14:BI21">G14*AP14</f>
        <v>0</v>
      </c>
      <c r="BJ14" s="26">
        <f aca="true" t="shared" si="25" ref="BJ14:BJ21">G14*H14</f>
        <v>0</v>
      </c>
      <c r="BK14" s="26" t="s">
        <v>251</v>
      </c>
      <c r="BL14" s="47">
        <v>521</v>
      </c>
    </row>
    <row r="15" spans="1:64" ht="15">
      <c r="A15" s="5" t="s">
        <v>8</v>
      </c>
      <c r="B15" s="16" t="s">
        <v>52</v>
      </c>
      <c r="C15" s="16" t="s">
        <v>57</v>
      </c>
      <c r="D15" s="119" t="s">
        <v>118</v>
      </c>
      <c r="E15" s="120"/>
      <c r="F15" s="16" t="s">
        <v>186</v>
      </c>
      <c r="G15" s="26">
        <v>1</v>
      </c>
      <c r="H15" s="161"/>
      <c r="I15" s="26">
        <f t="shared" si="0"/>
        <v>0</v>
      </c>
      <c r="J15" s="26">
        <f t="shared" si="1"/>
        <v>0</v>
      </c>
      <c r="K15" s="26">
        <f t="shared" si="2"/>
        <v>0</v>
      </c>
      <c r="L15" s="26">
        <v>0</v>
      </c>
      <c r="M15" s="26">
        <f t="shared" si="3"/>
        <v>0</v>
      </c>
      <c r="N15" s="42" t="s">
        <v>212</v>
      </c>
      <c r="O15" s="7"/>
      <c r="Z15" s="47">
        <f t="shared" si="4"/>
        <v>0</v>
      </c>
      <c r="AB15" s="47">
        <f t="shared" si="5"/>
        <v>0</v>
      </c>
      <c r="AC15" s="47">
        <f t="shared" si="6"/>
        <v>0</v>
      </c>
      <c r="AD15" s="47">
        <f t="shared" si="7"/>
        <v>0</v>
      </c>
      <c r="AE15" s="47">
        <f t="shared" si="8"/>
        <v>0</v>
      </c>
      <c r="AF15" s="47">
        <f t="shared" si="9"/>
        <v>0</v>
      </c>
      <c r="AG15" s="47">
        <f t="shared" si="10"/>
        <v>0</v>
      </c>
      <c r="AH15" s="47">
        <f t="shared" si="11"/>
        <v>0</v>
      </c>
      <c r="AI15" s="36" t="s">
        <v>52</v>
      </c>
      <c r="AJ15" s="26">
        <f t="shared" si="12"/>
        <v>0</v>
      </c>
      <c r="AK15" s="26">
        <f t="shared" si="13"/>
        <v>0</v>
      </c>
      <c r="AL15" s="26">
        <f t="shared" si="14"/>
        <v>0</v>
      </c>
      <c r="AN15" s="47">
        <v>21</v>
      </c>
      <c r="AO15" s="47">
        <f t="shared" si="15"/>
        <v>0</v>
      </c>
      <c r="AP15" s="47">
        <f t="shared" si="16"/>
        <v>0</v>
      </c>
      <c r="AQ15" s="48" t="s">
        <v>7</v>
      </c>
      <c r="AV15" s="47">
        <f t="shared" si="17"/>
        <v>0</v>
      </c>
      <c r="AW15" s="47">
        <f t="shared" si="18"/>
        <v>0</v>
      </c>
      <c r="AX15" s="47">
        <f t="shared" si="19"/>
        <v>0</v>
      </c>
      <c r="AY15" s="50" t="s">
        <v>223</v>
      </c>
      <c r="AZ15" s="50" t="s">
        <v>240</v>
      </c>
      <c r="BA15" s="36" t="s">
        <v>245</v>
      </c>
      <c r="BC15" s="47">
        <f t="shared" si="20"/>
        <v>0</v>
      </c>
      <c r="BD15" s="47">
        <f t="shared" si="21"/>
        <v>0</v>
      </c>
      <c r="BE15" s="47">
        <v>0</v>
      </c>
      <c r="BF15" s="47">
        <f t="shared" si="22"/>
        <v>0</v>
      </c>
      <c r="BH15" s="26">
        <f t="shared" si="23"/>
        <v>0</v>
      </c>
      <c r="BI15" s="26">
        <f t="shared" si="24"/>
        <v>0</v>
      </c>
      <c r="BJ15" s="26">
        <f t="shared" si="25"/>
        <v>0</v>
      </c>
      <c r="BK15" s="26" t="s">
        <v>251</v>
      </c>
      <c r="BL15" s="47">
        <v>521</v>
      </c>
    </row>
    <row r="16" spans="1:64" ht="15">
      <c r="A16" s="5" t="s">
        <v>9</v>
      </c>
      <c r="B16" s="16" t="s">
        <v>52</v>
      </c>
      <c r="C16" s="16" t="s">
        <v>58</v>
      </c>
      <c r="D16" s="119" t="s">
        <v>119</v>
      </c>
      <c r="E16" s="120"/>
      <c r="F16" s="16" t="s">
        <v>186</v>
      </c>
      <c r="G16" s="26">
        <v>1</v>
      </c>
      <c r="H16" s="161"/>
      <c r="I16" s="26">
        <f t="shared" si="0"/>
        <v>0</v>
      </c>
      <c r="J16" s="26">
        <f t="shared" si="1"/>
        <v>0</v>
      </c>
      <c r="K16" s="26">
        <f t="shared" si="2"/>
        <v>0</v>
      </c>
      <c r="L16" s="26">
        <v>0</v>
      </c>
      <c r="M16" s="26">
        <f t="shared" si="3"/>
        <v>0</v>
      </c>
      <c r="N16" s="42" t="s">
        <v>212</v>
      </c>
      <c r="O16" s="7"/>
      <c r="Z16" s="47">
        <f t="shared" si="4"/>
        <v>0</v>
      </c>
      <c r="AB16" s="47">
        <f t="shared" si="5"/>
        <v>0</v>
      </c>
      <c r="AC16" s="47">
        <f t="shared" si="6"/>
        <v>0</v>
      </c>
      <c r="AD16" s="47">
        <f t="shared" si="7"/>
        <v>0</v>
      </c>
      <c r="AE16" s="47">
        <f t="shared" si="8"/>
        <v>0</v>
      </c>
      <c r="AF16" s="47">
        <f t="shared" si="9"/>
        <v>0</v>
      </c>
      <c r="AG16" s="47">
        <f t="shared" si="10"/>
        <v>0</v>
      </c>
      <c r="AH16" s="47">
        <f t="shared" si="11"/>
        <v>0</v>
      </c>
      <c r="AI16" s="36" t="s">
        <v>52</v>
      </c>
      <c r="AJ16" s="26">
        <f t="shared" si="12"/>
        <v>0</v>
      </c>
      <c r="AK16" s="26">
        <f t="shared" si="13"/>
        <v>0</v>
      </c>
      <c r="AL16" s="26">
        <f t="shared" si="14"/>
        <v>0</v>
      </c>
      <c r="AN16" s="47">
        <v>21</v>
      </c>
      <c r="AO16" s="47">
        <f t="shared" si="15"/>
        <v>0</v>
      </c>
      <c r="AP16" s="47">
        <f t="shared" si="16"/>
        <v>0</v>
      </c>
      <c r="AQ16" s="48" t="s">
        <v>7</v>
      </c>
      <c r="AV16" s="47">
        <f t="shared" si="17"/>
        <v>0</v>
      </c>
      <c r="AW16" s="47">
        <f t="shared" si="18"/>
        <v>0</v>
      </c>
      <c r="AX16" s="47">
        <f t="shared" si="19"/>
        <v>0</v>
      </c>
      <c r="AY16" s="50" t="s">
        <v>223</v>
      </c>
      <c r="AZ16" s="50" t="s">
        <v>240</v>
      </c>
      <c r="BA16" s="36" t="s">
        <v>245</v>
      </c>
      <c r="BC16" s="47">
        <f t="shared" si="20"/>
        <v>0</v>
      </c>
      <c r="BD16" s="47">
        <f t="shared" si="21"/>
        <v>0</v>
      </c>
      <c r="BE16" s="47">
        <v>0</v>
      </c>
      <c r="BF16" s="47">
        <f t="shared" si="22"/>
        <v>0</v>
      </c>
      <c r="BH16" s="26">
        <f t="shared" si="23"/>
        <v>0</v>
      </c>
      <c r="BI16" s="26">
        <f t="shared" si="24"/>
        <v>0</v>
      </c>
      <c r="BJ16" s="26">
        <f t="shared" si="25"/>
        <v>0</v>
      </c>
      <c r="BK16" s="26" t="s">
        <v>251</v>
      </c>
      <c r="BL16" s="47">
        <v>521</v>
      </c>
    </row>
    <row r="17" spans="1:64" ht="15">
      <c r="A17" s="5" t="s">
        <v>10</v>
      </c>
      <c r="B17" s="16" t="s">
        <v>52</v>
      </c>
      <c r="C17" s="16" t="s">
        <v>59</v>
      </c>
      <c r="D17" s="119" t="s">
        <v>120</v>
      </c>
      <c r="E17" s="120"/>
      <c r="F17" s="16" t="s">
        <v>186</v>
      </c>
      <c r="G17" s="26">
        <v>1</v>
      </c>
      <c r="H17" s="161"/>
      <c r="I17" s="26">
        <f t="shared" si="0"/>
        <v>0</v>
      </c>
      <c r="J17" s="26">
        <f t="shared" si="1"/>
        <v>0</v>
      </c>
      <c r="K17" s="26">
        <f t="shared" si="2"/>
        <v>0</v>
      </c>
      <c r="L17" s="26">
        <v>0</v>
      </c>
      <c r="M17" s="26">
        <f t="shared" si="3"/>
        <v>0</v>
      </c>
      <c r="N17" s="42" t="s">
        <v>212</v>
      </c>
      <c r="O17" s="7"/>
      <c r="Z17" s="47">
        <f t="shared" si="4"/>
        <v>0</v>
      </c>
      <c r="AB17" s="47">
        <f t="shared" si="5"/>
        <v>0</v>
      </c>
      <c r="AC17" s="47">
        <f t="shared" si="6"/>
        <v>0</v>
      </c>
      <c r="AD17" s="47">
        <f t="shared" si="7"/>
        <v>0</v>
      </c>
      <c r="AE17" s="47">
        <f t="shared" si="8"/>
        <v>0</v>
      </c>
      <c r="AF17" s="47">
        <f t="shared" si="9"/>
        <v>0</v>
      </c>
      <c r="AG17" s="47">
        <f t="shared" si="10"/>
        <v>0</v>
      </c>
      <c r="AH17" s="47">
        <f t="shared" si="11"/>
        <v>0</v>
      </c>
      <c r="AI17" s="36" t="s">
        <v>52</v>
      </c>
      <c r="AJ17" s="26">
        <f t="shared" si="12"/>
        <v>0</v>
      </c>
      <c r="AK17" s="26">
        <f t="shared" si="13"/>
        <v>0</v>
      </c>
      <c r="AL17" s="26">
        <f t="shared" si="14"/>
        <v>0</v>
      </c>
      <c r="AN17" s="47">
        <v>21</v>
      </c>
      <c r="AO17" s="47">
        <f t="shared" si="15"/>
        <v>0</v>
      </c>
      <c r="AP17" s="47">
        <f t="shared" si="16"/>
        <v>0</v>
      </c>
      <c r="AQ17" s="48" t="s">
        <v>7</v>
      </c>
      <c r="AV17" s="47">
        <f t="shared" si="17"/>
        <v>0</v>
      </c>
      <c r="AW17" s="47">
        <f t="shared" si="18"/>
        <v>0</v>
      </c>
      <c r="AX17" s="47">
        <f t="shared" si="19"/>
        <v>0</v>
      </c>
      <c r="AY17" s="50" t="s">
        <v>223</v>
      </c>
      <c r="AZ17" s="50" t="s">
        <v>240</v>
      </c>
      <c r="BA17" s="36" t="s">
        <v>245</v>
      </c>
      <c r="BC17" s="47">
        <f t="shared" si="20"/>
        <v>0</v>
      </c>
      <c r="BD17" s="47">
        <f t="shared" si="21"/>
        <v>0</v>
      </c>
      <c r="BE17" s="47">
        <v>0</v>
      </c>
      <c r="BF17" s="47">
        <f t="shared" si="22"/>
        <v>0</v>
      </c>
      <c r="BH17" s="26">
        <f t="shared" si="23"/>
        <v>0</v>
      </c>
      <c r="BI17" s="26">
        <f t="shared" si="24"/>
        <v>0</v>
      </c>
      <c r="BJ17" s="26">
        <f t="shared" si="25"/>
        <v>0</v>
      </c>
      <c r="BK17" s="26" t="s">
        <v>251</v>
      </c>
      <c r="BL17" s="47">
        <v>521</v>
      </c>
    </row>
    <row r="18" spans="1:64" ht="15">
      <c r="A18" s="5" t="s">
        <v>11</v>
      </c>
      <c r="B18" s="16" t="s">
        <v>52</v>
      </c>
      <c r="C18" s="16" t="s">
        <v>60</v>
      </c>
      <c r="D18" s="119" t="s">
        <v>121</v>
      </c>
      <c r="E18" s="120"/>
      <c r="F18" s="16" t="s">
        <v>187</v>
      </c>
      <c r="G18" s="26">
        <v>1</v>
      </c>
      <c r="H18" s="161"/>
      <c r="I18" s="26">
        <f t="shared" si="0"/>
        <v>0</v>
      </c>
      <c r="J18" s="26">
        <f t="shared" si="1"/>
        <v>0</v>
      </c>
      <c r="K18" s="26">
        <f t="shared" si="2"/>
        <v>0</v>
      </c>
      <c r="L18" s="26">
        <v>0</v>
      </c>
      <c r="M18" s="26">
        <f t="shared" si="3"/>
        <v>0</v>
      </c>
      <c r="N18" s="42" t="s">
        <v>212</v>
      </c>
      <c r="O18" s="7"/>
      <c r="Z18" s="47">
        <f t="shared" si="4"/>
        <v>0</v>
      </c>
      <c r="AB18" s="47">
        <f t="shared" si="5"/>
        <v>0</v>
      </c>
      <c r="AC18" s="47">
        <f t="shared" si="6"/>
        <v>0</v>
      </c>
      <c r="AD18" s="47">
        <f t="shared" si="7"/>
        <v>0</v>
      </c>
      <c r="AE18" s="47">
        <f t="shared" si="8"/>
        <v>0</v>
      </c>
      <c r="AF18" s="47">
        <f t="shared" si="9"/>
        <v>0</v>
      </c>
      <c r="AG18" s="47">
        <f t="shared" si="10"/>
        <v>0</v>
      </c>
      <c r="AH18" s="47">
        <f t="shared" si="11"/>
        <v>0</v>
      </c>
      <c r="AI18" s="36" t="s">
        <v>52</v>
      </c>
      <c r="AJ18" s="26">
        <f t="shared" si="12"/>
        <v>0</v>
      </c>
      <c r="AK18" s="26">
        <f t="shared" si="13"/>
        <v>0</v>
      </c>
      <c r="AL18" s="26">
        <f t="shared" si="14"/>
        <v>0</v>
      </c>
      <c r="AN18" s="47">
        <v>21</v>
      </c>
      <c r="AO18" s="47">
        <f t="shared" si="15"/>
        <v>0</v>
      </c>
      <c r="AP18" s="47">
        <f t="shared" si="16"/>
        <v>0</v>
      </c>
      <c r="AQ18" s="48" t="s">
        <v>7</v>
      </c>
      <c r="AV18" s="47">
        <f t="shared" si="17"/>
        <v>0</v>
      </c>
      <c r="AW18" s="47">
        <f t="shared" si="18"/>
        <v>0</v>
      </c>
      <c r="AX18" s="47">
        <f t="shared" si="19"/>
        <v>0</v>
      </c>
      <c r="AY18" s="50" t="s">
        <v>223</v>
      </c>
      <c r="AZ18" s="50" t="s">
        <v>240</v>
      </c>
      <c r="BA18" s="36" t="s">
        <v>245</v>
      </c>
      <c r="BC18" s="47">
        <f t="shared" si="20"/>
        <v>0</v>
      </c>
      <c r="BD18" s="47">
        <f t="shared" si="21"/>
        <v>0</v>
      </c>
      <c r="BE18" s="47">
        <v>0</v>
      </c>
      <c r="BF18" s="47">
        <f t="shared" si="22"/>
        <v>0</v>
      </c>
      <c r="BH18" s="26">
        <f t="shared" si="23"/>
        <v>0</v>
      </c>
      <c r="BI18" s="26">
        <f t="shared" si="24"/>
        <v>0</v>
      </c>
      <c r="BJ18" s="26">
        <f t="shared" si="25"/>
        <v>0</v>
      </c>
      <c r="BK18" s="26" t="s">
        <v>251</v>
      </c>
      <c r="BL18" s="47">
        <v>521</v>
      </c>
    </row>
    <row r="19" spans="1:64" ht="15">
      <c r="A19" s="5" t="s">
        <v>12</v>
      </c>
      <c r="B19" s="16" t="s">
        <v>52</v>
      </c>
      <c r="C19" s="16" t="s">
        <v>61</v>
      </c>
      <c r="D19" s="119" t="s">
        <v>122</v>
      </c>
      <c r="E19" s="120"/>
      <c r="F19" s="16" t="s">
        <v>187</v>
      </c>
      <c r="G19" s="26">
        <v>1</v>
      </c>
      <c r="H19" s="161"/>
      <c r="I19" s="26">
        <f t="shared" si="0"/>
        <v>0</v>
      </c>
      <c r="J19" s="26">
        <f t="shared" si="1"/>
        <v>0</v>
      </c>
      <c r="K19" s="26">
        <f t="shared" si="2"/>
        <v>0</v>
      </c>
      <c r="L19" s="26">
        <v>0</v>
      </c>
      <c r="M19" s="26">
        <f t="shared" si="3"/>
        <v>0</v>
      </c>
      <c r="N19" s="42" t="s">
        <v>212</v>
      </c>
      <c r="O19" s="7"/>
      <c r="Z19" s="47">
        <f t="shared" si="4"/>
        <v>0</v>
      </c>
      <c r="AB19" s="47">
        <f t="shared" si="5"/>
        <v>0</v>
      </c>
      <c r="AC19" s="47">
        <f t="shared" si="6"/>
        <v>0</v>
      </c>
      <c r="AD19" s="47">
        <f t="shared" si="7"/>
        <v>0</v>
      </c>
      <c r="AE19" s="47">
        <f t="shared" si="8"/>
        <v>0</v>
      </c>
      <c r="AF19" s="47">
        <f t="shared" si="9"/>
        <v>0</v>
      </c>
      <c r="AG19" s="47">
        <f t="shared" si="10"/>
        <v>0</v>
      </c>
      <c r="AH19" s="47">
        <f t="shared" si="11"/>
        <v>0</v>
      </c>
      <c r="AI19" s="36" t="s">
        <v>52</v>
      </c>
      <c r="AJ19" s="26">
        <f t="shared" si="12"/>
        <v>0</v>
      </c>
      <c r="AK19" s="26">
        <f t="shared" si="13"/>
        <v>0</v>
      </c>
      <c r="AL19" s="26">
        <f t="shared" si="14"/>
        <v>0</v>
      </c>
      <c r="AN19" s="47">
        <v>21</v>
      </c>
      <c r="AO19" s="47">
        <f t="shared" si="15"/>
        <v>0</v>
      </c>
      <c r="AP19" s="47">
        <f t="shared" si="16"/>
        <v>0</v>
      </c>
      <c r="AQ19" s="48" t="s">
        <v>7</v>
      </c>
      <c r="AV19" s="47">
        <f t="shared" si="17"/>
        <v>0</v>
      </c>
      <c r="AW19" s="47">
        <f t="shared" si="18"/>
        <v>0</v>
      </c>
      <c r="AX19" s="47">
        <f t="shared" si="19"/>
        <v>0</v>
      </c>
      <c r="AY19" s="50" t="s">
        <v>223</v>
      </c>
      <c r="AZ19" s="50" t="s">
        <v>240</v>
      </c>
      <c r="BA19" s="36" t="s">
        <v>245</v>
      </c>
      <c r="BC19" s="47">
        <f t="shared" si="20"/>
        <v>0</v>
      </c>
      <c r="BD19" s="47">
        <f t="shared" si="21"/>
        <v>0</v>
      </c>
      <c r="BE19" s="47">
        <v>0</v>
      </c>
      <c r="BF19" s="47">
        <f t="shared" si="22"/>
        <v>0</v>
      </c>
      <c r="BH19" s="26">
        <f t="shared" si="23"/>
        <v>0</v>
      </c>
      <c r="BI19" s="26">
        <f t="shared" si="24"/>
        <v>0</v>
      </c>
      <c r="BJ19" s="26">
        <f t="shared" si="25"/>
        <v>0</v>
      </c>
      <c r="BK19" s="26" t="s">
        <v>251</v>
      </c>
      <c r="BL19" s="47">
        <v>521</v>
      </c>
    </row>
    <row r="20" spans="1:64" ht="15">
      <c r="A20" s="5" t="s">
        <v>13</v>
      </c>
      <c r="B20" s="16" t="s">
        <v>52</v>
      </c>
      <c r="C20" s="16" t="s">
        <v>62</v>
      </c>
      <c r="D20" s="119" t="s">
        <v>123</v>
      </c>
      <c r="E20" s="120"/>
      <c r="F20" s="16" t="s">
        <v>187</v>
      </c>
      <c r="G20" s="26">
        <v>1</v>
      </c>
      <c r="H20" s="161"/>
      <c r="I20" s="26">
        <f t="shared" si="0"/>
        <v>0</v>
      </c>
      <c r="J20" s="26">
        <f t="shared" si="1"/>
        <v>0</v>
      </c>
      <c r="K20" s="26">
        <f t="shared" si="2"/>
        <v>0</v>
      </c>
      <c r="L20" s="26">
        <v>0</v>
      </c>
      <c r="M20" s="26">
        <f t="shared" si="3"/>
        <v>0</v>
      </c>
      <c r="N20" s="42" t="s">
        <v>212</v>
      </c>
      <c r="O20" s="7"/>
      <c r="Z20" s="47">
        <f t="shared" si="4"/>
        <v>0</v>
      </c>
      <c r="AB20" s="47">
        <f t="shared" si="5"/>
        <v>0</v>
      </c>
      <c r="AC20" s="47">
        <f t="shared" si="6"/>
        <v>0</v>
      </c>
      <c r="AD20" s="47">
        <f t="shared" si="7"/>
        <v>0</v>
      </c>
      <c r="AE20" s="47">
        <f t="shared" si="8"/>
        <v>0</v>
      </c>
      <c r="AF20" s="47">
        <f t="shared" si="9"/>
        <v>0</v>
      </c>
      <c r="AG20" s="47">
        <f t="shared" si="10"/>
        <v>0</v>
      </c>
      <c r="AH20" s="47">
        <f t="shared" si="11"/>
        <v>0</v>
      </c>
      <c r="AI20" s="36" t="s">
        <v>52</v>
      </c>
      <c r="AJ20" s="26">
        <f t="shared" si="12"/>
        <v>0</v>
      </c>
      <c r="AK20" s="26">
        <f t="shared" si="13"/>
        <v>0</v>
      </c>
      <c r="AL20" s="26">
        <f t="shared" si="14"/>
        <v>0</v>
      </c>
      <c r="AN20" s="47">
        <v>21</v>
      </c>
      <c r="AO20" s="47">
        <f t="shared" si="15"/>
        <v>0</v>
      </c>
      <c r="AP20" s="47">
        <f t="shared" si="16"/>
        <v>0</v>
      </c>
      <c r="AQ20" s="48" t="s">
        <v>7</v>
      </c>
      <c r="AV20" s="47">
        <f t="shared" si="17"/>
        <v>0</v>
      </c>
      <c r="AW20" s="47">
        <f t="shared" si="18"/>
        <v>0</v>
      </c>
      <c r="AX20" s="47">
        <f t="shared" si="19"/>
        <v>0</v>
      </c>
      <c r="AY20" s="50" t="s">
        <v>223</v>
      </c>
      <c r="AZ20" s="50" t="s">
        <v>240</v>
      </c>
      <c r="BA20" s="36" t="s">
        <v>245</v>
      </c>
      <c r="BC20" s="47">
        <f t="shared" si="20"/>
        <v>0</v>
      </c>
      <c r="BD20" s="47">
        <f t="shared" si="21"/>
        <v>0</v>
      </c>
      <c r="BE20" s="47">
        <v>0</v>
      </c>
      <c r="BF20" s="47">
        <f t="shared" si="22"/>
        <v>0</v>
      </c>
      <c r="BH20" s="26">
        <f t="shared" si="23"/>
        <v>0</v>
      </c>
      <c r="BI20" s="26">
        <f t="shared" si="24"/>
        <v>0</v>
      </c>
      <c r="BJ20" s="26">
        <f t="shared" si="25"/>
        <v>0</v>
      </c>
      <c r="BK20" s="26" t="s">
        <v>251</v>
      </c>
      <c r="BL20" s="47">
        <v>521</v>
      </c>
    </row>
    <row r="21" spans="1:64" ht="15">
      <c r="A21" s="5" t="s">
        <v>14</v>
      </c>
      <c r="B21" s="16" t="s">
        <v>52</v>
      </c>
      <c r="C21" s="16" t="s">
        <v>63</v>
      </c>
      <c r="D21" s="119" t="s">
        <v>124</v>
      </c>
      <c r="E21" s="120"/>
      <c r="F21" s="16" t="s">
        <v>187</v>
      </c>
      <c r="G21" s="26">
        <v>1</v>
      </c>
      <c r="H21" s="161"/>
      <c r="I21" s="26">
        <f t="shared" si="0"/>
        <v>0</v>
      </c>
      <c r="J21" s="26">
        <f t="shared" si="1"/>
        <v>0</v>
      </c>
      <c r="K21" s="26">
        <f t="shared" si="2"/>
        <v>0</v>
      </c>
      <c r="L21" s="26">
        <v>0</v>
      </c>
      <c r="M21" s="26">
        <f t="shared" si="3"/>
        <v>0</v>
      </c>
      <c r="N21" s="42" t="s">
        <v>212</v>
      </c>
      <c r="O21" s="7"/>
      <c r="Z21" s="47">
        <f t="shared" si="4"/>
        <v>0</v>
      </c>
      <c r="AB21" s="47">
        <f t="shared" si="5"/>
        <v>0</v>
      </c>
      <c r="AC21" s="47">
        <f t="shared" si="6"/>
        <v>0</v>
      </c>
      <c r="AD21" s="47">
        <f t="shared" si="7"/>
        <v>0</v>
      </c>
      <c r="AE21" s="47">
        <f t="shared" si="8"/>
        <v>0</v>
      </c>
      <c r="AF21" s="47">
        <f t="shared" si="9"/>
        <v>0</v>
      </c>
      <c r="AG21" s="47">
        <f t="shared" si="10"/>
        <v>0</v>
      </c>
      <c r="AH21" s="47">
        <f t="shared" si="11"/>
        <v>0</v>
      </c>
      <c r="AI21" s="36" t="s">
        <v>52</v>
      </c>
      <c r="AJ21" s="26">
        <f t="shared" si="12"/>
        <v>0</v>
      </c>
      <c r="AK21" s="26">
        <f t="shared" si="13"/>
        <v>0</v>
      </c>
      <c r="AL21" s="26">
        <f t="shared" si="14"/>
        <v>0</v>
      </c>
      <c r="AN21" s="47">
        <v>21</v>
      </c>
      <c r="AO21" s="47">
        <f t="shared" si="15"/>
        <v>0</v>
      </c>
      <c r="AP21" s="47">
        <f t="shared" si="16"/>
        <v>0</v>
      </c>
      <c r="AQ21" s="48" t="s">
        <v>7</v>
      </c>
      <c r="AV21" s="47">
        <f t="shared" si="17"/>
        <v>0</v>
      </c>
      <c r="AW21" s="47">
        <f t="shared" si="18"/>
        <v>0</v>
      </c>
      <c r="AX21" s="47">
        <f t="shared" si="19"/>
        <v>0</v>
      </c>
      <c r="AY21" s="50" t="s">
        <v>223</v>
      </c>
      <c r="AZ21" s="50" t="s">
        <v>240</v>
      </c>
      <c r="BA21" s="36" t="s">
        <v>245</v>
      </c>
      <c r="BC21" s="47">
        <f t="shared" si="20"/>
        <v>0</v>
      </c>
      <c r="BD21" s="47">
        <f t="shared" si="21"/>
        <v>0</v>
      </c>
      <c r="BE21" s="47">
        <v>0</v>
      </c>
      <c r="BF21" s="47">
        <f t="shared" si="22"/>
        <v>0</v>
      </c>
      <c r="BH21" s="26">
        <f t="shared" si="23"/>
        <v>0</v>
      </c>
      <c r="BI21" s="26">
        <f t="shared" si="24"/>
        <v>0</v>
      </c>
      <c r="BJ21" s="26">
        <f t="shared" si="25"/>
        <v>0</v>
      </c>
      <c r="BK21" s="26" t="s">
        <v>251</v>
      </c>
      <c r="BL21" s="47">
        <v>521</v>
      </c>
    </row>
    <row r="22" spans="1:15" ht="12.75">
      <c r="A22" s="6"/>
      <c r="B22" s="17" t="s">
        <v>53</v>
      </c>
      <c r="C22" s="17"/>
      <c r="D22" s="121" t="s">
        <v>125</v>
      </c>
      <c r="E22" s="122"/>
      <c r="F22" s="24" t="s">
        <v>6</v>
      </c>
      <c r="G22" s="24" t="s">
        <v>6</v>
      </c>
      <c r="H22" s="24" t="s">
        <v>6</v>
      </c>
      <c r="I22" s="54">
        <f>I23+I30+I34+I36+I38+I40+I42+I46+I49+I51+I56+I63+I69+I72+I74+I76</f>
        <v>0</v>
      </c>
      <c r="J22" s="54">
        <f>J23+J30+J34+J36+J38+J40+J42+J46+J49+J51+J56+J63+J69+J72+J74+J76</f>
        <v>0</v>
      </c>
      <c r="K22" s="54">
        <f>K23+K30+K34+K36+K38+K40+K42+K46+K49+K51+K56+K63+K69+K72+K74+K76</f>
        <v>0</v>
      </c>
      <c r="L22" s="37"/>
      <c r="M22" s="54">
        <f>M23+M30+M34+M36+M38+M40+M42+M46+M49+M51+M56+M63+M69+M72+M74+M76</f>
        <v>4759.447918200001</v>
      </c>
      <c r="N22" s="43"/>
      <c r="O22" s="7"/>
    </row>
    <row r="23" spans="1:47" ht="12.75">
      <c r="A23" s="4"/>
      <c r="B23" s="15" t="s">
        <v>53</v>
      </c>
      <c r="C23" s="15" t="s">
        <v>17</v>
      </c>
      <c r="D23" s="117" t="s">
        <v>126</v>
      </c>
      <c r="E23" s="118"/>
      <c r="F23" s="23" t="s">
        <v>6</v>
      </c>
      <c r="G23" s="23" t="s">
        <v>6</v>
      </c>
      <c r="H23" s="23" t="s">
        <v>6</v>
      </c>
      <c r="I23" s="53">
        <f>SUM(I24:I29)</f>
        <v>0</v>
      </c>
      <c r="J23" s="53">
        <f>SUM(J24:J29)</f>
        <v>0</v>
      </c>
      <c r="K23" s="53">
        <f>SUM(K24:K29)</f>
        <v>0</v>
      </c>
      <c r="L23" s="36"/>
      <c r="M23" s="53">
        <f>SUM(M24:M29)</f>
        <v>1448.712</v>
      </c>
      <c r="N23" s="41"/>
      <c r="O23" s="7"/>
      <c r="AI23" s="36" t="s">
        <v>53</v>
      </c>
      <c r="AS23" s="53">
        <f>SUM(AJ24:AJ29)</f>
        <v>0</v>
      </c>
      <c r="AT23" s="53">
        <f>SUM(AK24:AK29)</f>
        <v>0</v>
      </c>
      <c r="AU23" s="53">
        <f>SUM(AL24:AL29)</f>
        <v>0</v>
      </c>
    </row>
    <row r="24" spans="1:64" ht="12.75">
      <c r="A24" s="5" t="s">
        <v>15</v>
      </c>
      <c r="B24" s="16" t="s">
        <v>53</v>
      </c>
      <c r="C24" s="16" t="s">
        <v>64</v>
      </c>
      <c r="D24" s="119" t="s">
        <v>127</v>
      </c>
      <c r="E24" s="120"/>
      <c r="F24" s="16" t="s">
        <v>188</v>
      </c>
      <c r="G24" s="26">
        <v>2922</v>
      </c>
      <c r="H24" s="162"/>
      <c r="I24" s="26">
        <f aca="true" t="shared" si="26" ref="I24:I29">G24*AO24</f>
        <v>0</v>
      </c>
      <c r="J24" s="26">
        <f aca="true" t="shared" si="27" ref="J24:J29">G24*AP24</f>
        <v>0</v>
      </c>
      <c r="K24" s="26">
        <f aca="true" t="shared" si="28" ref="K24:K29">G24*H24</f>
        <v>0</v>
      </c>
      <c r="L24" s="26">
        <v>0.132</v>
      </c>
      <c r="M24" s="26">
        <f aca="true" t="shared" si="29" ref="M24:M29">G24*L24</f>
        <v>385.704</v>
      </c>
      <c r="N24" s="42" t="s">
        <v>213</v>
      </c>
      <c r="O24" s="7"/>
      <c r="Z24" s="47">
        <f aca="true" t="shared" si="30" ref="Z24:Z29">IF(AQ24="5",BJ24,0)</f>
        <v>0</v>
      </c>
      <c r="AB24" s="47">
        <f aca="true" t="shared" si="31" ref="AB24:AB29">IF(AQ24="1",BH24,0)</f>
        <v>0</v>
      </c>
      <c r="AC24" s="47">
        <f aca="true" t="shared" si="32" ref="AC24:AC29">IF(AQ24="1",BI24,0)</f>
        <v>0</v>
      </c>
      <c r="AD24" s="47">
        <f aca="true" t="shared" si="33" ref="AD24:AD29">IF(AQ24="7",BH24,0)</f>
        <v>0</v>
      </c>
      <c r="AE24" s="47">
        <f aca="true" t="shared" si="34" ref="AE24:AE29">IF(AQ24="7",BI24,0)</f>
        <v>0</v>
      </c>
      <c r="AF24" s="47">
        <f aca="true" t="shared" si="35" ref="AF24:AF29">IF(AQ24="2",BH24,0)</f>
        <v>0</v>
      </c>
      <c r="AG24" s="47">
        <f aca="true" t="shared" si="36" ref="AG24:AG29">IF(AQ24="2",BI24,0)</f>
        <v>0</v>
      </c>
      <c r="AH24" s="47">
        <f aca="true" t="shared" si="37" ref="AH24:AH29">IF(AQ24="0",BJ24,0)</f>
        <v>0</v>
      </c>
      <c r="AI24" s="36" t="s">
        <v>53</v>
      </c>
      <c r="AJ24" s="26">
        <f aca="true" t="shared" si="38" ref="AJ24:AJ29">IF(AN24=0,K24,0)</f>
        <v>0</v>
      </c>
      <c r="AK24" s="26">
        <f aca="true" t="shared" si="39" ref="AK24:AK29">IF(AN24=15,K24,0)</f>
        <v>0</v>
      </c>
      <c r="AL24" s="26">
        <f aca="true" t="shared" si="40" ref="AL24:AL29">IF(AN24=21,K24,0)</f>
        <v>0</v>
      </c>
      <c r="AN24" s="47">
        <v>21</v>
      </c>
      <c r="AO24" s="47">
        <f aca="true" t="shared" si="41" ref="AO24:AO29">H24*0</f>
        <v>0</v>
      </c>
      <c r="AP24" s="47">
        <f aca="true" t="shared" si="42" ref="AP24:AP29">H24*(1-0)</f>
        <v>0</v>
      </c>
      <c r="AQ24" s="48" t="s">
        <v>7</v>
      </c>
      <c r="AV24" s="47">
        <f aca="true" t="shared" si="43" ref="AV24:AV29">AW24+AX24</f>
        <v>0</v>
      </c>
      <c r="AW24" s="47">
        <f aca="true" t="shared" si="44" ref="AW24:AW29">G24*AO24</f>
        <v>0</v>
      </c>
      <c r="AX24" s="47">
        <f aca="true" t="shared" si="45" ref="AX24:AX29">G24*AP24</f>
        <v>0</v>
      </c>
      <c r="AY24" s="50" t="s">
        <v>224</v>
      </c>
      <c r="AZ24" s="50" t="s">
        <v>241</v>
      </c>
      <c r="BA24" s="36" t="s">
        <v>246</v>
      </c>
      <c r="BC24" s="47">
        <f aca="true" t="shared" si="46" ref="BC24:BC29">AW24+AX24</f>
        <v>0</v>
      </c>
      <c r="BD24" s="47">
        <f aca="true" t="shared" si="47" ref="BD24:BD29">H24/(100-BE24)*100</f>
        <v>0</v>
      </c>
      <c r="BE24" s="47">
        <v>0</v>
      </c>
      <c r="BF24" s="47">
        <f aca="true" t="shared" si="48" ref="BF24:BF29">M24</f>
        <v>385.704</v>
      </c>
      <c r="BH24" s="26">
        <f aca="true" t="shared" si="49" ref="BH24:BH29">G24*AO24</f>
        <v>0</v>
      </c>
      <c r="BI24" s="26">
        <f aca="true" t="shared" si="50" ref="BI24:BI29">G24*AP24</f>
        <v>0</v>
      </c>
      <c r="BJ24" s="26">
        <f aca="true" t="shared" si="51" ref="BJ24:BJ29">G24*H24</f>
        <v>0</v>
      </c>
      <c r="BK24" s="26" t="s">
        <v>251</v>
      </c>
      <c r="BL24" s="47">
        <v>11</v>
      </c>
    </row>
    <row r="25" spans="1:64" ht="12.75">
      <c r="A25" s="5" t="s">
        <v>16</v>
      </c>
      <c r="B25" s="16" t="s">
        <v>53</v>
      </c>
      <c r="C25" s="16" t="s">
        <v>65</v>
      </c>
      <c r="D25" s="119" t="s">
        <v>128</v>
      </c>
      <c r="E25" s="120"/>
      <c r="F25" s="16" t="s">
        <v>189</v>
      </c>
      <c r="G25" s="26">
        <v>385.704</v>
      </c>
      <c r="H25" s="162"/>
      <c r="I25" s="26">
        <f t="shared" si="26"/>
        <v>0</v>
      </c>
      <c r="J25" s="26">
        <f t="shared" si="27"/>
        <v>0</v>
      </c>
      <c r="K25" s="26">
        <f t="shared" si="28"/>
        <v>0</v>
      </c>
      <c r="L25" s="26">
        <v>0</v>
      </c>
      <c r="M25" s="26">
        <f t="shared" si="29"/>
        <v>0</v>
      </c>
      <c r="N25" s="42" t="s">
        <v>213</v>
      </c>
      <c r="O25" s="7"/>
      <c r="Z25" s="47">
        <f t="shared" si="30"/>
        <v>0</v>
      </c>
      <c r="AB25" s="47">
        <f t="shared" si="31"/>
        <v>0</v>
      </c>
      <c r="AC25" s="47">
        <f t="shared" si="32"/>
        <v>0</v>
      </c>
      <c r="AD25" s="47">
        <f t="shared" si="33"/>
        <v>0</v>
      </c>
      <c r="AE25" s="47">
        <f t="shared" si="34"/>
        <v>0</v>
      </c>
      <c r="AF25" s="47">
        <f t="shared" si="35"/>
        <v>0</v>
      </c>
      <c r="AG25" s="47">
        <f t="shared" si="36"/>
        <v>0</v>
      </c>
      <c r="AH25" s="47">
        <f t="shared" si="37"/>
        <v>0</v>
      </c>
      <c r="AI25" s="36" t="s">
        <v>53</v>
      </c>
      <c r="AJ25" s="26">
        <f t="shared" si="38"/>
        <v>0</v>
      </c>
      <c r="AK25" s="26">
        <f t="shared" si="39"/>
        <v>0</v>
      </c>
      <c r="AL25" s="26">
        <f t="shared" si="40"/>
        <v>0</v>
      </c>
      <c r="AN25" s="47">
        <v>21</v>
      </c>
      <c r="AO25" s="47">
        <f t="shared" si="41"/>
        <v>0</v>
      </c>
      <c r="AP25" s="47">
        <f t="shared" si="42"/>
        <v>0</v>
      </c>
      <c r="AQ25" s="48" t="s">
        <v>11</v>
      </c>
      <c r="AV25" s="47">
        <f t="shared" si="43"/>
        <v>0</v>
      </c>
      <c r="AW25" s="47">
        <f t="shared" si="44"/>
        <v>0</v>
      </c>
      <c r="AX25" s="47">
        <f t="shared" si="45"/>
        <v>0</v>
      </c>
      <c r="AY25" s="50" t="s">
        <v>224</v>
      </c>
      <c r="AZ25" s="50" t="s">
        <v>241</v>
      </c>
      <c r="BA25" s="36" t="s">
        <v>246</v>
      </c>
      <c r="BC25" s="47">
        <f t="shared" si="46"/>
        <v>0</v>
      </c>
      <c r="BD25" s="47">
        <f t="shared" si="47"/>
        <v>0</v>
      </c>
      <c r="BE25" s="47">
        <v>0</v>
      </c>
      <c r="BF25" s="47">
        <f t="shared" si="48"/>
        <v>0</v>
      </c>
      <c r="BH25" s="26">
        <f t="shared" si="49"/>
        <v>0</v>
      </c>
      <c r="BI25" s="26">
        <f t="shared" si="50"/>
        <v>0</v>
      </c>
      <c r="BJ25" s="26">
        <f t="shared" si="51"/>
        <v>0</v>
      </c>
      <c r="BK25" s="26" t="s">
        <v>251</v>
      </c>
      <c r="BL25" s="47">
        <v>11</v>
      </c>
    </row>
    <row r="26" spans="1:64" ht="12.75">
      <c r="A26" s="5" t="s">
        <v>17</v>
      </c>
      <c r="B26" s="16" t="s">
        <v>53</v>
      </c>
      <c r="C26" s="16" t="s">
        <v>66</v>
      </c>
      <c r="D26" s="119" t="s">
        <v>129</v>
      </c>
      <c r="E26" s="120"/>
      <c r="F26" s="16" t="s">
        <v>190</v>
      </c>
      <c r="G26" s="26">
        <v>1080</v>
      </c>
      <c r="H26" s="162"/>
      <c r="I26" s="26">
        <f t="shared" si="26"/>
        <v>0</v>
      </c>
      <c r="J26" s="26">
        <f t="shared" si="27"/>
        <v>0</v>
      </c>
      <c r="K26" s="26">
        <f t="shared" si="28"/>
        <v>0</v>
      </c>
      <c r="L26" s="26">
        <v>0.27</v>
      </c>
      <c r="M26" s="26">
        <f t="shared" si="29"/>
        <v>291.6</v>
      </c>
      <c r="N26" s="42" t="s">
        <v>213</v>
      </c>
      <c r="O26" s="7"/>
      <c r="Z26" s="47">
        <f t="shared" si="30"/>
        <v>0</v>
      </c>
      <c r="AB26" s="47">
        <f t="shared" si="31"/>
        <v>0</v>
      </c>
      <c r="AC26" s="47">
        <f t="shared" si="32"/>
        <v>0</v>
      </c>
      <c r="AD26" s="47">
        <f t="shared" si="33"/>
        <v>0</v>
      </c>
      <c r="AE26" s="47">
        <f t="shared" si="34"/>
        <v>0</v>
      </c>
      <c r="AF26" s="47">
        <f t="shared" si="35"/>
        <v>0</v>
      </c>
      <c r="AG26" s="47">
        <f t="shared" si="36"/>
        <v>0</v>
      </c>
      <c r="AH26" s="47">
        <f t="shared" si="37"/>
        <v>0</v>
      </c>
      <c r="AI26" s="36" t="s">
        <v>53</v>
      </c>
      <c r="AJ26" s="26">
        <f t="shared" si="38"/>
        <v>0</v>
      </c>
      <c r="AK26" s="26">
        <f t="shared" si="39"/>
        <v>0</v>
      </c>
      <c r="AL26" s="26">
        <f t="shared" si="40"/>
        <v>0</v>
      </c>
      <c r="AN26" s="47">
        <v>21</v>
      </c>
      <c r="AO26" s="47">
        <f t="shared" si="41"/>
        <v>0</v>
      </c>
      <c r="AP26" s="47">
        <f t="shared" si="42"/>
        <v>0</v>
      </c>
      <c r="AQ26" s="48" t="s">
        <v>7</v>
      </c>
      <c r="AV26" s="47">
        <f t="shared" si="43"/>
        <v>0</v>
      </c>
      <c r="AW26" s="47">
        <f t="shared" si="44"/>
        <v>0</v>
      </c>
      <c r="AX26" s="47">
        <f t="shared" si="45"/>
        <v>0</v>
      </c>
      <c r="AY26" s="50" t="s">
        <v>224</v>
      </c>
      <c r="AZ26" s="50" t="s">
        <v>241</v>
      </c>
      <c r="BA26" s="36" t="s">
        <v>246</v>
      </c>
      <c r="BC26" s="47">
        <f t="shared" si="46"/>
        <v>0</v>
      </c>
      <c r="BD26" s="47">
        <f t="shared" si="47"/>
        <v>0</v>
      </c>
      <c r="BE26" s="47">
        <v>0</v>
      </c>
      <c r="BF26" s="47">
        <f t="shared" si="48"/>
        <v>291.6</v>
      </c>
      <c r="BH26" s="26">
        <f t="shared" si="49"/>
        <v>0</v>
      </c>
      <c r="BI26" s="26">
        <f t="shared" si="50"/>
        <v>0</v>
      </c>
      <c r="BJ26" s="26">
        <f t="shared" si="51"/>
        <v>0</v>
      </c>
      <c r="BK26" s="26" t="s">
        <v>251</v>
      </c>
      <c r="BL26" s="47">
        <v>11</v>
      </c>
    </row>
    <row r="27" spans="1:64" ht="12.75">
      <c r="A27" s="5" t="s">
        <v>18</v>
      </c>
      <c r="B27" s="16" t="s">
        <v>53</v>
      </c>
      <c r="C27" s="16" t="s">
        <v>67</v>
      </c>
      <c r="D27" s="119" t="s">
        <v>130</v>
      </c>
      <c r="E27" s="120"/>
      <c r="F27" s="16" t="s">
        <v>189</v>
      </c>
      <c r="G27" s="26">
        <v>677.304</v>
      </c>
      <c r="H27" s="162"/>
      <c r="I27" s="26">
        <f t="shared" si="26"/>
        <v>0</v>
      </c>
      <c r="J27" s="26">
        <f t="shared" si="27"/>
        <v>0</v>
      </c>
      <c r="K27" s="26">
        <f t="shared" si="28"/>
        <v>0</v>
      </c>
      <c r="L27" s="26">
        <v>0</v>
      </c>
      <c r="M27" s="26">
        <f t="shared" si="29"/>
        <v>0</v>
      </c>
      <c r="N27" s="42" t="s">
        <v>213</v>
      </c>
      <c r="O27" s="7"/>
      <c r="Z27" s="47">
        <f t="shared" si="30"/>
        <v>0</v>
      </c>
      <c r="AB27" s="47">
        <f t="shared" si="31"/>
        <v>0</v>
      </c>
      <c r="AC27" s="47">
        <f t="shared" si="32"/>
        <v>0</v>
      </c>
      <c r="AD27" s="47">
        <f t="shared" si="33"/>
        <v>0</v>
      </c>
      <c r="AE27" s="47">
        <f t="shared" si="34"/>
        <v>0</v>
      </c>
      <c r="AF27" s="47">
        <f t="shared" si="35"/>
        <v>0</v>
      </c>
      <c r="AG27" s="47">
        <f t="shared" si="36"/>
        <v>0</v>
      </c>
      <c r="AH27" s="47">
        <f t="shared" si="37"/>
        <v>0</v>
      </c>
      <c r="AI27" s="36" t="s">
        <v>53</v>
      </c>
      <c r="AJ27" s="26">
        <f t="shared" si="38"/>
        <v>0</v>
      </c>
      <c r="AK27" s="26">
        <f t="shared" si="39"/>
        <v>0</v>
      </c>
      <c r="AL27" s="26">
        <f t="shared" si="40"/>
        <v>0</v>
      </c>
      <c r="AN27" s="47">
        <v>21</v>
      </c>
      <c r="AO27" s="47">
        <f t="shared" si="41"/>
        <v>0</v>
      </c>
      <c r="AP27" s="47">
        <f t="shared" si="42"/>
        <v>0</v>
      </c>
      <c r="AQ27" s="48" t="s">
        <v>11</v>
      </c>
      <c r="AV27" s="47">
        <f t="shared" si="43"/>
        <v>0</v>
      </c>
      <c r="AW27" s="47">
        <f t="shared" si="44"/>
        <v>0</v>
      </c>
      <c r="AX27" s="47">
        <f t="shared" si="45"/>
        <v>0</v>
      </c>
      <c r="AY27" s="50" t="s">
        <v>224</v>
      </c>
      <c r="AZ27" s="50" t="s">
        <v>241</v>
      </c>
      <c r="BA27" s="36" t="s">
        <v>246</v>
      </c>
      <c r="BC27" s="47">
        <f t="shared" si="46"/>
        <v>0</v>
      </c>
      <c r="BD27" s="47">
        <f t="shared" si="47"/>
        <v>0</v>
      </c>
      <c r="BE27" s="47">
        <v>0</v>
      </c>
      <c r="BF27" s="47">
        <f t="shared" si="48"/>
        <v>0</v>
      </c>
      <c r="BH27" s="26">
        <f t="shared" si="49"/>
        <v>0</v>
      </c>
      <c r="BI27" s="26">
        <f t="shared" si="50"/>
        <v>0</v>
      </c>
      <c r="BJ27" s="26">
        <f t="shared" si="51"/>
        <v>0</v>
      </c>
      <c r="BK27" s="26" t="s">
        <v>251</v>
      </c>
      <c r="BL27" s="47">
        <v>11</v>
      </c>
    </row>
    <row r="28" spans="1:64" ht="12.75">
      <c r="A28" s="5" t="s">
        <v>19</v>
      </c>
      <c r="B28" s="16" t="s">
        <v>53</v>
      </c>
      <c r="C28" s="16" t="s">
        <v>68</v>
      </c>
      <c r="D28" s="119" t="s">
        <v>131</v>
      </c>
      <c r="E28" s="120"/>
      <c r="F28" s="16" t="s">
        <v>189</v>
      </c>
      <c r="G28" s="26">
        <v>291</v>
      </c>
      <c r="H28" s="162"/>
      <c r="I28" s="26">
        <f t="shared" si="26"/>
        <v>0</v>
      </c>
      <c r="J28" s="26">
        <f t="shared" si="27"/>
        <v>0</v>
      </c>
      <c r="K28" s="26">
        <f t="shared" si="28"/>
        <v>0</v>
      </c>
      <c r="L28" s="26">
        <v>0</v>
      </c>
      <c r="M28" s="26">
        <f t="shared" si="29"/>
        <v>0</v>
      </c>
      <c r="N28" s="42" t="s">
        <v>212</v>
      </c>
      <c r="O28" s="7"/>
      <c r="Z28" s="47">
        <f t="shared" si="30"/>
        <v>0</v>
      </c>
      <c r="AB28" s="47">
        <f t="shared" si="31"/>
        <v>0</v>
      </c>
      <c r="AC28" s="47">
        <f t="shared" si="32"/>
        <v>0</v>
      </c>
      <c r="AD28" s="47">
        <f t="shared" si="33"/>
        <v>0</v>
      </c>
      <c r="AE28" s="47">
        <f t="shared" si="34"/>
        <v>0</v>
      </c>
      <c r="AF28" s="47">
        <f t="shared" si="35"/>
        <v>0</v>
      </c>
      <c r="AG28" s="47">
        <f t="shared" si="36"/>
        <v>0</v>
      </c>
      <c r="AH28" s="47">
        <f t="shared" si="37"/>
        <v>0</v>
      </c>
      <c r="AI28" s="36" t="s">
        <v>53</v>
      </c>
      <c r="AJ28" s="26">
        <f t="shared" si="38"/>
        <v>0</v>
      </c>
      <c r="AK28" s="26">
        <f t="shared" si="39"/>
        <v>0</v>
      </c>
      <c r="AL28" s="26">
        <f t="shared" si="40"/>
        <v>0</v>
      </c>
      <c r="AN28" s="47">
        <v>21</v>
      </c>
      <c r="AO28" s="47">
        <f t="shared" si="41"/>
        <v>0</v>
      </c>
      <c r="AP28" s="47">
        <f t="shared" si="42"/>
        <v>0</v>
      </c>
      <c r="AQ28" s="48" t="s">
        <v>11</v>
      </c>
      <c r="AV28" s="47">
        <f t="shared" si="43"/>
        <v>0</v>
      </c>
      <c r="AW28" s="47">
        <f t="shared" si="44"/>
        <v>0</v>
      </c>
      <c r="AX28" s="47">
        <f t="shared" si="45"/>
        <v>0</v>
      </c>
      <c r="AY28" s="50" t="s">
        <v>224</v>
      </c>
      <c r="AZ28" s="50" t="s">
        <v>241</v>
      </c>
      <c r="BA28" s="36" t="s">
        <v>246</v>
      </c>
      <c r="BC28" s="47">
        <f t="shared" si="46"/>
        <v>0</v>
      </c>
      <c r="BD28" s="47">
        <f t="shared" si="47"/>
        <v>0</v>
      </c>
      <c r="BE28" s="47">
        <v>0</v>
      </c>
      <c r="BF28" s="47">
        <f t="shared" si="48"/>
        <v>0</v>
      </c>
      <c r="BH28" s="26">
        <f t="shared" si="49"/>
        <v>0</v>
      </c>
      <c r="BI28" s="26">
        <f t="shared" si="50"/>
        <v>0</v>
      </c>
      <c r="BJ28" s="26">
        <f t="shared" si="51"/>
        <v>0</v>
      </c>
      <c r="BK28" s="26" t="s">
        <v>251</v>
      </c>
      <c r="BL28" s="47">
        <v>11</v>
      </c>
    </row>
    <row r="29" spans="1:64" ht="12.75">
      <c r="A29" s="5" t="s">
        <v>20</v>
      </c>
      <c r="B29" s="16" t="s">
        <v>53</v>
      </c>
      <c r="C29" s="16" t="s">
        <v>69</v>
      </c>
      <c r="D29" s="119" t="s">
        <v>132</v>
      </c>
      <c r="E29" s="120"/>
      <c r="F29" s="16" t="s">
        <v>188</v>
      </c>
      <c r="G29" s="26">
        <v>2922</v>
      </c>
      <c r="H29" s="162"/>
      <c r="I29" s="26">
        <f t="shared" si="26"/>
        <v>0</v>
      </c>
      <c r="J29" s="26">
        <f t="shared" si="27"/>
        <v>0</v>
      </c>
      <c r="K29" s="26">
        <f t="shared" si="28"/>
        <v>0</v>
      </c>
      <c r="L29" s="26">
        <v>0.264</v>
      </c>
      <c r="M29" s="26">
        <f t="shared" si="29"/>
        <v>771.408</v>
      </c>
      <c r="N29" s="42" t="s">
        <v>213</v>
      </c>
      <c r="O29" s="7"/>
      <c r="Z29" s="47">
        <f t="shared" si="30"/>
        <v>0</v>
      </c>
      <c r="AB29" s="47">
        <f t="shared" si="31"/>
        <v>0</v>
      </c>
      <c r="AC29" s="47">
        <f t="shared" si="32"/>
        <v>0</v>
      </c>
      <c r="AD29" s="47">
        <f t="shared" si="33"/>
        <v>0</v>
      </c>
      <c r="AE29" s="47">
        <f t="shared" si="34"/>
        <v>0</v>
      </c>
      <c r="AF29" s="47">
        <f t="shared" si="35"/>
        <v>0</v>
      </c>
      <c r="AG29" s="47">
        <f t="shared" si="36"/>
        <v>0</v>
      </c>
      <c r="AH29" s="47">
        <f t="shared" si="37"/>
        <v>0</v>
      </c>
      <c r="AI29" s="36" t="s">
        <v>53</v>
      </c>
      <c r="AJ29" s="26">
        <f t="shared" si="38"/>
        <v>0</v>
      </c>
      <c r="AK29" s="26">
        <f t="shared" si="39"/>
        <v>0</v>
      </c>
      <c r="AL29" s="26">
        <f t="shared" si="40"/>
        <v>0</v>
      </c>
      <c r="AN29" s="47">
        <v>21</v>
      </c>
      <c r="AO29" s="47">
        <f t="shared" si="41"/>
        <v>0</v>
      </c>
      <c r="AP29" s="47">
        <f t="shared" si="42"/>
        <v>0</v>
      </c>
      <c r="AQ29" s="48" t="s">
        <v>7</v>
      </c>
      <c r="AV29" s="47">
        <f t="shared" si="43"/>
        <v>0</v>
      </c>
      <c r="AW29" s="47">
        <f t="shared" si="44"/>
        <v>0</v>
      </c>
      <c r="AX29" s="47">
        <f t="shared" si="45"/>
        <v>0</v>
      </c>
      <c r="AY29" s="50" t="s">
        <v>224</v>
      </c>
      <c r="AZ29" s="50" t="s">
        <v>241</v>
      </c>
      <c r="BA29" s="36" t="s">
        <v>246</v>
      </c>
      <c r="BC29" s="47">
        <f t="shared" si="46"/>
        <v>0</v>
      </c>
      <c r="BD29" s="47">
        <f t="shared" si="47"/>
        <v>0</v>
      </c>
      <c r="BE29" s="47">
        <v>0</v>
      </c>
      <c r="BF29" s="47">
        <f t="shared" si="48"/>
        <v>771.408</v>
      </c>
      <c r="BH29" s="26">
        <f t="shared" si="49"/>
        <v>0</v>
      </c>
      <c r="BI29" s="26">
        <f t="shared" si="50"/>
        <v>0</v>
      </c>
      <c r="BJ29" s="26">
        <f t="shared" si="51"/>
        <v>0</v>
      </c>
      <c r="BK29" s="26" t="s">
        <v>251</v>
      </c>
      <c r="BL29" s="47">
        <v>11</v>
      </c>
    </row>
    <row r="30" spans="1:47" ht="12.75">
      <c r="A30" s="4"/>
      <c r="B30" s="15" t="s">
        <v>53</v>
      </c>
      <c r="C30" s="15" t="s">
        <v>18</v>
      </c>
      <c r="D30" s="117" t="s">
        <v>133</v>
      </c>
      <c r="E30" s="118"/>
      <c r="F30" s="23" t="s">
        <v>6</v>
      </c>
      <c r="G30" s="23" t="s">
        <v>6</v>
      </c>
      <c r="H30" s="23" t="s">
        <v>6</v>
      </c>
      <c r="I30" s="53">
        <f>SUM(I31:I33)</f>
        <v>0</v>
      </c>
      <c r="J30" s="53">
        <f>SUM(J31:J33)</f>
        <v>0</v>
      </c>
      <c r="K30" s="53">
        <f>SUM(K31:K33)</f>
        <v>0</v>
      </c>
      <c r="L30" s="36"/>
      <c r="M30" s="53">
        <f>SUM(M31:M33)</f>
        <v>0</v>
      </c>
      <c r="N30" s="41"/>
      <c r="O30" s="7"/>
      <c r="AI30" s="36" t="s">
        <v>53</v>
      </c>
      <c r="AS30" s="53">
        <f>SUM(AJ31:AJ33)</f>
        <v>0</v>
      </c>
      <c r="AT30" s="53">
        <f>SUM(AK31:AK33)</f>
        <v>0</v>
      </c>
      <c r="AU30" s="53">
        <f>SUM(AL31:AL33)</f>
        <v>0</v>
      </c>
    </row>
    <row r="31" spans="1:64" ht="12.75">
      <c r="A31" s="5" t="s">
        <v>21</v>
      </c>
      <c r="B31" s="16" t="s">
        <v>53</v>
      </c>
      <c r="C31" s="16" t="s">
        <v>70</v>
      </c>
      <c r="D31" s="119" t="s">
        <v>134</v>
      </c>
      <c r="E31" s="120"/>
      <c r="F31" s="16" t="s">
        <v>191</v>
      </c>
      <c r="G31" s="26">
        <v>788.94</v>
      </c>
      <c r="H31" s="162"/>
      <c r="I31" s="26">
        <f>G31*AO31</f>
        <v>0</v>
      </c>
      <c r="J31" s="26">
        <f>G31*AP31</f>
        <v>0</v>
      </c>
      <c r="K31" s="26">
        <f>G31*H31</f>
        <v>0</v>
      </c>
      <c r="L31" s="26">
        <v>0</v>
      </c>
      <c r="M31" s="26">
        <f>G31*L31</f>
        <v>0</v>
      </c>
      <c r="N31" s="42" t="s">
        <v>213</v>
      </c>
      <c r="O31" s="7"/>
      <c r="Z31" s="47">
        <f>IF(AQ31="5",BJ31,0)</f>
        <v>0</v>
      </c>
      <c r="AB31" s="47">
        <f>IF(AQ31="1",BH31,0)</f>
        <v>0</v>
      </c>
      <c r="AC31" s="47">
        <f>IF(AQ31="1",BI31,0)</f>
        <v>0</v>
      </c>
      <c r="AD31" s="47">
        <f>IF(AQ31="7",BH31,0)</f>
        <v>0</v>
      </c>
      <c r="AE31" s="47">
        <f>IF(AQ31="7",BI31,0)</f>
        <v>0</v>
      </c>
      <c r="AF31" s="47">
        <f>IF(AQ31="2",BH31,0)</f>
        <v>0</v>
      </c>
      <c r="AG31" s="47">
        <f>IF(AQ31="2",BI31,0)</f>
        <v>0</v>
      </c>
      <c r="AH31" s="47">
        <f>IF(AQ31="0",BJ31,0)</f>
        <v>0</v>
      </c>
      <c r="AI31" s="36" t="s">
        <v>53</v>
      </c>
      <c r="AJ31" s="26">
        <f>IF(AN31=0,K31,0)</f>
        <v>0</v>
      </c>
      <c r="AK31" s="26">
        <f>IF(AN31=15,K31,0)</f>
        <v>0</v>
      </c>
      <c r="AL31" s="26">
        <f>IF(AN31=21,K31,0)</f>
        <v>0</v>
      </c>
      <c r="AN31" s="47">
        <v>21</v>
      </c>
      <c r="AO31" s="47">
        <f>H31*0</f>
        <v>0</v>
      </c>
      <c r="AP31" s="47">
        <f>H31*(1-0)</f>
        <v>0</v>
      </c>
      <c r="AQ31" s="48" t="s">
        <v>7</v>
      </c>
      <c r="AV31" s="47">
        <f>AW31+AX31</f>
        <v>0</v>
      </c>
      <c r="AW31" s="47">
        <f>G31*AO31</f>
        <v>0</v>
      </c>
      <c r="AX31" s="47">
        <f>G31*AP31</f>
        <v>0</v>
      </c>
      <c r="AY31" s="50" t="s">
        <v>225</v>
      </c>
      <c r="AZ31" s="50" t="s">
        <v>241</v>
      </c>
      <c r="BA31" s="36" t="s">
        <v>246</v>
      </c>
      <c r="BC31" s="47">
        <f>AW31+AX31</f>
        <v>0</v>
      </c>
      <c r="BD31" s="47">
        <f>H31/(100-BE31)*100</f>
        <v>0</v>
      </c>
      <c r="BE31" s="47">
        <v>0</v>
      </c>
      <c r="BF31" s="47">
        <f>M31</f>
        <v>0</v>
      </c>
      <c r="BH31" s="26">
        <f>G31*AO31</f>
        <v>0</v>
      </c>
      <c r="BI31" s="26">
        <f>G31*AP31</f>
        <v>0</v>
      </c>
      <c r="BJ31" s="26">
        <f>G31*H31</f>
        <v>0</v>
      </c>
      <c r="BK31" s="26" t="s">
        <v>251</v>
      </c>
      <c r="BL31" s="47">
        <v>12</v>
      </c>
    </row>
    <row r="32" spans="1:64" ht="12.75">
      <c r="A32" s="5" t="s">
        <v>22</v>
      </c>
      <c r="B32" s="16" t="s">
        <v>53</v>
      </c>
      <c r="C32" s="16" t="s">
        <v>71</v>
      </c>
      <c r="D32" s="119" t="s">
        <v>135</v>
      </c>
      <c r="E32" s="120"/>
      <c r="F32" s="16" t="s">
        <v>191</v>
      </c>
      <c r="G32" s="26">
        <v>197.235</v>
      </c>
      <c r="H32" s="162"/>
      <c r="I32" s="26">
        <f>G32*AO32</f>
        <v>0</v>
      </c>
      <c r="J32" s="26">
        <f>G32*AP32</f>
        <v>0</v>
      </c>
      <c r="K32" s="26">
        <f>G32*H32</f>
        <v>0</v>
      </c>
      <c r="L32" s="26">
        <v>0</v>
      </c>
      <c r="M32" s="26">
        <f>G32*L32</f>
        <v>0</v>
      </c>
      <c r="N32" s="42" t="s">
        <v>213</v>
      </c>
      <c r="O32" s="7"/>
      <c r="Z32" s="47">
        <f>IF(AQ32="5",BJ32,0)</f>
        <v>0</v>
      </c>
      <c r="AB32" s="47">
        <f>IF(AQ32="1",BH32,0)</f>
        <v>0</v>
      </c>
      <c r="AC32" s="47">
        <f>IF(AQ32="1",BI32,0)</f>
        <v>0</v>
      </c>
      <c r="AD32" s="47">
        <f>IF(AQ32="7",BH32,0)</f>
        <v>0</v>
      </c>
      <c r="AE32" s="47">
        <f>IF(AQ32="7",BI32,0)</f>
        <v>0</v>
      </c>
      <c r="AF32" s="47">
        <f>IF(AQ32="2",BH32,0)</f>
        <v>0</v>
      </c>
      <c r="AG32" s="47">
        <f>IF(AQ32="2",BI32,0)</f>
        <v>0</v>
      </c>
      <c r="AH32" s="47">
        <f>IF(AQ32="0",BJ32,0)</f>
        <v>0</v>
      </c>
      <c r="AI32" s="36" t="s">
        <v>53</v>
      </c>
      <c r="AJ32" s="26">
        <f>IF(AN32=0,K32,0)</f>
        <v>0</v>
      </c>
      <c r="AK32" s="26">
        <f>IF(AN32=15,K32,0)</f>
        <v>0</v>
      </c>
      <c r="AL32" s="26">
        <f>IF(AN32=21,K32,0)</f>
        <v>0</v>
      </c>
      <c r="AN32" s="47">
        <v>21</v>
      </c>
      <c r="AO32" s="47">
        <f>H32*0</f>
        <v>0</v>
      </c>
      <c r="AP32" s="47">
        <f>H32*(1-0)</f>
        <v>0</v>
      </c>
      <c r="AQ32" s="48" t="s">
        <v>7</v>
      </c>
      <c r="AV32" s="47">
        <f>AW32+AX32</f>
        <v>0</v>
      </c>
      <c r="AW32" s="47">
        <f>G32*AO32</f>
        <v>0</v>
      </c>
      <c r="AX32" s="47">
        <f>G32*AP32</f>
        <v>0</v>
      </c>
      <c r="AY32" s="50" t="s">
        <v>225</v>
      </c>
      <c r="AZ32" s="50" t="s">
        <v>241</v>
      </c>
      <c r="BA32" s="36" t="s">
        <v>246</v>
      </c>
      <c r="BC32" s="47">
        <f>AW32+AX32</f>
        <v>0</v>
      </c>
      <c r="BD32" s="47">
        <f>H32/(100-BE32)*100</f>
        <v>0</v>
      </c>
      <c r="BE32" s="47">
        <v>0</v>
      </c>
      <c r="BF32" s="47">
        <f>M32</f>
        <v>0</v>
      </c>
      <c r="BH32" s="26">
        <f>G32*AO32</f>
        <v>0</v>
      </c>
      <c r="BI32" s="26">
        <f>G32*AP32</f>
        <v>0</v>
      </c>
      <c r="BJ32" s="26">
        <f>G32*H32</f>
        <v>0</v>
      </c>
      <c r="BK32" s="26" t="s">
        <v>251</v>
      </c>
      <c r="BL32" s="47">
        <v>12</v>
      </c>
    </row>
    <row r="33" spans="1:64" ht="12.75">
      <c r="A33" s="5" t="s">
        <v>23</v>
      </c>
      <c r="B33" s="16" t="s">
        <v>53</v>
      </c>
      <c r="C33" s="16" t="s">
        <v>72</v>
      </c>
      <c r="D33" s="119" t="s">
        <v>136</v>
      </c>
      <c r="E33" s="120"/>
      <c r="F33" s="16" t="s">
        <v>191</v>
      </c>
      <c r="G33" s="26">
        <v>65</v>
      </c>
      <c r="H33" s="162"/>
      <c r="I33" s="26">
        <f>G33*AO33</f>
        <v>0</v>
      </c>
      <c r="J33" s="26">
        <f>G33*AP33</f>
        <v>0</v>
      </c>
      <c r="K33" s="26">
        <f>G33*H33</f>
        <v>0</v>
      </c>
      <c r="L33" s="26">
        <v>0</v>
      </c>
      <c r="M33" s="26">
        <f>G33*L33</f>
        <v>0</v>
      </c>
      <c r="N33" s="42" t="s">
        <v>213</v>
      </c>
      <c r="O33" s="7"/>
      <c r="Z33" s="47">
        <f>IF(AQ33="5",BJ33,0)</f>
        <v>0</v>
      </c>
      <c r="AB33" s="47">
        <f>IF(AQ33="1",BH33,0)</f>
        <v>0</v>
      </c>
      <c r="AC33" s="47">
        <f>IF(AQ33="1",BI33,0)</f>
        <v>0</v>
      </c>
      <c r="AD33" s="47">
        <f>IF(AQ33="7",BH33,0)</f>
        <v>0</v>
      </c>
      <c r="AE33" s="47">
        <f>IF(AQ33="7",BI33,0)</f>
        <v>0</v>
      </c>
      <c r="AF33" s="47">
        <f>IF(AQ33="2",BH33,0)</f>
        <v>0</v>
      </c>
      <c r="AG33" s="47">
        <f>IF(AQ33="2",BI33,0)</f>
        <v>0</v>
      </c>
      <c r="AH33" s="47">
        <f>IF(AQ33="0",BJ33,0)</f>
        <v>0</v>
      </c>
      <c r="AI33" s="36" t="s">
        <v>53</v>
      </c>
      <c r="AJ33" s="26">
        <f>IF(AN33=0,K33,0)</f>
        <v>0</v>
      </c>
      <c r="AK33" s="26">
        <f>IF(AN33=15,K33,0)</f>
        <v>0</v>
      </c>
      <c r="AL33" s="26">
        <f>IF(AN33=21,K33,0)</f>
        <v>0</v>
      </c>
      <c r="AN33" s="47">
        <v>21</v>
      </c>
      <c r="AO33" s="47">
        <f>H33*0</f>
        <v>0</v>
      </c>
      <c r="AP33" s="47">
        <f>H33*(1-0)</f>
        <v>0</v>
      </c>
      <c r="AQ33" s="48" t="s">
        <v>7</v>
      </c>
      <c r="AV33" s="47">
        <f>AW33+AX33</f>
        <v>0</v>
      </c>
      <c r="AW33" s="47">
        <f>G33*AO33</f>
        <v>0</v>
      </c>
      <c r="AX33" s="47">
        <f>G33*AP33</f>
        <v>0</v>
      </c>
      <c r="AY33" s="50" t="s">
        <v>225</v>
      </c>
      <c r="AZ33" s="50" t="s">
        <v>241</v>
      </c>
      <c r="BA33" s="36" t="s">
        <v>246</v>
      </c>
      <c r="BC33" s="47">
        <f>AW33+AX33</f>
        <v>0</v>
      </c>
      <c r="BD33" s="47">
        <f>H33/(100-BE33)*100</f>
        <v>0</v>
      </c>
      <c r="BE33" s="47">
        <v>0</v>
      </c>
      <c r="BF33" s="47">
        <f>M33</f>
        <v>0</v>
      </c>
      <c r="BH33" s="26">
        <f>G33*AO33</f>
        <v>0</v>
      </c>
      <c r="BI33" s="26">
        <f>G33*AP33</f>
        <v>0</v>
      </c>
      <c r="BJ33" s="26">
        <f>G33*H33</f>
        <v>0</v>
      </c>
      <c r="BK33" s="26" t="s">
        <v>251</v>
      </c>
      <c r="BL33" s="47">
        <v>12</v>
      </c>
    </row>
    <row r="34" spans="1:47" ht="12.75">
      <c r="A34" s="4"/>
      <c r="B34" s="15" t="s">
        <v>53</v>
      </c>
      <c r="C34" s="15" t="s">
        <v>22</v>
      </c>
      <c r="D34" s="117" t="s">
        <v>137</v>
      </c>
      <c r="E34" s="118"/>
      <c r="F34" s="23" t="s">
        <v>6</v>
      </c>
      <c r="G34" s="23" t="s">
        <v>6</v>
      </c>
      <c r="H34" s="23" t="s">
        <v>6</v>
      </c>
      <c r="I34" s="53">
        <f>SUM(I35:I35)</f>
        <v>0</v>
      </c>
      <c r="J34" s="53">
        <f>SUM(J35:J35)</f>
        <v>0</v>
      </c>
      <c r="K34" s="53">
        <f>SUM(K35:K35)</f>
        <v>0</v>
      </c>
      <c r="L34" s="36"/>
      <c r="M34" s="53">
        <f>SUM(M35:M35)</f>
        <v>0</v>
      </c>
      <c r="N34" s="41"/>
      <c r="O34" s="7"/>
      <c r="AI34" s="36" t="s">
        <v>53</v>
      </c>
      <c r="AS34" s="53">
        <f>SUM(AJ35:AJ35)</f>
        <v>0</v>
      </c>
      <c r="AT34" s="53">
        <f>SUM(AK35:AK35)</f>
        <v>0</v>
      </c>
      <c r="AU34" s="53">
        <f>SUM(AL35:AL35)</f>
        <v>0</v>
      </c>
    </row>
    <row r="35" spans="1:64" ht="12.75">
      <c r="A35" s="5" t="s">
        <v>24</v>
      </c>
      <c r="B35" s="16" t="s">
        <v>53</v>
      </c>
      <c r="C35" s="16" t="s">
        <v>73</v>
      </c>
      <c r="D35" s="119" t="s">
        <v>138</v>
      </c>
      <c r="E35" s="120"/>
      <c r="F35" s="16" t="s">
        <v>191</v>
      </c>
      <c r="G35" s="26">
        <v>788.94</v>
      </c>
      <c r="H35" s="162"/>
      <c r="I35" s="26">
        <f>G35*AO35</f>
        <v>0</v>
      </c>
      <c r="J35" s="26">
        <f>G35*AP35</f>
        <v>0</v>
      </c>
      <c r="K35" s="26">
        <f>G35*H35</f>
        <v>0</v>
      </c>
      <c r="L35" s="26">
        <v>0</v>
      </c>
      <c r="M35" s="26">
        <f>G35*L35</f>
        <v>0</v>
      </c>
      <c r="N35" s="42" t="s">
        <v>213</v>
      </c>
      <c r="O35" s="7"/>
      <c r="Z35" s="47">
        <f>IF(AQ35="5",BJ35,0)</f>
        <v>0</v>
      </c>
      <c r="AB35" s="47">
        <f>IF(AQ35="1",BH35,0)</f>
        <v>0</v>
      </c>
      <c r="AC35" s="47">
        <f>IF(AQ35="1",BI35,0)</f>
        <v>0</v>
      </c>
      <c r="AD35" s="47">
        <f>IF(AQ35="7",BH35,0)</f>
        <v>0</v>
      </c>
      <c r="AE35" s="47">
        <f>IF(AQ35="7",BI35,0)</f>
        <v>0</v>
      </c>
      <c r="AF35" s="47">
        <f>IF(AQ35="2",BH35,0)</f>
        <v>0</v>
      </c>
      <c r="AG35" s="47">
        <f>IF(AQ35="2",BI35,0)</f>
        <v>0</v>
      </c>
      <c r="AH35" s="47">
        <f>IF(AQ35="0",BJ35,0)</f>
        <v>0</v>
      </c>
      <c r="AI35" s="36" t="s">
        <v>53</v>
      </c>
      <c r="AJ35" s="26">
        <f>IF(AN35=0,K35,0)</f>
        <v>0</v>
      </c>
      <c r="AK35" s="26">
        <f>IF(AN35=15,K35,0)</f>
        <v>0</v>
      </c>
      <c r="AL35" s="26">
        <f>IF(AN35=21,K35,0)</f>
        <v>0</v>
      </c>
      <c r="AN35" s="47">
        <v>21</v>
      </c>
      <c r="AO35" s="47">
        <f>H35*0</f>
        <v>0</v>
      </c>
      <c r="AP35" s="47">
        <f>H35*(1-0)</f>
        <v>0</v>
      </c>
      <c r="AQ35" s="48" t="s">
        <v>7</v>
      </c>
      <c r="AV35" s="47">
        <f>AW35+AX35</f>
        <v>0</v>
      </c>
      <c r="AW35" s="47">
        <f>G35*AO35</f>
        <v>0</v>
      </c>
      <c r="AX35" s="47">
        <f>G35*AP35</f>
        <v>0</v>
      </c>
      <c r="AY35" s="50" t="s">
        <v>226</v>
      </c>
      <c r="AZ35" s="50" t="s">
        <v>241</v>
      </c>
      <c r="BA35" s="36" t="s">
        <v>246</v>
      </c>
      <c r="BC35" s="47">
        <f>AW35+AX35</f>
        <v>0</v>
      </c>
      <c r="BD35" s="47">
        <f>H35/(100-BE35)*100</f>
        <v>0</v>
      </c>
      <c r="BE35" s="47">
        <v>0</v>
      </c>
      <c r="BF35" s="47">
        <f>M35</f>
        <v>0</v>
      </c>
      <c r="BH35" s="26">
        <f>G35*AO35</f>
        <v>0</v>
      </c>
      <c r="BI35" s="26">
        <f>G35*AP35</f>
        <v>0</v>
      </c>
      <c r="BJ35" s="26">
        <f>G35*H35</f>
        <v>0</v>
      </c>
      <c r="BK35" s="26" t="s">
        <v>251</v>
      </c>
      <c r="BL35" s="47">
        <v>16</v>
      </c>
    </row>
    <row r="36" spans="1:47" ht="12.75">
      <c r="A36" s="4"/>
      <c r="B36" s="15" t="s">
        <v>53</v>
      </c>
      <c r="C36" s="15" t="s">
        <v>23</v>
      </c>
      <c r="D36" s="117" t="s">
        <v>139</v>
      </c>
      <c r="E36" s="118"/>
      <c r="F36" s="23" t="s">
        <v>6</v>
      </c>
      <c r="G36" s="23" t="s">
        <v>6</v>
      </c>
      <c r="H36" s="23" t="s">
        <v>6</v>
      </c>
      <c r="I36" s="53">
        <f>SUM(I37:I37)</f>
        <v>0</v>
      </c>
      <c r="J36" s="53">
        <f>SUM(J37:J37)</f>
        <v>0</v>
      </c>
      <c r="K36" s="53">
        <f>SUM(K37:K37)</f>
        <v>0</v>
      </c>
      <c r="L36" s="36"/>
      <c r="M36" s="53">
        <f>SUM(M37:M37)</f>
        <v>0</v>
      </c>
      <c r="N36" s="41"/>
      <c r="O36" s="7"/>
      <c r="AI36" s="36" t="s">
        <v>53</v>
      </c>
      <c r="AS36" s="53">
        <f>SUM(AJ37:AJ37)</f>
        <v>0</v>
      </c>
      <c r="AT36" s="53">
        <f>SUM(AK37:AK37)</f>
        <v>0</v>
      </c>
      <c r="AU36" s="53">
        <f>SUM(AL37:AL37)</f>
        <v>0</v>
      </c>
    </row>
    <row r="37" spans="1:64" ht="12.75">
      <c r="A37" s="5" t="s">
        <v>25</v>
      </c>
      <c r="B37" s="16" t="s">
        <v>53</v>
      </c>
      <c r="C37" s="16" t="s">
        <v>74</v>
      </c>
      <c r="D37" s="119" t="s">
        <v>140</v>
      </c>
      <c r="E37" s="120"/>
      <c r="F37" s="16" t="s">
        <v>191</v>
      </c>
      <c r="G37" s="26">
        <v>788.29</v>
      </c>
      <c r="H37" s="162"/>
      <c r="I37" s="26">
        <f>G37*AO37</f>
        <v>0</v>
      </c>
      <c r="J37" s="26">
        <f>G37*AP37</f>
        <v>0</v>
      </c>
      <c r="K37" s="26">
        <f>G37*H37</f>
        <v>0</v>
      </c>
      <c r="L37" s="26">
        <v>0</v>
      </c>
      <c r="M37" s="26">
        <f>G37*L37</f>
        <v>0</v>
      </c>
      <c r="N37" s="42" t="s">
        <v>213</v>
      </c>
      <c r="O37" s="7"/>
      <c r="Z37" s="47">
        <f>IF(AQ37="5",BJ37,0)</f>
        <v>0</v>
      </c>
      <c r="AB37" s="47">
        <f>IF(AQ37="1",BH37,0)</f>
        <v>0</v>
      </c>
      <c r="AC37" s="47">
        <f>IF(AQ37="1",BI37,0)</f>
        <v>0</v>
      </c>
      <c r="AD37" s="47">
        <f>IF(AQ37="7",BH37,0)</f>
        <v>0</v>
      </c>
      <c r="AE37" s="47">
        <f>IF(AQ37="7",BI37,0)</f>
        <v>0</v>
      </c>
      <c r="AF37" s="47">
        <f>IF(AQ37="2",BH37,0)</f>
        <v>0</v>
      </c>
      <c r="AG37" s="47">
        <f>IF(AQ37="2",BI37,0)</f>
        <v>0</v>
      </c>
      <c r="AH37" s="47">
        <f>IF(AQ37="0",BJ37,0)</f>
        <v>0</v>
      </c>
      <c r="AI37" s="36" t="s">
        <v>53</v>
      </c>
      <c r="AJ37" s="26">
        <f>IF(AN37=0,K37,0)</f>
        <v>0</v>
      </c>
      <c r="AK37" s="26">
        <f>IF(AN37=15,K37,0)</f>
        <v>0</v>
      </c>
      <c r="AL37" s="26">
        <f>IF(AN37=21,K37,0)</f>
        <v>0</v>
      </c>
      <c r="AN37" s="47">
        <v>21</v>
      </c>
      <c r="AO37" s="47">
        <f>H37*0</f>
        <v>0</v>
      </c>
      <c r="AP37" s="47">
        <f>H37*(1-0)</f>
        <v>0</v>
      </c>
      <c r="AQ37" s="48" t="s">
        <v>7</v>
      </c>
      <c r="AV37" s="47">
        <f>AW37+AX37</f>
        <v>0</v>
      </c>
      <c r="AW37" s="47">
        <f>G37*AO37</f>
        <v>0</v>
      </c>
      <c r="AX37" s="47">
        <f>G37*AP37</f>
        <v>0</v>
      </c>
      <c r="AY37" s="50" t="s">
        <v>227</v>
      </c>
      <c r="AZ37" s="50" t="s">
        <v>241</v>
      </c>
      <c r="BA37" s="36" t="s">
        <v>246</v>
      </c>
      <c r="BC37" s="47">
        <f>AW37+AX37</f>
        <v>0</v>
      </c>
      <c r="BD37" s="47">
        <f>H37/(100-BE37)*100</f>
        <v>0</v>
      </c>
      <c r="BE37" s="47">
        <v>0</v>
      </c>
      <c r="BF37" s="47">
        <f>M37</f>
        <v>0</v>
      </c>
      <c r="BH37" s="26">
        <f>G37*AO37</f>
        <v>0</v>
      </c>
      <c r="BI37" s="26">
        <f>G37*AP37</f>
        <v>0</v>
      </c>
      <c r="BJ37" s="26">
        <f>G37*H37</f>
        <v>0</v>
      </c>
      <c r="BK37" s="26" t="s">
        <v>251</v>
      </c>
      <c r="BL37" s="47">
        <v>17</v>
      </c>
    </row>
    <row r="38" spans="1:47" ht="12.75">
      <c r="A38" s="4"/>
      <c r="B38" s="15" t="s">
        <v>53</v>
      </c>
      <c r="C38" s="15" t="s">
        <v>24</v>
      </c>
      <c r="D38" s="117" t="s">
        <v>141</v>
      </c>
      <c r="E38" s="118"/>
      <c r="F38" s="23" t="s">
        <v>6</v>
      </c>
      <c r="G38" s="23" t="s">
        <v>6</v>
      </c>
      <c r="H38" s="23" t="s">
        <v>6</v>
      </c>
      <c r="I38" s="53">
        <f>SUM(I39:I39)</f>
        <v>0</v>
      </c>
      <c r="J38" s="53">
        <f>SUM(J39:J39)</f>
        <v>0</v>
      </c>
      <c r="K38" s="53">
        <f>SUM(K39:K39)</f>
        <v>0</v>
      </c>
      <c r="L38" s="36"/>
      <c r="M38" s="53">
        <f>SUM(M39:M39)</f>
        <v>0</v>
      </c>
      <c r="N38" s="41"/>
      <c r="O38" s="7"/>
      <c r="AI38" s="36" t="s">
        <v>53</v>
      </c>
      <c r="AS38" s="53">
        <f>SUM(AJ39:AJ39)</f>
        <v>0</v>
      </c>
      <c r="AT38" s="53">
        <f>SUM(AK39:AK39)</f>
        <v>0</v>
      </c>
      <c r="AU38" s="53">
        <f>SUM(AL39:AL39)</f>
        <v>0</v>
      </c>
    </row>
    <row r="39" spans="1:64" ht="12.75">
      <c r="A39" s="5" t="s">
        <v>26</v>
      </c>
      <c r="B39" s="16" t="s">
        <v>53</v>
      </c>
      <c r="C39" s="16" t="s">
        <v>75</v>
      </c>
      <c r="D39" s="119" t="s">
        <v>142</v>
      </c>
      <c r="E39" s="120"/>
      <c r="F39" s="16" t="s">
        <v>188</v>
      </c>
      <c r="G39" s="26">
        <v>2922</v>
      </c>
      <c r="H39" s="162"/>
      <c r="I39" s="26">
        <f>G39*AO39</f>
        <v>0</v>
      </c>
      <c r="J39" s="26">
        <f>G39*AP39</f>
        <v>0</v>
      </c>
      <c r="K39" s="26">
        <f>G39*H39</f>
        <v>0</v>
      </c>
      <c r="L39" s="26">
        <v>0</v>
      </c>
      <c r="M39" s="26">
        <f>G39*L39</f>
        <v>0</v>
      </c>
      <c r="N39" s="42" t="s">
        <v>213</v>
      </c>
      <c r="O39" s="7"/>
      <c r="Z39" s="47">
        <f>IF(AQ39="5",BJ39,0)</f>
        <v>0</v>
      </c>
      <c r="AB39" s="47">
        <f>IF(AQ39="1",BH39,0)</f>
        <v>0</v>
      </c>
      <c r="AC39" s="47">
        <f>IF(AQ39="1",BI39,0)</f>
        <v>0</v>
      </c>
      <c r="AD39" s="47">
        <f>IF(AQ39="7",BH39,0)</f>
        <v>0</v>
      </c>
      <c r="AE39" s="47">
        <f>IF(AQ39="7",BI39,0)</f>
        <v>0</v>
      </c>
      <c r="AF39" s="47">
        <f>IF(AQ39="2",BH39,0)</f>
        <v>0</v>
      </c>
      <c r="AG39" s="47">
        <f>IF(AQ39="2",BI39,0)</f>
        <v>0</v>
      </c>
      <c r="AH39" s="47">
        <f>IF(AQ39="0",BJ39,0)</f>
        <v>0</v>
      </c>
      <c r="AI39" s="36" t="s">
        <v>53</v>
      </c>
      <c r="AJ39" s="26">
        <f>IF(AN39=0,K39,0)</f>
        <v>0</v>
      </c>
      <c r="AK39" s="26">
        <f>IF(AN39=15,K39,0)</f>
        <v>0</v>
      </c>
      <c r="AL39" s="26">
        <f>IF(AN39=21,K39,0)</f>
        <v>0</v>
      </c>
      <c r="AN39" s="47">
        <v>21</v>
      </c>
      <c r="AO39" s="47">
        <f>H39*0</f>
        <v>0</v>
      </c>
      <c r="AP39" s="47">
        <f>H39*(1-0)</f>
        <v>0</v>
      </c>
      <c r="AQ39" s="48" t="s">
        <v>7</v>
      </c>
      <c r="AV39" s="47">
        <f>AW39+AX39</f>
        <v>0</v>
      </c>
      <c r="AW39" s="47">
        <f>G39*AO39</f>
        <v>0</v>
      </c>
      <c r="AX39" s="47">
        <f>G39*AP39</f>
        <v>0</v>
      </c>
      <c r="AY39" s="50" t="s">
        <v>228</v>
      </c>
      <c r="AZ39" s="50" t="s">
        <v>241</v>
      </c>
      <c r="BA39" s="36" t="s">
        <v>246</v>
      </c>
      <c r="BC39" s="47">
        <f>AW39+AX39</f>
        <v>0</v>
      </c>
      <c r="BD39" s="47">
        <f>H39/(100-BE39)*100</f>
        <v>0</v>
      </c>
      <c r="BE39" s="47">
        <v>0</v>
      </c>
      <c r="BF39" s="47">
        <f>M39</f>
        <v>0</v>
      </c>
      <c r="BH39" s="26">
        <f>G39*AO39</f>
        <v>0</v>
      </c>
      <c r="BI39" s="26">
        <f>G39*AP39</f>
        <v>0</v>
      </c>
      <c r="BJ39" s="26">
        <f>G39*H39</f>
        <v>0</v>
      </c>
      <c r="BK39" s="26" t="s">
        <v>251</v>
      </c>
      <c r="BL39" s="47">
        <v>18</v>
      </c>
    </row>
    <row r="40" spans="1:47" ht="12.75">
      <c r="A40" s="4"/>
      <c r="B40" s="15" t="s">
        <v>53</v>
      </c>
      <c r="C40" s="15" t="s">
        <v>25</v>
      </c>
      <c r="D40" s="117" t="s">
        <v>143</v>
      </c>
      <c r="E40" s="118"/>
      <c r="F40" s="23" t="s">
        <v>6</v>
      </c>
      <c r="G40" s="23" t="s">
        <v>6</v>
      </c>
      <c r="H40" s="23" t="s">
        <v>6</v>
      </c>
      <c r="I40" s="53">
        <f>SUM(I41:I41)</f>
        <v>0</v>
      </c>
      <c r="J40" s="53">
        <f>SUM(J41:J41)</f>
        <v>0</v>
      </c>
      <c r="K40" s="53">
        <f>SUM(K41:K41)</f>
        <v>0</v>
      </c>
      <c r="L40" s="36"/>
      <c r="M40" s="53">
        <f>SUM(M41:M41)</f>
        <v>0</v>
      </c>
      <c r="N40" s="41"/>
      <c r="O40" s="7"/>
      <c r="AI40" s="36" t="s">
        <v>53</v>
      </c>
      <c r="AS40" s="53">
        <f>SUM(AJ41:AJ41)</f>
        <v>0</v>
      </c>
      <c r="AT40" s="53">
        <f>SUM(AK41:AK41)</f>
        <v>0</v>
      </c>
      <c r="AU40" s="53">
        <f>SUM(AL41:AL41)</f>
        <v>0</v>
      </c>
    </row>
    <row r="41" spans="1:64" ht="12.75">
      <c r="A41" s="5" t="s">
        <v>27</v>
      </c>
      <c r="B41" s="16" t="s">
        <v>53</v>
      </c>
      <c r="C41" s="16" t="s">
        <v>76</v>
      </c>
      <c r="D41" s="119" t="s">
        <v>144</v>
      </c>
      <c r="E41" s="120"/>
      <c r="F41" s="16" t="s">
        <v>191</v>
      </c>
      <c r="G41" s="26">
        <v>788.29</v>
      </c>
      <c r="H41" s="162"/>
      <c r="I41" s="26">
        <f>G41*AO41</f>
        <v>0</v>
      </c>
      <c r="J41" s="26">
        <f>G41*AP41</f>
        <v>0</v>
      </c>
      <c r="K41" s="26">
        <f>G41*H41</f>
        <v>0</v>
      </c>
      <c r="L41" s="26">
        <v>0</v>
      </c>
      <c r="M41" s="26">
        <f>G41*L41</f>
        <v>0</v>
      </c>
      <c r="N41" s="42" t="s">
        <v>213</v>
      </c>
      <c r="O41" s="7"/>
      <c r="Z41" s="47">
        <f>IF(AQ41="5",BJ41,0)</f>
        <v>0</v>
      </c>
      <c r="AB41" s="47">
        <f>IF(AQ41="1",BH41,0)</f>
        <v>0</v>
      </c>
      <c r="AC41" s="47">
        <f>IF(AQ41="1",BI41,0)</f>
        <v>0</v>
      </c>
      <c r="AD41" s="47">
        <f>IF(AQ41="7",BH41,0)</f>
        <v>0</v>
      </c>
      <c r="AE41" s="47">
        <f>IF(AQ41="7",BI41,0)</f>
        <v>0</v>
      </c>
      <c r="AF41" s="47">
        <f>IF(AQ41="2",BH41,0)</f>
        <v>0</v>
      </c>
      <c r="AG41" s="47">
        <f>IF(AQ41="2",BI41,0)</f>
        <v>0</v>
      </c>
      <c r="AH41" s="47">
        <f>IF(AQ41="0",BJ41,0)</f>
        <v>0</v>
      </c>
      <c r="AI41" s="36" t="s">
        <v>53</v>
      </c>
      <c r="AJ41" s="26">
        <f>IF(AN41=0,K41,0)</f>
        <v>0</v>
      </c>
      <c r="AK41" s="26">
        <f>IF(AN41=15,K41,0)</f>
        <v>0</v>
      </c>
      <c r="AL41" s="26">
        <f>IF(AN41=21,K41,0)</f>
        <v>0</v>
      </c>
      <c r="AN41" s="47">
        <v>21</v>
      </c>
      <c r="AO41" s="47">
        <f>H41*0</f>
        <v>0</v>
      </c>
      <c r="AP41" s="47">
        <f>H41*(1-0)</f>
        <v>0</v>
      </c>
      <c r="AQ41" s="48" t="s">
        <v>7</v>
      </c>
      <c r="AV41" s="47">
        <f>AW41+AX41</f>
        <v>0</v>
      </c>
      <c r="AW41" s="47">
        <f>G41*AO41</f>
        <v>0</v>
      </c>
      <c r="AX41" s="47">
        <f>G41*AP41</f>
        <v>0</v>
      </c>
      <c r="AY41" s="50" t="s">
        <v>229</v>
      </c>
      <c r="AZ41" s="50" t="s">
        <v>241</v>
      </c>
      <c r="BA41" s="36" t="s">
        <v>246</v>
      </c>
      <c r="BC41" s="47">
        <f>AW41+AX41</f>
        <v>0</v>
      </c>
      <c r="BD41" s="47">
        <f>H41/(100-BE41)*100</f>
        <v>0</v>
      </c>
      <c r="BE41" s="47">
        <v>0</v>
      </c>
      <c r="BF41" s="47">
        <f>M41</f>
        <v>0</v>
      </c>
      <c r="BH41" s="26">
        <f>G41*AO41</f>
        <v>0</v>
      </c>
      <c r="BI41" s="26">
        <f>G41*AP41</f>
        <v>0</v>
      </c>
      <c r="BJ41" s="26">
        <f>G41*H41</f>
        <v>0</v>
      </c>
      <c r="BK41" s="26" t="s">
        <v>251</v>
      </c>
      <c r="BL41" s="47">
        <v>19</v>
      </c>
    </row>
    <row r="42" spans="1:47" ht="12.75">
      <c r="A42" s="4"/>
      <c r="B42" s="15" t="s">
        <v>53</v>
      </c>
      <c r="C42" s="15" t="s">
        <v>77</v>
      </c>
      <c r="D42" s="117" t="s">
        <v>145</v>
      </c>
      <c r="E42" s="118"/>
      <c r="F42" s="23" t="s">
        <v>6</v>
      </c>
      <c r="G42" s="23" t="s">
        <v>6</v>
      </c>
      <c r="H42" s="23" t="s">
        <v>6</v>
      </c>
      <c r="I42" s="53">
        <f>SUM(I43:I45)</f>
        <v>0</v>
      </c>
      <c r="J42" s="53">
        <f>SUM(J43:J45)</f>
        <v>0</v>
      </c>
      <c r="K42" s="53">
        <f>SUM(K43:K45)</f>
        <v>0</v>
      </c>
      <c r="L42" s="36"/>
      <c r="M42" s="53">
        <f>SUM(M43:M45)</f>
        <v>2364.27786</v>
      </c>
      <c r="N42" s="41"/>
      <c r="O42" s="7"/>
      <c r="AI42" s="36" t="s">
        <v>53</v>
      </c>
      <c r="AS42" s="53">
        <f>SUM(AJ43:AJ45)</f>
        <v>0</v>
      </c>
      <c r="AT42" s="53">
        <f>SUM(AK43:AK45)</f>
        <v>0</v>
      </c>
      <c r="AU42" s="53">
        <f>SUM(AL43:AL45)</f>
        <v>0</v>
      </c>
    </row>
    <row r="43" spans="1:64" ht="12.75">
      <c r="A43" s="5" t="s">
        <v>28</v>
      </c>
      <c r="B43" s="16" t="s">
        <v>53</v>
      </c>
      <c r="C43" s="16" t="s">
        <v>78</v>
      </c>
      <c r="D43" s="119" t="s">
        <v>146</v>
      </c>
      <c r="E43" s="120"/>
      <c r="F43" s="16" t="s">
        <v>188</v>
      </c>
      <c r="G43" s="26">
        <v>2922</v>
      </c>
      <c r="H43" s="162"/>
      <c r="I43" s="26">
        <f>G43*AO43</f>
        <v>0</v>
      </c>
      <c r="J43" s="26">
        <f>G43*AP43</f>
        <v>0</v>
      </c>
      <c r="K43" s="26">
        <f>G43*H43</f>
        <v>0</v>
      </c>
      <c r="L43" s="26">
        <v>0.13188</v>
      </c>
      <c r="M43" s="26">
        <f>G43*L43</f>
        <v>385.35336</v>
      </c>
      <c r="N43" s="42" t="s">
        <v>213</v>
      </c>
      <c r="O43" s="7"/>
      <c r="Z43" s="47">
        <f>IF(AQ43="5",BJ43,0)</f>
        <v>0</v>
      </c>
      <c r="AB43" s="47">
        <f>IF(AQ43="1",BH43,0)</f>
        <v>0</v>
      </c>
      <c r="AC43" s="47">
        <f>IF(AQ43="1",BI43,0)</f>
        <v>0</v>
      </c>
      <c r="AD43" s="47">
        <f>IF(AQ43="7",BH43,0)</f>
        <v>0</v>
      </c>
      <c r="AE43" s="47">
        <f>IF(AQ43="7",BI43,0)</f>
        <v>0</v>
      </c>
      <c r="AF43" s="47">
        <f>IF(AQ43="2",BH43,0)</f>
        <v>0</v>
      </c>
      <c r="AG43" s="47">
        <f>IF(AQ43="2",BI43,0)</f>
        <v>0</v>
      </c>
      <c r="AH43" s="47">
        <f>IF(AQ43="0",BJ43,0)</f>
        <v>0</v>
      </c>
      <c r="AI43" s="36" t="s">
        <v>53</v>
      </c>
      <c r="AJ43" s="26">
        <f>IF(AN43=0,K43,0)</f>
        <v>0</v>
      </c>
      <c r="AK43" s="26">
        <f>IF(AN43=15,K43,0)</f>
        <v>0</v>
      </c>
      <c r="AL43" s="26">
        <f>IF(AN43=21,K43,0)</f>
        <v>0</v>
      </c>
      <c r="AN43" s="47">
        <v>21</v>
      </c>
      <c r="AO43" s="47">
        <f>H43*0.863377049180328</f>
        <v>0</v>
      </c>
      <c r="AP43" s="47">
        <f>H43*(1-0.863377049180328)</f>
        <v>0</v>
      </c>
      <c r="AQ43" s="48" t="s">
        <v>7</v>
      </c>
      <c r="AV43" s="47">
        <f>AW43+AX43</f>
        <v>0</v>
      </c>
      <c r="AW43" s="47">
        <f>G43*AO43</f>
        <v>0</v>
      </c>
      <c r="AX43" s="47">
        <f>G43*AP43</f>
        <v>0</v>
      </c>
      <c r="AY43" s="50" t="s">
        <v>230</v>
      </c>
      <c r="AZ43" s="50" t="s">
        <v>242</v>
      </c>
      <c r="BA43" s="36" t="s">
        <v>246</v>
      </c>
      <c r="BC43" s="47">
        <f>AW43+AX43</f>
        <v>0</v>
      </c>
      <c r="BD43" s="47">
        <f>H43/(100-BE43)*100</f>
        <v>0</v>
      </c>
      <c r="BE43" s="47">
        <v>0</v>
      </c>
      <c r="BF43" s="47">
        <f>M43</f>
        <v>385.35336</v>
      </c>
      <c r="BH43" s="26">
        <f>G43*AO43</f>
        <v>0</v>
      </c>
      <c r="BI43" s="26">
        <f>G43*AP43</f>
        <v>0</v>
      </c>
      <c r="BJ43" s="26">
        <f>G43*H43</f>
        <v>0</v>
      </c>
      <c r="BK43" s="26" t="s">
        <v>251</v>
      </c>
      <c r="BL43" s="47">
        <v>56</v>
      </c>
    </row>
    <row r="44" spans="1:64" ht="12.75">
      <c r="A44" s="5" t="s">
        <v>29</v>
      </c>
      <c r="B44" s="16" t="s">
        <v>53</v>
      </c>
      <c r="C44" s="16" t="s">
        <v>79</v>
      </c>
      <c r="D44" s="119" t="s">
        <v>147</v>
      </c>
      <c r="E44" s="120"/>
      <c r="F44" s="16" t="s">
        <v>188</v>
      </c>
      <c r="G44" s="26">
        <v>2922</v>
      </c>
      <c r="H44" s="162"/>
      <c r="I44" s="26">
        <f>G44*AO44</f>
        <v>0</v>
      </c>
      <c r="J44" s="26">
        <f>G44*AP44</f>
        <v>0</v>
      </c>
      <c r="K44" s="26">
        <f>G44*H44</f>
        <v>0</v>
      </c>
      <c r="L44" s="26">
        <v>0.378</v>
      </c>
      <c r="M44" s="26">
        <f>G44*L44</f>
        <v>1104.516</v>
      </c>
      <c r="N44" s="42" t="s">
        <v>213</v>
      </c>
      <c r="O44" s="7"/>
      <c r="Z44" s="47">
        <f>IF(AQ44="5",BJ44,0)</f>
        <v>0</v>
      </c>
      <c r="AB44" s="47">
        <f>IF(AQ44="1",BH44,0)</f>
        <v>0</v>
      </c>
      <c r="AC44" s="47">
        <f>IF(AQ44="1",BI44,0)</f>
        <v>0</v>
      </c>
      <c r="AD44" s="47">
        <f>IF(AQ44="7",BH44,0)</f>
        <v>0</v>
      </c>
      <c r="AE44" s="47">
        <f>IF(AQ44="7",BI44,0)</f>
        <v>0</v>
      </c>
      <c r="AF44" s="47">
        <f>IF(AQ44="2",BH44,0)</f>
        <v>0</v>
      </c>
      <c r="AG44" s="47">
        <f>IF(AQ44="2",BI44,0)</f>
        <v>0</v>
      </c>
      <c r="AH44" s="47">
        <f>IF(AQ44="0",BJ44,0)</f>
        <v>0</v>
      </c>
      <c r="AI44" s="36" t="s">
        <v>53</v>
      </c>
      <c r="AJ44" s="26">
        <f>IF(AN44=0,K44,0)</f>
        <v>0</v>
      </c>
      <c r="AK44" s="26">
        <f>IF(AN44=15,K44,0)</f>
        <v>0</v>
      </c>
      <c r="AL44" s="26">
        <f>IF(AN44=21,K44,0)</f>
        <v>0</v>
      </c>
      <c r="AN44" s="47">
        <v>21</v>
      </c>
      <c r="AO44" s="47">
        <f>H44*0.850655270655271</f>
        <v>0</v>
      </c>
      <c r="AP44" s="47">
        <f>H44*(1-0.850655270655271)</f>
        <v>0</v>
      </c>
      <c r="AQ44" s="48" t="s">
        <v>7</v>
      </c>
      <c r="AV44" s="47">
        <f>AW44+AX44</f>
        <v>0</v>
      </c>
      <c r="AW44" s="47">
        <f>G44*AO44</f>
        <v>0</v>
      </c>
      <c r="AX44" s="47">
        <f>G44*AP44</f>
        <v>0</v>
      </c>
      <c r="AY44" s="50" t="s">
        <v>230</v>
      </c>
      <c r="AZ44" s="50" t="s">
        <v>242</v>
      </c>
      <c r="BA44" s="36" t="s">
        <v>246</v>
      </c>
      <c r="BC44" s="47">
        <f>AW44+AX44</f>
        <v>0</v>
      </c>
      <c r="BD44" s="47">
        <f>H44/(100-BE44)*100</f>
        <v>0</v>
      </c>
      <c r="BE44" s="47">
        <v>0</v>
      </c>
      <c r="BF44" s="47">
        <f>M44</f>
        <v>1104.516</v>
      </c>
      <c r="BH44" s="26">
        <f>G44*AO44</f>
        <v>0</v>
      </c>
      <c r="BI44" s="26">
        <f>G44*AP44</f>
        <v>0</v>
      </c>
      <c r="BJ44" s="26">
        <f>G44*H44</f>
        <v>0</v>
      </c>
      <c r="BK44" s="26" t="s">
        <v>251</v>
      </c>
      <c r="BL44" s="47">
        <v>56</v>
      </c>
    </row>
    <row r="45" spans="1:64" ht="12.75">
      <c r="A45" s="5" t="s">
        <v>30</v>
      </c>
      <c r="B45" s="16" t="s">
        <v>53</v>
      </c>
      <c r="C45" s="16" t="s">
        <v>80</v>
      </c>
      <c r="D45" s="119" t="s">
        <v>148</v>
      </c>
      <c r="E45" s="120"/>
      <c r="F45" s="16" t="s">
        <v>188</v>
      </c>
      <c r="G45" s="26">
        <v>2922</v>
      </c>
      <c r="H45" s="162"/>
      <c r="I45" s="26">
        <f>G45*AO45</f>
        <v>0</v>
      </c>
      <c r="J45" s="26">
        <f>G45*AP45</f>
        <v>0</v>
      </c>
      <c r="K45" s="26">
        <f>G45*H45</f>
        <v>0</v>
      </c>
      <c r="L45" s="26">
        <v>0.29925</v>
      </c>
      <c r="M45" s="26">
        <f>G45*L45</f>
        <v>874.4085</v>
      </c>
      <c r="N45" s="42" t="s">
        <v>213</v>
      </c>
      <c r="O45" s="7"/>
      <c r="Z45" s="47">
        <f>IF(AQ45="5",BJ45,0)</f>
        <v>0</v>
      </c>
      <c r="AB45" s="47">
        <f>IF(AQ45="1",BH45,0)</f>
        <v>0</v>
      </c>
      <c r="AC45" s="47">
        <f>IF(AQ45="1",BI45,0)</f>
        <v>0</v>
      </c>
      <c r="AD45" s="47">
        <f>IF(AQ45="7",BH45,0)</f>
        <v>0</v>
      </c>
      <c r="AE45" s="47">
        <f>IF(AQ45="7",BI45,0)</f>
        <v>0</v>
      </c>
      <c r="AF45" s="47">
        <f>IF(AQ45="2",BH45,0)</f>
        <v>0</v>
      </c>
      <c r="AG45" s="47">
        <f>IF(AQ45="2",BI45,0)</f>
        <v>0</v>
      </c>
      <c r="AH45" s="47">
        <f>IF(AQ45="0",BJ45,0)</f>
        <v>0</v>
      </c>
      <c r="AI45" s="36" t="s">
        <v>53</v>
      </c>
      <c r="AJ45" s="26">
        <f>IF(AN45=0,K45,0)</f>
        <v>0</v>
      </c>
      <c r="AK45" s="26">
        <f>IF(AN45=15,K45,0)</f>
        <v>0</v>
      </c>
      <c r="AL45" s="26">
        <f>IF(AN45=21,K45,0)</f>
        <v>0</v>
      </c>
      <c r="AN45" s="47">
        <v>21</v>
      </c>
      <c r="AO45" s="47">
        <f>H45*0.836093023255814</f>
        <v>0</v>
      </c>
      <c r="AP45" s="47">
        <f>H45*(1-0.836093023255814)</f>
        <v>0</v>
      </c>
      <c r="AQ45" s="48" t="s">
        <v>7</v>
      </c>
      <c r="AV45" s="47">
        <f>AW45+AX45</f>
        <v>0</v>
      </c>
      <c r="AW45" s="47">
        <f>G45*AO45</f>
        <v>0</v>
      </c>
      <c r="AX45" s="47">
        <f>G45*AP45</f>
        <v>0</v>
      </c>
      <c r="AY45" s="50" t="s">
        <v>230</v>
      </c>
      <c r="AZ45" s="50" t="s">
        <v>242</v>
      </c>
      <c r="BA45" s="36" t="s">
        <v>246</v>
      </c>
      <c r="BC45" s="47">
        <f>AW45+AX45</f>
        <v>0</v>
      </c>
      <c r="BD45" s="47">
        <f>H45/(100-BE45)*100</f>
        <v>0</v>
      </c>
      <c r="BE45" s="47">
        <v>0</v>
      </c>
      <c r="BF45" s="47">
        <f>M45</f>
        <v>874.4085</v>
      </c>
      <c r="BH45" s="26">
        <f>G45*AO45</f>
        <v>0</v>
      </c>
      <c r="BI45" s="26">
        <f>G45*AP45</f>
        <v>0</v>
      </c>
      <c r="BJ45" s="26">
        <f>G45*H45</f>
        <v>0</v>
      </c>
      <c r="BK45" s="26" t="s">
        <v>251</v>
      </c>
      <c r="BL45" s="47">
        <v>56</v>
      </c>
    </row>
    <row r="46" spans="1:47" ht="12.75">
      <c r="A46" s="4"/>
      <c r="B46" s="15" t="s">
        <v>53</v>
      </c>
      <c r="C46" s="15" t="s">
        <v>81</v>
      </c>
      <c r="D46" s="117" t="s">
        <v>149</v>
      </c>
      <c r="E46" s="118"/>
      <c r="F46" s="23" t="s">
        <v>6</v>
      </c>
      <c r="G46" s="23" t="s">
        <v>6</v>
      </c>
      <c r="H46" s="23" t="s">
        <v>6</v>
      </c>
      <c r="I46" s="53">
        <f>SUM(I47:I48)</f>
        <v>0</v>
      </c>
      <c r="J46" s="53">
        <f>SUM(J47:J48)</f>
        <v>0</v>
      </c>
      <c r="K46" s="53">
        <f>SUM(K47:K48)</f>
        <v>0</v>
      </c>
      <c r="L46" s="36"/>
      <c r="M46" s="53">
        <f>SUM(M47:M48)</f>
        <v>380.94113999999996</v>
      </c>
      <c r="N46" s="41"/>
      <c r="O46" s="7"/>
      <c r="AI46" s="36" t="s">
        <v>53</v>
      </c>
      <c r="AS46" s="53">
        <f>SUM(AJ47:AJ48)</f>
        <v>0</v>
      </c>
      <c r="AT46" s="53">
        <f>SUM(AK47:AK48)</f>
        <v>0</v>
      </c>
      <c r="AU46" s="53">
        <f>SUM(AL47:AL48)</f>
        <v>0</v>
      </c>
    </row>
    <row r="47" spans="1:64" ht="12.75">
      <c r="A47" s="5" t="s">
        <v>31</v>
      </c>
      <c r="B47" s="16" t="s">
        <v>53</v>
      </c>
      <c r="C47" s="16" t="s">
        <v>82</v>
      </c>
      <c r="D47" s="119" t="s">
        <v>150</v>
      </c>
      <c r="E47" s="120"/>
      <c r="F47" s="16" t="s">
        <v>188</v>
      </c>
      <c r="G47" s="26">
        <v>2922</v>
      </c>
      <c r="H47" s="162"/>
      <c r="I47" s="26">
        <f>G47*AO47</f>
        <v>0</v>
      </c>
      <c r="J47" s="26">
        <f>G47*AP47</f>
        <v>0</v>
      </c>
      <c r="K47" s="26">
        <f>G47*H47</f>
        <v>0</v>
      </c>
      <c r="L47" s="26">
        <v>0.12966</v>
      </c>
      <c r="M47" s="26">
        <f>G47*L47</f>
        <v>378.86652</v>
      </c>
      <c r="N47" s="42" t="s">
        <v>213</v>
      </c>
      <c r="O47" s="7"/>
      <c r="Z47" s="47">
        <f>IF(AQ47="5",BJ47,0)</f>
        <v>0</v>
      </c>
      <c r="AB47" s="47">
        <f>IF(AQ47="1",BH47,0)</f>
        <v>0</v>
      </c>
      <c r="AC47" s="47">
        <f>IF(AQ47="1",BI47,0)</f>
        <v>0</v>
      </c>
      <c r="AD47" s="47">
        <f>IF(AQ47="7",BH47,0)</f>
        <v>0</v>
      </c>
      <c r="AE47" s="47">
        <f>IF(AQ47="7",BI47,0)</f>
        <v>0</v>
      </c>
      <c r="AF47" s="47">
        <f>IF(AQ47="2",BH47,0)</f>
        <v>0</v>
      </c>
      <c r="AG47" s="47">
        <f>IF(AQ47="2",BI47,0)</f>
        <v>0</v>
      </c>
      <c r="AH47" s="47">
        <f>IF(AQ47="0",BJ47,0)</f>
        <v>0</v>
      </c>
      <c r="AI47" s="36" t="s">
        <v>53</v>
      </c>
      <c r="AJ47" s="26">
        <f>IF(AN47=0,K47,0)</f>
        <v>0</v>
      </c>
      <c r="AK47" s="26">
        <f>IF(AN47=15,K47,0)</f>
        <v>0</v>
      </c>
      <c r="AL47" s="26">
        <f>IF(AN47=21,K47,0)</f>
        <v>0</v>
      </c>
      <c r="AN47" s="47">
        <v>21</v>
      </c>
      <c r="AO47" s="47">
        <f>H47*0.773206997084548</f>
        <v>0</v>
      </c>
      <c r="AP47" s="47">
        <f>H47*(1-0.773206997084548)</f>
        <v>0</v>
      </c>
      <c r="AQ47" s="48" t="s">
        <v>7</v>
      </c>
      <c r="AV47" s="47">
        <f>AW47+AX47</f>
        <v>0</v>
      </c>
      <c r="AW47" s="47">
        <f>G47*AO47</f>
        <v>0</v>
      </c>
      <c r="AX47" s="47">
        <f>G47*AP47</f>
        <v>0</v>
      </c>
      <c r="AY47" s="50" t="s">
        <v>231</v>
      </c>
      <c r="AZ47" s="50" t="s">
        <v>242</v>
      </c>
      <c r="BA47" s="36" t="s">
        <v>246</v>
      </c>
      <c r="BC47" s="47">
        <f>AW47+AX47</f>
        <v>0</v>
      </c>
      <c r="BD47" s="47">
        <f>H47/(100-BE47)*100</f>
        <v>0</v>
      </c>
      <c r="BE47" s="47">
        <v>0</v>
      </c>
      <c r="BF47" s="47">
        <f>M47</f>
        <v>378.86652</v>
      </c>
      <c r="BH47" s="26">
        <f>G47*AO47</f>
        <v>0</v>
      </c>
      <c r="BI47" s="26">
        <f>G47*AP47</f>
        <v>0</v>
      </c>
      <c r="BJ47" s="26">
        <f>G47*H47</f>
        <v>0</v>
      </c>
      <c r="BK47" s="26" t="s">
        <v>251</v>
      </c>
      <c r="BL47" s="47">
        <v>57</v>
      </c>
    </row>
    <row r="48" spans="1:64" ht="12.75">
      <c r="A48" s="5" t="s">
        <v>32</v>
      </c>
      <c r="B48" s="16" t="s">
        <v>53</v>
      </c>
      <c r="C48" s="16" t="s">
        <v>83</v>
      </c>
      <c r="D48" s="119" t="s">
        <v>151</v>
      </c>
      <c r="E48" s="120"/>
      <c r="F48" s="16" t="s">
        <v>188</v>
      </c>
      <c r="G48" s="26">
        <v>2922</v>
      </c>
      <c r="H48" s="162"/>
      <c r="I48" s="26">
        <f>G48*AO48</f>
        <v>0</v>
      </c>
      <c r="J48" s="26">
        <f>G48*AP48</f>
        <v>0</v>
      </c>
      <c r="K48" s="26">
        <f>G48*H48</f>
        <v>0</v>
      </c>
      <c r="L48" s="26">
        <v>0.00071</v>
      </c>
      <c r="M48" s="26">
        <f>G48*L48</f>
        <v>2.07462</v>
      </c>
      <c r="N48" s="42" t="s">
        <v>213</v>
      </c>
      <c r="O48" s="7"/>
      <c r="Z48" s="47">
        <f>IF(AQ48="5",BJ48,0)</f>
        <v>0</v>
      </c>
      <c r="AB48" s="47">
        <f>IF(AQ48="1",BH48,0)</f>
        <v>0</v>
      </c>
      <c r="AC48" s="47">
        <f>IF(AQ48="1",BI48,0)</f>
        <v>0</v>
      </c>
      <c r="AD48" s="47">
        <f>IF(AQ48="7",BH48,0)</f>
        <v>0</v>
      </c>
      <c r="AE48" s="47">
        <f>IF(AQ48="7",BI48,0)</f>
        <v>0</v>
      </c>
      <c r="AF48" s="47">
        <f>IF(AQ48="2",BH48,0)</f>
        <v>0</v>
      </c>
      <c r="AG48" s="47">
        <f>IF(AQ48="2",BI48,0)</f>
        <v>0</v>
      </c>
      <c r="AH48" s="47">
        <f>IF(AQ48="0",BJ48,0)</f>
        <v>0</v>
      </c>
      <c r="AI48" s="36" t="s">
        <v>53</v>
      </c>
      <c r="AJ48" s="26">
        <f>IF(AN48=0,K48,0)</f>
        <v>0</v>
      </c>
      <c r="AK48" s="26">
        <f>IF(AN48=15,K48,0)</f>
        <v>0</v>
      </c>
      <c r="AL48" s="26">
        <f>IF(AN48=21,K48,0)</f>
        <v>0</v>
      </c>
      <c r="AN48" s="47">
        <v>21</v>
      </c>
      <c r="AO48" s="47">
        <f>H48*0.898214285714286</f>
        <v>0</v>
      </c>
      <c r="AP48" s="47">
        <f>H48*(1-0.898214285714286)</f>
        <v>0</v>
      </c>
      <c r="AQ48" s="48" t="s">
        <v>7</v>
      </c>
      <c r="AV48" s="47">
        <f>AW48+AX48</f>
        <v>0</v>
      </c>
      <c r="AW48" s="47">
        <f>G48*AO48</f>
        <v>0</v>
      </c>
      <c r="AX48" s="47">
        <f>G48*AP48</f>
        <v>0</v>
      </c>
      <c r="AY48" s="50" t="s">
        <v>231</v>
      </c>
      <c r="AZ48" s="50" t="s">
        <v>242</v>
      </c>
      <c r="BA48" s="36" t="s">
        <v>246</v>
      </c>
      <c r="BC48" s="47">
        <f>AW48+AX48</f>
        <v>0</v>
      </c>
      <c r="BD48" s="47">
        <f>H48/(100-BE48)*100</f>
        <v>0</v>
      </c>
      <c r="BE48" s="47">
        <v>0</v>
      </c>
      <c r="BF48" s="47">
        <f>M48</f>
        <v>2.07462</v>
      </c>
      <c r="BH48" s="26">
        <f>G48*AO48</f>
        <v>0</v>
      </c>
      <c r="BI48" s="26">
        <f>G48*AP48</f>
        <v>0</v>
      </c>
      <c r="BJ48" s="26">
        <f>G48*H48</f>
        <v>0</v>
      </c>
      <c r="BK48" s="26" t="s">
        <v>251</v>
      </c>
      <c r="BL48" s="47">
        <v>57</v>
      </c>
    </row>
    <row r="49" spans="1:47" ht="12.75">
      <c r="A49" s="4"/>
      <c r="B49" s="15" t="s">
        <v>53</v>
      </c>
      <c r="C49" s="15" t="s">
        <v>84</v>
      </c>
      <c r="D49" s="117" t="s">
        <v>152</v>
      </c>
      <c r="E49" s="118"/>
      <c r="F49" s="23" t="s">
        <v>6</v>
      </c>
      <c r="G49" s="23" t="s">
        <v>6</v>
      </c>
      <c r="H49" s="23" t="s">
        <v>6</v>
      </c>
      <c r="I49" s="53">
        <f>SUM(I50:I50)</f>
        <v>0</v>
      </c>
      <c r="J49" s="53">
        <f>SUM(J50:J50)</f>
        <v>0</v>
      </c>
      <c r="K49" s="53">
        <f>SUM(K50:K50)</f>
        <v>0</v>
      </c>
      <c r="L49" s="36"/>
      <c r="M49" s="53">
        <f>SUM(M50:M50)</f>
        <v>0.04704</v>
      </c>
      <c r="N49" s="41"/>
      <c r="O49" s="7"/>
      <c r="AI49" s="36" t="s">
        <v>53</v>
      </c>
      <c r="AS49" s="53">
        <f>SUM(AJ50:AJ50)</f>
        <v>0</v>
      </c>
      <c r="AT49" s="53">
        <f>SUM(AK50:AK50)</f>
        <v>0</v>
      </c>
      <c r="AU49" s="53">
        <f>SUM(AL50:AL50)</f>
        <v>0</v>
      </c>
    </row>
    <row r="50" spans="1:64" ht="12.75">
      <c r="A50" s="5" t="s">
        <v>33</v>
      </c>
      <c r="B50" s="16" t="s">
        <v>53</v>
      </c>
      <c r="C50" s="16" t="s">
        <v>85</v>
      </c>
      <c r="D50" s="119" t="s">
        <v>153</v>
      </c>
      <c r="E50" s="120"/>
      <c r="F50" s="16" t="s">
        <v>190</v>
      </c>
      <c r="G50" s="26">
        <v>21</v>
      </c>
      <c r="H50" s="162"/>
      <c r="I50" s="26">
        <f>G50*AO50</f>
        <v>0</v>
      </c>
      <c r="J50" s="26">
        <f>G50*AP50</f>
        <v>0</v>
      </c>
      <c r="K50" s="26">
        <f>G50*H50</f>
        <v>0</v>
      </c>
      <c r="L50" s="26">
        <v>0.00224</v>
      </c>
      <c r="M50" s="26">
        <f>G50*L50</f>
        <v>0.04704</v>
      </c>
      <c r="N50" s="42" t="s">
        <v>213</v>
      </c>
      <c r="O50" s="7"/>
      <c r="Z50" s="47">
        <f>IF(AQ50="5",BJ50,0)</f>
        <v>0</v>
      </c>
      <c r="AB50" s="47">
        <f>IF(AQ50="1",BH50,0)</f>
        <v>0</v>
      </c>
      <c r="AC50" s="47">
        <f>IF(AQ50="1",BI50,0)</f>
        <v>0</v>
      </c>
      <c r="AD50" s="47">
        <f>IF(AQ50="7",BH50,0)</f>
        <v>0</v>
      </c>
      <c r="AE50" s="47">
        <f>IF(AQ50="7",BI50,0)</f>
        <v>0</v>
      </c>
      <c r="AF50" s="47">
        <f>IF(AQ50="2",BH50,0)</f>
        <v>0</v>
      </c>
      <c r="AG50" s="47">
        <f>IF(AQ50="2",BI50,0)</f>
        <v>0</v>
      </c>
      <c r="AH50" s="47">
        <f>IF(AQ50="0",BJ50,0)</f>
        <v>0</v>
      </c>
      <c r="AI50" s="36" t="s">
        <v>53</v>
      </c>
      <c r="AJ50" s="26">
        <f>IF(AN50=0,K50,0)</f>
        <v>0</v>
      </c>
      <c r="AK50" s="26">
        <f>IF(AN50=15,K50,0)</f>
        <v>0</v>
      </c>
      <c r="AL50" s="26">
        <f>IF(AN50=21,K50,0)</f>
        <v>0</v>
      </c>
      <c r="AN50" s="47">
        <v>21</v>
      </c>
      <c r="AO50" s="47">
        <f>H50*0.32399430668964</f>
        <v>0</v>
      </c>
      <c r="AP50" s="47">
        <f>H50*(1-0.32399430668964)</f>
        <v>0</v>
      </c>
      <c r="AQ50" s="48" t="s">
        <v>7</v>
      </c>
      <c r="AV50" s="47">
        <f>AW50+AX50</f>
        <v>0</v>
      </c>
      <c r="AW50" s="47">
        <f>G50*AO50</f>
        <v>0</v>
      </c>
      <c r="AX50" s="47">
        <f>G50*AP50</f>
        <v>0</v>
      </c>
      <c r="AY50" s="50" t="s">
        <v>232</v>
      </c>
      <c r="AZ50" s="50" t="s">
        <v>242</v>
      </c>
      <c r="BA50" s="36" t="s">
        <v>246</v>
      </c>
      <c r="BC50" s="47">
        <f>AW50+AX50</f>
        <v>0</v>
      </c>
      <c r="BD50" s="47">
        <f>H50/(100-BE50)*100</f>
        <v>0</v>
      </c>
      <c r="BE50" s="47">
        <v>0</v>
      </c>
      <c r="BF50" s="47">
        <f>M50</f>
        <v>0.04704</v>
      </c>
      <c r="BH50" s="26">
        <f>G50*AO50</f>
        <v>0</v>
      </c>
      <c r="BI50" s="26">
        <f>G50*AP50</f>
        <v>0</v>
      </c>
      <c r="BJ50" s="26">
        <f>G50*H50</f>
        <v>0</v>
      </c>
      <c r="BK50" s="26" t="s">
        <v>251</v>
      </c>
      <c r="BL50" s="47">
        <v>59</v>
      </c>
    </row>
    <row r="51" spans="1:47" ht="12.75">
      <c r="A51" s="4"/>
      <c r="B51" s="15" t="s">
        <v>53</v>
      </c>
      <c r="C51" s="15" t="s">
        <v>86</v>
      </c>
      <c r="D51" s="117" t="s">
        <v>154</v>
      </c>
      <c r="E51" s="118"/>
      <c r="F51" s="23" t="s">
        <v>6</v>
      </c>
      <c r="G51" s="23" t="s">
        <v>6</v>
      </c>
      <c r="H51" s="23" t="s">
        <v>6</v>
      </c>
      <c r="I51" s="53">
        <f>SUM(I52:I54)</f>
        <v>0</v>
      </c>
      <c r="J51" s="53">
        <f>SUM(J52:J54)</f>
        <v>0</v>
      </c>
      <c r="K51" s="53">
        <f>SUM(K52:K54)</f>
        <v>0</v>
      </c>
      <c r="L51" s="36"/>
      <c r="M51" s="53">
        <f>SUM(M52:M54)</f>
        <v>216.36628</v>
      </c>
      <c r="N51" s="41"/>
      <c r="O51" s="7"/>
      <c r="AI51" s="36" t="s">
        <v>53</v>
      </c>
      <c r="AS51" s="53">
        <f>SUM(AJ52:AJ54)</f>
        <v>0</v>
      </c>
      <c r="AT51" s="53">
        <f>SUM(AK52:AK54)</f>
        <v>0</v>
      </c>
      <c r="AU51" s="53">
        <f>SUM(AL52:AL54)</f>
        <v>0</v>
      </c>
    </row>
    <row r="52" spans="1:64" ht="12.75">
      <c r="A52" s="5" t="s">
        <v>34</v>
      </c>
      <c r="B52" s="16" t="s">
        <v>53</v>
      </c>
      <c r="C52" s="16" t="s">
        <v>87</v>
      </c>
      <c r="D52" s="119" t="s">
        <v>155</v>
      </c>
      <c r="E52" s="120"/>
      <c r="F52" s="16" t="s">
        <v>190</v>
      </c>
      <c r="G52" s="26">
        <v>52</v>
      </c>
      <c r="H52" s="162"/>
      <c r="I52" s="26">
        <f>G52*AO52</f>
        <v>0</v>
      </c>
      <c r="J52" s="26">
        <f>G52*AP52</f>
        <v>0</v>
      </c>
      <c r="K52" s="26">
        <f>G52*H52</f>
        <v>0</v>
      </c>
      <c r="L52" s="26">
        <v>0.58717</v>
      </c>
      <c r="M52" s="26">
        <f>G52*L52</f>
        <v>30.53284</v>
      </c>
      <c r="N52" s="42" t="s">
        <v>213</v>
      </c>
      <c r="O52" s="7"/>
      <c r="Z52" s="47">
        <f>IF(AQ52="5",BJ52,0)</f>
        <v>0</v>
      </c>
      <c r="AB52" s="47">
        <f>IF(AQ52="1",BH52,0)</f>
        <v>0</v>
      </c>
      <c r="AC52" s="47">
        <f>IF(AQ52="1",BI52,0)</f>
        <v>0</v>
      </c>
      <c r="AD52" s="47">
        <f>IF(AQ52="7",BH52,0)</f>
        <v>0</v>
      </c>
      <c r="AE52" s="47">
        <f>IF(AQ52="7",BI52,0)</f>
        <v>0</v>
      </c>
      <c r="AF52" s="47">
        <f>IF(AQ52="2",BH52,0)</f>
        <v>0</v>
      </c>
      <c r="AG52" s="47">
        <f>IF(AQ52="2",BI52,0)</f>
        <v>0</v>
      </c>
      <c r="AH52" s="47">
        <f>IF(AQ52="0",BJ52,0)</f>
        <v>0</v>
      </c>
      <c r="AI52" s="36" t="s">
        <v>53</v>
      </c>
      <c r="AJ52" s="26">
        <f>IF(AN52=0,K52,0)</f>
        <v>0</v>
      </c>
      <c r="AK52" s="26">
        <f>IF(AN52=15,K52,0)</f>
        <v>0</v>
      </c>
      <c r="AL52" s="26">
        <f>IF(AN52=21,K52,0)</f>
        <v>0</v>
      </c>
      <c r="AN52" s="47">
        <v>21</v>
      </c>
      <c r="AO52" s="47">
        <f>H52*0.207053488625375</f>
        <v>0</v>
      </c>
      <c r="AP52" s="47">
        <f>H52*(1-0.207053488625375)</f>
        <v>0</v>
      </c>
      <c r="AQ52" s="48" t="s">
        <v>7</v>
      </c>
      <c r="AV52" s="47">
        <f>AW52+AX52</f>
        <v>0</v>
      </c>
      <c r="AW52" s="47">
        <f>G52*AO52</f>
        <v>0</v>
      </c>
      <c r="AX52" s="47">
        <f>G52*AP52</f>
        <v>0</v>
      </c>
      <c r="AY52" s="50" t="s">
        <v>233</v>
      </c>
      <c r="AZ52" s="50" t="s">
        <v>243</v>
      </c>
      <c r="BA52" s="36" t="s">
        <v>246</v>
      </c>
      <c r="BC52" s="47">
        <f>AW52+AX52</f>
        <v>0</v>
      </c>
      <c r="BD52" s="47">
        <f>H52/(100-BE52)*100</f>
        <v>0</v>
      </c>
      <c r="BE52" s="47">
        <v>0</v>
      </c>
      <c r="BF52" s="47">
        <f>M52</f>
        <v>30.53284</v>
      </c>
      <c r="BH52" s="26">
        <f>G52*AO52</f>
        <v>0</v>
      </c>
      <c r="BI52" s="26">
        <f>G52*AP52</f>
        <v>0</v>
      </c>
      <c r="BJ52" s="26">
        <f>G52*H52</f>
        <v>0</v>
      </c>
      <c r="BK52" s="26" t="s">
        <v>251</v>
      </c>
      <c r="BL52" s="47">
        <v>83</v>
      </c>
    </row>
    <row r="53" spans="1:15" ht="12.75">
      <c r="A53" s="7"/>
      <c r="C53" s="20" t="s">
        <v>88</v>
      </c>
      <c r="D53" s="123" t="s">
        <v>156</v>
      </c>
      <c r="E53" s="124"/>
      <c r="F53" s="124"/>
      <c r="G53" s="124"/>
      <c r="H53" s="124"/>
      <c r="I53" s="124"/>
      <c r="J53" s="124"/>
      <c r="K53" s="124"/>
      <c r="L53" s="124"/>
      <c r="M53" s="124"/>
      <c r="N53" s="125"/>
      <c r="O53" s="7"/>
    </row>
    <row r="54" spans="1:64" ht="12.75">
      <c r="A54" s="5" t="s">
        <v>35</v>
      </c>
      <c r="B54" s="16" t="s">
        <v>53</v>
      </c>
      <c r="C54" s="16" t="s">
        <v>89</v>
      </c>
      <c r="D54" s="119" t="s">
        <v>157</v>
      </c>
      <c r="E54" s="120"/>
      <c r="F54" s="16" t="s">
        <v>190</v>
      </c>
      <c r="G54" s="26">
        <v>162</v>
      </c>
      <c r="H54" s="162"/>
      <c r="I54" s="26">
        <f>G54*AO54</f>
        <v>0</v>
      </c>
      <c r="J54" s="26">
        <f>G54*AP54</f>
        <v>0</v>
      </c>
      <c r="K54" s="26">
        <f>G54*H54</f>
        <v>0</v>
      </c>
      <c r="L54" s="26">
        <v>1.14712</v>
      </c>
      <c r="M54" s="26">
        <f>G54*L54</f>
        <v>185.83344</v>
      </c>
      <c r="N54" s="42" t="s">
        <v>213</v>
      </c>
      <c r="O54" s="7"/>
      <c r="Z54" s="47">
        <f>IF(AQ54="5",BJ54,0)</f>
        <v>0</v>
      </c>
      <c r="AB54" s="47">
        <f>IF(AQ54="1",BH54,0)</f>
        <v>0</v>
      </c>
      <c r="AC54" s="47">
        <f>IF(AQ54="1",BI54,0)</f>
        <v>0</v>
      </c>
      <c r="AD54" s="47">
        <f>IF(AQ54="7",BH54,0)</f>
        <v>0</v>
      </c>
      <c r="AE54" s="47">
        <f>IF(AQ54="7",BI54,0)</f>
        <v>0</v>
      </c>
      <c r="AF54" s="47">
        <f>IF(AQ54="2",BH54,0)</f>
        <v>0</v>
      </c>
      <c r="AG54" s="47">
        <f>IF(AQ54="2",BI54,0)</f>
        <v>0</v>
      </c>
      <c r="AH54" s="47">
        <f>IF(AQ54="0",BJ54,0)</f>
        <v>0</v>
      </c>
      <c r="AI54" s="36" t="s">
        <v>53</v>
      </c>
      <c r="AJ54" s="26">
        <f>IF(AN54=0,K54,0)</f>
        <v>0</v>
      </c>
      <c r="AK54" s="26">
        <f>IF(AN54=15,K54,0)</f>
        <v>0</v>
      </c>
      <c r="AL54" s="26">
        <f>IF(AN54=21,K54,0)</f>
        <v>0</v>
      </c>
      <c r="AN54" s="47">
        <v>21</v>
      </c>
      <c r="AO54" s="47">
        <f>H54*0.484912113091567</f>
        <v>0</v>
      </c>
      <c r="AP54" s="47">
        <f>H54*(1-0.484912113091567)</f>
        <v>0</v>
      </c>
      <c r="AQ54" s="48" t="s">
        <v>7</v>
      </c>
      <c r="AV54" s="47">
        <f>AW54+AX54</f>
        <v>0</v>
      </c>
      <c r="AW54" s="47">
        <f>G54*AO54</f>
        <v>0</v>
      </c>
      <c r="AX54" s="47">
        <f>G54*AP54</f>
        <v>0</v>
      </c>
      <c r="AY54" s="50" t="s">
        <v>233</v>
      </c>
      <c r="AZ54" s="50" t="s">
        <v>243</v>
      </c>
      <c r="BA54" s="36" t="s">
        <v>246</v>
      </c>
      <c r="BC54" s="47">
        <f>AW54+AX54</f>
        <v>0</v>
      </c>
      <c r="BD54" s="47">
        <f>H54/(100-BE54)*100</f>
        <v>0</v>
      </c>
      <c r="BE54" s="47">
        <v>0</v>
      </c>
      <c r="BF54" s="47">
        <f>M54</f>
        <v>185.83344</v>
      </c>
      <c r="BH54" s="26">
        <f>G54*AO54</f>
        <v>0</v>
      </c>
      <c r="BI54" s="26">
        <f>G54*AP54</f>
        <v>0</v>
      </c>
      <c r="BJ54" s="26">
        <f>G54*H54</f>
        <v>0</v>
      </c>
      <c r="BK54" s="26" t="s">
        <v>251</v>
      </c>
      <c r="BL54" s="47">
        <v>83</v>
      </c>
    </row>
    <row r="55" spans="1:15" ht="38.25" customHeight="1">
      <c r="A55" s="7"/>
      <c r="C55" s="20" t="s">
        <v>90</v>
      </c>
      <c r="D55" s="126" t="s">
        <v>158</v>
      </c>
      <c r="E55" s="127"/>
      <c r="F55" s="127"/>
      <c r="G55" s="127"/>
      <c r="H55" s="127"/>
      <c r="I55" s="127"/>
      <c r="J55" s="127"/>
      <c r="K55" s="127"/>
      <c r="L55" s="127"/>
      <c r="M55" s="127"/>
      <c r="N55" s="128"/>
      <c r="O55" s="7"/>
    </row>
    <row r="56" spans="1:47" ht="12.75">
      <c r="A56" s="4"/>
      <c r="B56" s="15" t="s">
        <v>53</v>
      </c>
      <c r="C56" s="15" t="s">
        <v>91</v>
      </c>
      <c r="D56" s="117" t="s">
        <v>159</v>
      </c>
      <c r="E56" s="118"/>
      <c r="F56" s="23" t="s">
        <v>6</v>
      </c>
      <c r="G56" s="23" t="s">
        <v>6</v>
      </c>
      <c r="H56" s="23" t="s">
        <v>6</v>
      </c>
      <c r="I56" s="53">
        <f>SUM(I57:I61)</f>
        <v>0</v>
      </c>
      <c r="J56" s="53">
        <f>SUM(J57:J61)</f>
        <v>0</v>
      </c>
      <c r="K56" s="53">
        <f>SUM(K57:K61)</f>
        <v>0</v>
      </c>
      <c r="L56" s="36"/>
      <c r="M56" s="53">
        <f>SUM(M57:M61)</f>
        <v>51.41582</v>
      </c>
      <c r="N56" s="41"/>
      <c r="O56" s="7"/>
      <c r="AI56" s="36" t="s">
        <v>53</v>
      </c>
      <c r="AS56" s="53">
        <f>SUM(AJ57:AJ61)</f>
        <v>0</v>
      </c>
      <c r="AT56" s="53">
        <f>SUM(AK57:AK61)</f>
        <v>0</v>
      </c>
      <c r="AU56" s="53">
        <f>SUM(AL57:AL61)</f>
        <v>0</v>
      </c>
    </row>
    <row r="57" spans="1:64" ht="12.75">
      <c r="A57" s="5" t="s">
        <v>36</v>
      </c>
      <c r="B57" s="16" t="s">
        <v>53</v>
      </c>
      <c r="C57" s="16" t="s">
        <v>92</v>
      </c>
      <c r="D57" s="119" t="s">
        <v>160</v>
      </c>
      <c r="E57" s="120"/>
      <c r="F57" s="16" t="s">
        <v>192</v>
      </c>
      <c r="G57" s="26">
        <v>9</v>
      </c>
      <c r="H57" s="162"/>
      <c r="I57" s="26">
        <f>G57*AO57</f>
        <v>0</v>
      </c>
      <c r="J57" s="26">
        <f>G57*AP57</f>
        <v>0</v>
      </c>
      <c r="K57" s="26">
        <f>G57*H57</f>
        <v>0</v>
      </c>
      <c r="L57" s="26">
        <v>0.79886</v>
      </c>
      <c r="M57" s="26">
        <f>G57*L57</f>
        <v>7.1897400000000005</v>
      </c>
      <c r="N57" s="42" t="s">
        <v>213</v>
      </c>
      <c r="O57" s="7"/>
      <c r="Z57" s="47">
        <f>IF(AQ57="5",BJ57,0)</f>
        <v>0</v>
      </c>
      <c r="AB57" s="47">
        <f>IF(AQ57="1",BH57,0)</f>
        <v>0</v>
      </c>
      <c r="AC57" s="47">
        <f>IF(AQ57="1",BI57,0)</f>
        <v>0</v>
      </c>
      <c r="AD57" s="47">
        <f>IF(AQ57="7",BH57,0)</f>
        <v>0</v>
      </c>
      <c r="AE57" s="47">
        <f>IF(AQ57="7",BI57,0)</f>
        <v>0</v>
      </c>
      <c r="AF57" s="47">
        <f>IF(AQ57="2",BH57,0)</f>
        <v>0</v>
      </c>
      <c r="AG57" s="47">
        <f>IF(AQ57="2",BI57,0)</f>
        <v>0</v>
      </c>
      <c r="AH57" s="47">
        <f>IF(AQ57="0",BJ57,0)</f>
        <v>0</v>
      </c>
      <c r="AI57" s="36" t="s">
        <v>53</v>
      </c>
      <c r="AJ57" s="26">
        <f>IF(AN57=0,K57,0)</f>
        <v>0</v>
      </c>
      <c r="AK57" s="26">
        <f>IF(AN57=15,K57,0)</f>
        <v>0</v>
      </c>
      <c r="AL57" s="26">
        <f>IF(AN57=21,K57,0)</f>
        <v>0</v>
      </c>
      <c r="AN57" s="47">
        <v>21</v>
      </c>
      <c r="AO57" s="47">
        <f>H57*0.690714563746857</f>
        <v>0</v>
      </c>
      <c r="AP57" s="47">
        <f>H57*(1-0.690714563746857)</f>
        <v>0</v>
      </c>
      <c r="AQ57" s="48" t="s">
        <v>7</v>
      </c>
      <c r="AV57" s="47">
        <f>AW57+AX57</f>
        <v>0</v>
      </c>
      <c r="AW57" s="47">
        <f>G57*AO57</f>
        <v>0</v>
      </c>
      <c r="AX57" s="47">
        <f>G57*AP57</f>
        <v>0</v>
      </c>
      <c r="AY57" s="50" t="s">
        <v>234</v>
      </c>
      <c r="AZ57" s="50" t="s">
        <v>243</v>
      </c>
      <c r="BA57" s="36" t="s">
        <v>246</v>
      </c>
      <c r="BC57" s="47">
        <f>AW57+AX57</f>
        <v>0</v>
      </c>
      <c r="BD57" s="47">
        <f>H57/(100-BE57)*100</f>
        <v>0</v>
      </c>
      <c r="BE57" s="47">
        <v>0</v>
      </c>
      <c r="BF57" s="47">
        <f>M57</f>
        <v>7.1897400000000005</v>
      </c>
      <c r="BH57" s="26">
        <f>G57*AO57</f>
        <v>0</v>
      </c>
      <c r="BI57" s="26">
        <f>G57*AP57</f>
        <v>0</v>
      </c>
      <c r="BJ57" s="26">
        <f>G57*H57</f>
        <v>0</v>
      </c>
      <c r="BK57" s="26" t="s">
        <v>251</v>
      </c>
      <c r="BL57" s="47">
        <v>89</v>
      </c>
    </row>
    <row r="58" spans="1:15" ht="12.75">
      <c r="A58" s="7"/>
      <c r="C58" s="20" t="s">
        <v>88</v>
      </c>
      <c r="D58" s="123" t="s">
        <v>161</v>
      </c>
      <c r="E58" s="124"/>
      <c r="F58" s="124"/>
      <c r="G58" s="124"/>
      <c r="H58" s="124"/>
      <c r="I58" s="124"/>
      <c r="J58" s="124"/>
      <c r="K58" s="124"/>
      <c r="L58" s="124"/>
      <c r="M58" s="124"/>
      <c r="N58" s="125"/>
      <c r="O58" s="7"/>
    </row>
    <row r="59" spans="1:64" ht="12.75">
      <c r="A59" s="5" t="s">
        <v>37</v>
      </c>
      <c r="B59" s="16" t="s">
        <v>53</v>
      </c>
      <c r="C59" s="16" t="s">
        <v>93</v>
      </c>
      <c r="D59" s="119" t="s">
        <v>162</v>
      </c>
      <c r="E59" s="120"/>
      <c r="F59" s="16" t="s">
        <v>192</v>
      </c>
      <c r="G59" s="26">
        <v>21</v>
      </c>
      <c r="H59" s="162"/>
      <c r="I59" s="26">
        <f>G59*AO59</f>
        <v>0</v>
      </c>
      <c r="J59" s="26">
        <f>G59*AP59</f>
        <v>0</v>
      </c>
      <c r="K59" s="26">
        <f>G59*H59</f>
        <v>0</v>
      </c>
      <c r="L59" s="26">
        <v>0.3159</v>
      </c>
      <c r="M59" s="26">
        <f>G59*L59</f>
        <v>6.633900000000001</v>
      </c>
      <c r="N59" s="42" t="s">
        <v>213</v>
      </c>
      <c r="O59" s="7"/>
      <c r="Z59" s="47">
        <f>IF(AQ59="5",BJ59,0)</f>
        <v>0</v>
      </c>
      <c r="AB59" s="47">
        <f>IF(AQ59="1",BH59,0)</f>
        <v>0</v>
      </c>
      <c r="AC59" s="47">
        <f>IF(AQ59="1",BI59,0)</f>
        <v>0</v>
      </c>
      <c r="AD59" s="47">
        <f>IF(AQ59="7",BH59,0)</f>
        <v>0</v>
      </c>
      <c r="AE59" s="47">
        <f>IF(AQ59="7",BI59,0)</f>
        <v>0</v>
      </c>
      <c r="AF59" s="47">
        <f>IF(AQ59="2",BH59,0)</f>
        <v>0</v>
      </c>
      <c r="AG59" s="47">
        <f>IF(AQ59="2",BI59,0)</f>
        <v>0</v>
      </c>
      <c r="AH59" s="47">
        <f>IF(AQ59="0",BJ59,0)</f>
        <v>0</v>
      </c>
      <c r="AI59" s="36" t="s">
        <v>53</v>
      </c>
      <c r="AJ59" s="26">
        <f>IF(AN59=0,K59,0)</f>
        <v>0</v>
      </c>
      <c r="AK59" s="26">
        <f>IF(AN59=15,K59,0)</f>
        <v>0</v>
      </c>
      <c r="AL59" s="26">
        <f>IF(AN59=21,K59,0)</f>
        <v>0</v>
      </c>
      <c r="AN59" s="47">
        <v>21</v>
      </c>
      <c r="AO59" s="47">
        <f>H59*0.46133020344288</f>
        <v>0</v>
      </c>
      <c r="AP59" s="47">
        <f>H59*(1-0.46133020344288)</f>
        <v>0</v>
      </c>
      <c r="AQ59" s="48" t="s">
        <v>7</v>
      </c>
      <c r="AV59" s="47">
        <f>AW59+AX59</f>
        <v>0</v>
      </c>
      <c r="AW59" s="47">
        <f>G59*AO59</f>
        <v>0</v>
      </c>
      <c r="AX59" s="47">
        <f>G59*AP59</f>
        <v>0</v>
      </c>
      <c r="AY59" s="50" t="s">
        <v>234</v>
      </c>
      <c r="AZ59" s="50" t="s">
        <v>243</v>
      </c>
      <c r="BA59" s="36" t="s">
        <v>246</v>
      </c>
      <c r="BC59" s="47">
        <f>AW59+AX59</f>
        <v>0</v>
      </c>
      <c r="BD59" s="47">
        <f>H59/(100-BE59)*100</f>
        <v>0</v>
      </c>
      <c r="BE59" s="47">
        <v>0</v>
      </c>
      <c r="BF59" s="47">
        <f>M59</f>
        <v>6.633900000000001</v>
      </c>
      <c r="BH59" s="26">
        <f>G59*AO59</f>
        <v>0</v>
      </c>
      <c r="BI59" s="26">
        <f>G59*AP59</f>
        <v>0</v>
      </c>
      <c r="BJ59" s="26">
        <f>G59*H59</f>
        <v>0</v>
      </c>
      <c r="BK59" s="26" t="s">
        <v>251</v>
      </c>
      <c r="BL59" s="47">
        <v>89</v>
      </c>
    </row>
    <row r="60" spans="1:64" ht="12.75">
      <c r="A60" s="5" t="s">
        <v>38</v>
      </c>
      <c r="B60" s="16" t="s">
        <v>53</v>
      </c>
      <c r="C60" s="16" t="s">
        <v>94</v>
      </c>
      <c r="D60" s="119" t="s">
        <v>163</v>
      </c>
      <c r="E60" s="120"/>
      <c r="F60" s="16" t="s">
        <v>192</v>
      </c>
      <c r="G60" s="26">
        <v>15</v>
      </c>
      <c r="H60" s="162"/>
      <c r="I60" s="26">
        <f>G60*AO60</f>
        <v>0</v>
      </c>
      <c r="J60" s="26">
        <f>G60*AP60</f>
        <v>0</v>
      </c>
      <c r="K60" s="26">
        <f>G60*H60</f>
        <v>0</v>
      </c>
      <c r="L60" s="26">
        <v>0.43094</v>
      </c>
      <c r="M60" s="26">
        <f>G60*L60</f>
        <v>6.4641</v>
      </c>
      <c r="N60" s="42" t="s">
        <v>213</v>
      </c>
      <c r="O60" s="7"/>
      <c r="Z60" s="47">
        <f>IF(AQ60="5",BJ60,0)</f>
        <v>0</v>
      </c>
      <c r="AB60" s="47">
        <f>IF(AQ60="1",BH60,0)</f>
        <v>0</v>
      </c>
      <c r="AC60" s="47">
        <f>IF(AQ60="1",BI60,0)</f>
        <v>0</v>
      </c>
      <c r="AD60" s="47">
        <f>IF(AQ60="7",BH60,0)</f>
        <v>0</v>
      </c>
      <c r="AE60" s="47">
        <f>IF(AQ60="7",BI60,0)</f>
        <v>0</v>
      </c>
      <c r="AF60" s="47">
        <f>IF(AQ60="2",BH60,0)</f>
        <v>0</v>
      </c>
      <c r="AG60" s="47">
        <f>IF(AQ60="2",BI60,0)</f>
        <v>0</v>
      </c>
      <c r="AH60" s="47">
        <f>IF(AQ60="0",BJ60,0)</f>
        <v>0</v>
      </c>
      <c r="AI60" s="36" t="s">
        <v>53</v>
      </c>
      <c r="AJ60" s="26">
        <f>IF(AN60=0,K60,0)</f>
        <v>0</v>
      </c>
      <c r="AK60" s="26">
        <f>IF(AN60=15,K60,0)</f>
        <v>0</v>
      </c>
      <c r="AL60" s="26">
        <f>IF(AN60=21,K60,0)</f>
        <v>0</v>
      </c>
      <c r="AN60" s="47">
        <v>21</v>
      </c>
      <c r="AO60" s="47">
        <f>H60*0.308160164271047</f>
        <v>0</v>
      </c>
      <c r="AP60" s="47">
        <f>H60*(1-0.308160164271047)</f>
        <v>0</v>
      </c>
      <c r="AQ60" s="48" t="s">
        <v>7</v>
      </c>
      <c r="AV60" s="47">
        <f>AW60+AX60</f>
        <v>0</v>
      </c>
      <c r="AW60" s="47">
        <f>G60*AO60</f>
        <v>0</v>
      </c>
      <c r="AX60" s="47">
        <f>G60*AP60</f>
        <v>0</v>
      </c>
      <c r="AY60" s="50" t="s">
        <v>234</v>
      </c>
      <c r="AZ60" s="50" t="s">
        <v>243</v>
      </c>
      <c r="BA60" s="36" t="s">
        <v>246</v>
      </c>
      <c r="BC60" s="47">
        <f>AW60+AX60</f>
        <v>0</v>
      </c>
      <c r="BD60" s="47">
        <f>H60/(100-BE60)*100</f>
        <v>0</v>
      </c>
      <c r="BE60" s="47">
        <v>0</v>
      </c>
      <c r="BF60" s="47">
        <f>M60</f>
        <v>6.4641</v>
      </c>
      <c r="BH60" s="26">
        <f>G60*AO60</f>
        <v>0</v>
      </c>
      <c r="BI60" s="26">
        <f>G60*AP60</f>
        <v>0</v>
      </c>
      <c r="BJ60" s="26">
        <f>G60*H60</f>
        <v>0</v>
      </c>
      <c r="BK60" s="26" t="s">
        <v>251</v>
      </c>
      <c r="BL60" s="47">
        <v>89</v>
      </c>
    </row>
    <row r="61" spans="1:64" ht="12.75">
      <c r="A61" s="5" t="s">
        <v>39</v>
      </c>
      <c r="B61" s="16" t="s">
        <v>53</v>
      </c>
      <c r="C61" s="16" t="s">
        <v>95</v>
      </c>
      <c r="D61" s="119" t="s">
        <v>164</v>
      </c>
      <c r="E61" s="120"/>
      <c r="F61" s="16" t="s">
        <v>192</v>
      </c>
      <c r="G61" s="26">
        <v>8</v>
      </c>
      <c r="H61" s="162"/>
      <c r="I61" s="26">
        <f>G61*AO61</f>
        <v>0</v>
      </c>
      <c r="J61" s="26">
        <f>G61*AP61</f>
        <v>0</v>
      </c>
      <c r="K61" s="26">
        <f>G61*H61</f>
        <v>0</v>
      </c>
      <c r="L61" s="26">
        <v>3.89101</v>
      </c>
      <c r="M61" s="26">
        <f>G61*L61</f>
        <v>31.12808</v>
      </c>
      <c r="N61" s="42" t="s">
        <v>213</v>
      </c>
      <c r="O61" s="7"/>
      <c r="Z61" s="47">
        <f>IF(AQ61="5",BJ61,0)</f>
        <v>0</v>
      </c>
      <c r="AB61" s="47">
        <f>IF(AQ61="1",BH61,0)</f>
        <v>0</v>
      </c>
      <c r="AC61" s="47">
        <f>IF(AQ61="1",BI61,0)</f>
        <v>0</v>
      </c>
      <c r="AD61" s="47">
        <f>IF(AQ61="7",BH61,0)</f>
        <v>0</v>
      </c>
      <c r="AE61" s="47">
        <f>IF(AQ61="7",BI61,0)</f>
        <v>0</v>
      </c>
      <c r="AF61" s="47">
        <f>IF(AQ61="2",BH61,0)</f>
        <v>0</v>
      </c>
      <c r="AG61" s="47">
        <f>IF(AQ61="2",BI61,0)</f>
        <v>0</v>
      </c>
      <c r="AH61" s="47">
        <f>IF(AQ61="0",BJ61,0)</f>
        <v>0</v>
      </c>
      <c r="AI61" s="36" t="s">
        <v>53</v>
      </c>
      <c r="AJ61" s="26">
        <f>IF(AN61=0,K61,0)</f>
        <v>0</v>
      </c>
      <c r="AK61" s="26">
        <f>IF(AN61=15,K61,0)</f>
        <v>0</v>
      </c>
      <c r="AL61" s="26">
        <f>IF(AN61=21,K61,0)</f>
        <v>0</v>
      </c>
      <c r="AN61" s="47">
        <v>21</v>
      </c>
      <c r="AO61" s="47">
        <f>H61*0.825481838600173</f>
        <v>0</v>
      </c>
      <c r="AP61" s="47">
        <f>H61*(1-0.825481838600173)</f>
        <v>0</v>
      </c>
      <c r="AQ61" s="48" t="s">
        <v>7</v>
      </c>
      <c r="AV61" s="47">
        <f>AW61+AX61</f>
        <v>0</v>
      </c>
      <c r="AW61" s="47">
        <f>G61*AO61</f>
        <v>0</v>
      </c>
      <c r="AX61" s="47">
        <f>G61*AP61</f>
        <v>0</v>
      </c>
      <c r="AY61" s="50" t="s">
        <v>234</v>
      </c>
      <c r="AZ61" s="50" t="s">
        <v>243</v>
      </c>
      <c r="BA61" s="36" t="s">
        <v>246</v>
      </c>
      <c r="BC61" s="47">
        <f>AW61+AX61</f>
        <v>0</v>
      </c>
      <c r="BD61" s="47">
        <f>H61/(100-BE61)*100</f>
        <v>0</v>
      </c>
      <c r="BE61" s="47">
        <v>0</v>
      </c>
      <c r="BF61" s="47">
        <f>M61</f>
        <v>31.12808</v>
      </c>
      <c r="BH61" s="26">
        <f>G61*AO61</f>
        <v>0</v>
      </c>
      <c r="BI61" s="26">
        <f>G61*AP61</f>
        <v>0</v>
      </c>
      <c r="BJ61" s="26">
        <f>G61*H61</f>
        <v>0</v>
      </c>
      <c r="BK61" s="26" t="s">
        <v>251</v>
      </c>
      <c r="BL61" s="47">
        <v>89</v>
      </c>
    </row>
    <row r="62" spans="1:15" ht="12.75">
      <c r="A62" s="7"/>
      <c r="C62" s="20" t="s">
        <v>90</v>
      </c>
      <c r="D62" s="126" t="s">
        <v>165</v>
      </c>
      <c r="E62" s="127"/>
      <c r="F62" s="127"/>
      <c r="G62" s="127"/>
      <c r="H62" s="127"/>
      <c r="I62" s="127"/>
      <c r="J62" s="127"/>
      <c r="K62" s="127"/>
      <c r="L62" s="127"/>
      <c r="M62" s="127"/>
      <c r="N62" s="128"/>
      <c r="O62" s="7"/>
    </row>
    <row r="63" spans="1:47" ht="12.75">
      <c r="A63" s="4"/>
      <c r="B63" s="15" t="s">
        <v>53</v>
      </c>
      <c r="C63" s="15" t="s">
        <v>96</v>
      </c>
      <c r="D63" s="117" t="s">
        <v>166</v>
      </c>
      <c r="E63" s="118"/>
      <c r="F63" s="23" t="s">
        <v>6</v>
      </c>
      <c r="G63" s="23" t="s">
        <v>6</v>
      </c>
      <c r="H63" s="23" t="s">
        <v>6</v>
      </c>
      <c r="I63" s="53">
        <f>SUM(I64:I68)</f>
        <v>0</v>
      </c>
      <c r="J63" s="53">
        <f>SUM(J64:J68)</f>
        <v>0</v>
      </c>
      <c r="K63" s="53">
        <f>SUM(K64:K68)</f>
        <v>0</v>
      </c>
      <c r="L63" s="36"/>
      <c r="M63" s="53">
        <f>SUM(M64:M68)</f>
        <v>290.7467782</v>
      </c>
      <c r="N63" s="41"/>
      <c r="O63" s="7"/>
      <c r="AI63" s="36" t="s">
        <v>53</v>
      </c>
      <c r="AS63" s="53">
        <f>SUM(AJ64:AJ68)</f>
        <v>0</v>
      </c>
      <c r="AT63" s="53">
        <f>SUM(AK64:AK68)</f>
        <v>0</v>
      </c>
      <c r="AU63" s="53">
        <f>SUM(AL64:AL68)</f>
        <v>0</v>
      </c>
    </row>
    <row r="64" spans="1:64" ht="12.75">
      <c r="A64" s="5" t="s">
        <v>40</v>
      </c>
      <c r="B64" s="16" t="s">
        <v>53</v>
      </c>
      <c r="C64" s="16" t="s">
        <v>97</v>
      </c>
      <c r="D64" s="119" t="s">
        <v>167</v>
      </c>
      <c r="E64" s="120"/>
      <c r="F64" s="16" t="s">
        <v>190</v>
      </c>
      <c r="G64" s="26">
        <v>21</v>
      </c>
      <c r="H64" s="162"/>
      <c r="I64" s="26">
        <f>G64*AO64</f>
        <v>0</v>
      </c>
      <c r="J64" s="26">
        <f>G64*AP64</f>
        <v>0</v>
      </c>
      <c r="K64" s="26">
        <f>G64*H64</f>
        <v>0</v>
      </c>
      <c r="L64" s="26">
        <v>0</v>
      </c>
      <c r="M64" s="26">
        <f>G64*L64</f>
        <v>0</v>
      </c>
      <c r="N64" s="42" t="s">
        <v>213</v>
      </c>
      <c r="O64" s="7"/>
      <c r="Z64" s="47">
        <f>IF(AQ64="5",BJ64,0)</f>
        <v>0</v>
      </c>
      <c r="AB64" s="47">
        <f>IF(AQ64="1",BH64,0)</f>
        <v>0</v>
      </c>
      <c r="AC64" s="47">
        <f>IF(AQ64="1",BI64,0)</f>
        <v>0</v>
      </c>
      <c r="AD64" s="47">
        <f>IF(AQ64="7",BH64,0)</f>
        <v>0</v>
      </c>
      <c r="AE64" s="47">
        <f>IF(AQ64="7",BI64,0)</f>
        <v>0</v>
      </c>
      <c r="AF64" s="47">
        <f>IF(AQ64="2",BH64,0)</f>
        <v>0</v>
      </c>
      <c r="AG64" s="47">
        <f>IF(AQ64="2",BI64,0)</f>
        <v>0</v>
      </c>
      <c r="AH64" s="47">
        <f>IF(AQ64="0",BJ64,0)</f>
        <v>0</v>
      </c>
      <c r="AI64" s="36" t="s">
        <v>53</v>
      </c>
      <c r="AJ64" s="26">
        <f>IF(AN64=0,K64,0)</f>
        <v>0</v>
      </c>
      <c r="AK64" s="26">
        <f>IF(AN64=15,K64,0)</f>
        <v>0</v>
      </c>
      <c r="AL64" s="26">
        <f>IF(AN64=21,K64,0)</f>
        <v>0</v>
      </c>
      <c r="AN64" s="47">
        <v>21</v>
      </c>
      <c r="AO64" s="47">
        <f>H64*0.589155555555556</f>
        <v>0</v>
      </c>
      <c r="AP64" s="47">
        <f>H64*(1-0.589155555555556)</f>
        <v>0</v>
      </c>
      <c r="AQ64" s="48" t="s">
        <v>7</v>
      </c>
      <c r="AV64" s="47">
        <f>AW64+AX64</f>
        <v>0</v>
      </c>
      <c r="AW64" s="47">
        <f>G64*AO64</f>
        <v>0</v>
      </c>
      <c r="AX64" s="47">
        <f>G64*AP64</f>
        <v>0</v>
      </c>
      <c r="AY64" s="50" t="s">
        <v>235</v>
      </c>
      <c r="AZ64" s="50" t="s">
        <v>244</v>
      </c>
      <c r="BA64" s="36" t="s">
        <v>246</v>
      </c>
      <c r="BC64" s="47">
        <f>AW64+AX64</f>
        <v>0</v>
      </c>
      <c r="BD64" s="47">
        <f>H64/(100-BE64)*100</f>
        <v>0</v>
      </c>
      <c r="BE64" s="47">
        <v>0</v>
      </c>
      <c r="BF64" s="47">
        <f>M64</f>
        <v>0</v>
      </c>
      <c r="BH64" s="26">
        <f>G64*AO64</f>
        <v>0</v>
      </c>
      <c r="BI64" s="26">
        <f>G64*AP64</f>
        <v>0</v>
      </c>
      <c r="BJ64" s="26">
        <f>G64*H64</f>
        <v>0</v>
      </c>
      <c r="BK64" s="26" t="s">
        <v>251</v>
      </c>
      <c r="BL64" s="47">
        <v>91</v>
      </c>
    </row>
    <row r="65" spans="1:64" ht="12.75">
      <c r="A65" s="5" t="s">
        <v>41</v>
      </c>
      <c r="B65" s="16" t="s">
        <v>53</v>
      </c>
      <c r="C65" s="16" t="s">
        <v>98</v>
      </c>
      <c r="D65" s="119" t="s">
        <v>168</v>
      </c>
      <c r="E65" s="120"/>
      <c r="F65" s="16" t="s">
        <v>190</v>
      </c>
      <c r="G65" s="26">
        <v>21</v>
      </c>
      <c r="H65" s="162"/>
      <c r="I65" s="26">
        <f>G65*AO65</f>
        <v>0</v>
      </c>
      <c r="J65" s="26">
        <f>G65*AP65</f>
        <v>0</v>
      </c>
      <c r="K65" s="26">
        <f>G65*H65</f>
        <v>0</v>
      </c>
      <c r="L65" s="26">
        <v>0</v>
      </c>
      <c r="M65" s="26">
        <f>G65*L65</f>
        <v>0</v>
      </c>
      <c r="N65" s="42" t="s">
        <v>213</v>
      </c>
      <c r="O65" s="7"/>
      <c r="Z65" s="47">
        <f>IF(AQ65="5",BJ65,0)</f>
        <v>0</v>
      </c>
      <c r="AB65" s="47">
        <f>IF(AQ65="1",BH65,0)</f>
        <v>0</v>
      </c>
      <c r="AC65" s="47">
        <f>IF(AQ65="1",BI65,0)</f>
        <v>0</v>
      </c>
      <c r="AD65" s="47">
        <f>IF(AQ65="7",BH65,0)</f>
        <v>0</v>
      </c>
      <c r="AE65" s="47">
        <f>IF(AQ65="7",BI65,0)</f>
        <v>0</v>
      </c>
      <c r="AF65" s="47">
        <f>IF(AQ65="2",BH65,0)</f>
        <v>0</v>
      </c>
      <c r="AG65" s="47">
        <f>IF(AQ65="2",BI65,0)</f>
        <v>0</v>
      </c>
      <c r="AH65" s="47">
        <f>IF(AQ65="0",BJ65,0)</f>
        <v>0</v>
      </c>
      <c r="AI65" s="36" t="s">
        <v>53</v>
      </c>
      <c r="AJ65" s="26">
        <f>IF(AN65=0,K65,0)</f>
        <v>0</v>
      </c>
      <c r="AK65" s="26">
        <f>IF(AN65=15,K65,0)</f>
        <v>0</v>
      </c>
      <c r="AL65" s="26">
        <f>IF(AN65=21,K65,0)</f>
        <v>0</v>
      </c>
      <c r="AN65" s="47">
        <v>21</v>
      </c>
      <c r="AO65" s="47">
        <f>H65*0</f>
        <v>0</v>
      </c>
      <c r="AP65" s="47">
        <f>H65*(1-0)</f>
        <v>0</v>
      </c>
      <c r="AQ65" s="48" t="s">
        <v>7</v>
      </c>
      <c r="AV65" s="47">
        <f>AW65+AX65</f>
        <v>0</v>
      </c>
      <c r="AW65" s="47">
        <f>G65*AO65</f>
        <v>0</v>
      </c>
      <c r="AX65" s="47">
        <f>G65*AP65</f>
        <v>0</v>
      </c>
      <c r="AY65" s="50" t="s">
        <v>235</v>
      </c>
      <c r="AZ65" s="50" t="s">
        <v>244</v>
      </c>
      <c r="BA65" s="36" t="s">
        <v>246</v>
      </c>
      <c r="BC65" s="47">
        <f>AW65+AX65</f>
        <v>0</v>
      </c>
      <c r="BD65" s="47">
        <f>H65/(100-BE65)*100</f>
        <v>0</v>
      </c>
      <c r="BE65" s="47">
        <v>0</v>
      </c>
      <c r="BF65" s="47">
        <f>M65</f>
        <v>0</v>
      </c>
      <c r="BH65" s="26">
        <f>G65*AO65</f>
        <v>0</v>
      </c>
      <c r="BI65" s="26">
        <f>G65*AP65</f>
        <v>0</v>
      </c>
      <c r="BJ65" s="26">
        <f>G65*H65</f>
        <v>0</v>
      </c>
      <c r="BK65" s="26" t="s">
        <v>251</v>
      </c>
      <c r="BL65" s="47">
        <v>91</v>
      </c>
    </row>
    <row r="66" spans="1:64" ht="12.75">
      <c r="A66" s="5" t="s">
        <v>42</v>
      </c>
      <c r="B66" s="16" t="s">
        <v>53</v>
      </c>
      <c r="C66" s="16" t="s">
        <v>99</v>
      </c>
      <c r="D66" s="119" t="s">
        <v>169</v>
      </c>
      <c r="E66" s="120"/>
      <c r="F66" s="16" t="s">
        <v>190</v>
      </c>
      <c r="G66" s="26">
        <v>1080</v>
      </c>
      <c r="H66" s="162"/>
      <c r="I66" s="26">
        <f>G66*AO66</f>
        <v>0</v>
      </c>
      <c r="J66" s="26">
        <f>G66*AP66</f>
        <v>0</v>
      </c>
      <c r="K66" s="26">
        <f>G66*H66</f>
        <v>0</v>
      </c>
      <c r="L66" s="26">
        <v>0.188</v>
      </c>
      <c r="M66" s="26">
        <f>G66*L66</f>
        <v>203.04</v>
      </c>
      <c r="N66" s="42" t="s">
        <v>213</v>
      </c>
      <c r="O66" s="7"/>
      <c r="Z66" s="47">
        <f>IF(AQ66="5",BJ66,0)</f>
        <v>0</v>
      </c>
      <c r="AB66" s="47">
        <f>IF(AQ66="1",BH66,0)</f>
        <v>0</v>
      </c>
      <c r="AC66" s="47">
        <f>IF(AQ66="1",BI66,0)</f>
        <v>0</v>
      </c>
      <c r="AD66" s="47">
        <f>IF(AQ66="7",BH66,0)</f>
        <v>0</v>
      </c>
      <c r="AE66" s="47">
        <f>IF(AQ66="7",BI66,0)</f>
        <v>0</v>
      </c>
      <c r="AF66" s="47">
        <f>IF(AQ66="2",BH66,0)</f>
        <v>0</v>
      </c>
      <c r="AG66" s="47">
        <f>IF(AQ66="2",BI66,0)</f>
        <v>0</v>
      </c>
      <c r="AH66" s="47">
        <f>IF(AQ66="0",BJ66,0)</f>
        <v>0</v>
      </c>
      <c r="AI66" s="36" t="s">
        <v>53</v>
      </c>
      <c r="AJ66" s="26">
        <f>IF(AN66=0,K66,0)</f>
        <v>0</v>
      </c>
      <c r="AK66" s="26">
        <f>IF(AN66=15,K66,0)</f>
        <v>0</v>
      </c>
      <c r="AL66" s="26">
        <f>IF(AN66=21,K66,0)</f>
        <v>0</v>
      </c>
      <c r="AN66" s="47">
        <v>21</v>
      </c>
      <c r="AO66" s="47">
        <f>H66*0.566876033057851</f>
        <v>0</v>
      </c>
      <c r="AP66" s="47">
        <f>H66*(1-0.566876033057851)</f>
        <v>0</v>
      </c>
      <c r="AQ66" s="48" t="s">
        <v>7</v>
      </c>
      <c r="AV66" s="47">
        <f>AW66+AX66</f>
        <v>0</v>
      </c>
      <c r="AW66" s="47">
        <f>G66*AO66</f>
        <v>0</v>
      </c>
      <c r="AX66" s="47">
        <f>G66*AP66</f>
        <v>0</v>
      </c>
      <c r="AY66" s="50" t="s">
        <v>235</v>
      </c>
      <c r="AZ66" s="50" t="s">
        <v>244</v>
      </c>
      <c r="BA66" s="36" t="s">
        <v>246</v>
      </c>
      <c r="BC66" s="47">
        <f>AW66+AX66</f>
        <v>0</v>
      </c>
      <c r="BD66" s="47">
        <f>H66/(100-BE66)*100</f>
        <v>0</v>
      </c>
      <c r="BE66" s="47">
        <v>0</v>
      </c>
      <c r="BF66" s="47">
        <f>M66</f>
        <v>203.04</v>
      </c>
      <c r="BH66" s="26">
        <f>G66*AO66</f>
        <v>0</v>
      </c>
      <c r="BI66" s="26">
        <f>G66*AP66</f>
        <v>0</v>
      </c>
      <c r="BJ66" s="26">
        <f>G66*H66</f>
        <v>0</v>
      </c>
      <c r="BK66" s="26" t="s">
        <v>251</v>
      </c>
      <c r="BL66" s="47">
        <v>91</v>
      </c>
    </row>
    <row r="67" spans="1:64" ht="12.75">
      <c r="A67" s="8" t="s">
        <v>43</v>
      </c>
      <c r="B67" s="18" t="s">
        <v>53</v>
      </c>
      <c r="C67" s="18" t="s">
        <v>100</v>
      </c>
      <c r="D67" s="129" t="s">
        <v>170</v>
      </c>
      <c r="E67" s="130"/>
      <c r="F67" s="18" t="s">
        <v>192</v>
      </c>
      <c r="G67" s="27">
        <v>1080.0022</v>
      </c>
      <c r="H67" s="163"/>
      <c r="I67" s="27">
        <f>G67*AO67</f>
        <v>0</v>
      </c>
      <c r="J67" s="27">
        <f>G67*AP67</f>
        <v>0</v>
      </c>
      <c r="K67" s="27">
        <f>G67*H67</f>
        <v>0</v>
      </c>
      <c r="L67" s="27">
        <v>0.081</v>
      </c>
      <c r="M67" s="27">
        <f>G67*L67</f>
        <v>87.4801782</v>
      </c>
      <c r="N67" s="44" t="s">
        <v>213</v>
      </c>
      <c r="O67" s="7"/>
      <c r="Z67" s="47">
        <f>IF(AQ67="5",BJ67,0)</f>
        <v>0</v>
      </c>
      <c r="AB67" s="47">
        <f>IF(AQ67="1",BH67,0)</f>
        <v>0</v>
      </c>
      <c r="AC67" s="47">
        <f>IF(AQ67="1",BI67,0)</f>
        <v>0</v>
      </c>
      <c r="AD67" s="47">
        <f>IF(AQ67="7",BH67,0)</f>
        <v>0</v>
      </c>
      <c r="AE67" s="47">
        <f>IF(AQ67="7",BI67,0)</f>
        <v>0</v>
      </c>
      <c r="AF67" s="47">
        <f>IF(AQ67="2",BH67,0)</f>
        <v>0</v>
      </c>
      <c r="AG67" s="47">
        <f>IF(AQ67="2",BI67,0)</f>
        <v>0</v>
      </c>
      <c r="AH67" s="47">
        <f>IF(AQ67="0",BJ67,0)</f>
        <v>0</v>
      </c>
      <c r="AI67" s="36" t="s">
        <v>53</v>
      </c>
      <c r="AJ67" s="27">
        <f>IF(AN67=0,K67,0)</f>
        <v>0</v>
      </c>
      <c r="AK67" s="27">
        <f>IF(AN67=15,K67,0)</f>
        <v>0</v>
      </c>
      <c r="AL67" s="27">
        <f>IF(AN67=21,K67,0)</f>
        <v>0</v>
      </c>
      <c r="AN67" s="47">
        <v>21</v>
      </c>
      <c r="AO67" s="47">
        <f>H67*1</f>
        <v>0</v>
      </c>
      <c r="AP67" s="47">
        <f>H67*(1-1)</f>
        <v>0</v>
      </c>
      <c r="AQ67" s="49" t="s">
        <v>7</v>
      </c>
      <c r="AV67" s="47">
        <f>AW67+AX67</f>
        <v>0</v>
      </c>
      <c r="AW67" s="47">
        <f>G67*AO67</f>
        <v>0</v>
      </c>
      <c r="AX67" s="47">
        <f>G67*AP67</f>
        <v>0</v>
      </c>
      <c r="AY67" s="50" t="s">
        <v>235</v>
      </c>
      <c r="AZ67" s="50" t="s">
        <v>244</v>
      </c>
      <c r="BA67" s="36" t="s">
        <v>246</v>
      </c>
      <c r="BC67" s="47">
        <f>AW67+AX67</f>
        <v>0</v>
      </c>
      <c r="BD67" s="47">
        <f>H67/(100-BE67)*100</f>
        <v>0</v>
      </c>
      <c r="BE67" s="47">
        <v>0</v>
      </c>
      <c r="BF67" s="47">
        <f>M67</f>
        <v>87.4801782</v>
      </c>
      <c r="BH67" s="27">
        <f>G67*AO67</f>
        <v>0</v>
      </c>
      <c r="BI67" s="27">
        <f>G67*AP67</f>
        <v>0</v>
      </c>
      <c r="BJ67" s="27">
        <f>G67*H67</f>
        <v>0</v>
      </c>
      <c r="BK67" s="27" t="s">
        <v>252</v>
      </c>
      <c r="BL67" s="47">
        <v>91</v>
      </c>
    </row>
    <row r="68" spans="1:64" ht="12.75">
      <c r="A68" s="5" t="s">
        <v>44</v>
      </c>
      <c r="B68" s="16" t="s">
        <v>53</v>
      </c>
      <c r="C68" s="16" t="s">
        <v>101</v>
      </c>
      <c r="D68" s="119" t="s">
        <v>171</v>
      </c>
      <c r="E68" s="120"/>
      <c r="F68" s="16" t="s">
        <v>192</v>
      </c>
      <c r="G68" s="26">
        <v>2</v>
      </c>
      <c r="H68" s="162"/>
      <c r="I68" s="26">
        <f>G68*AO68</f>
        <v>0</v>
      </c>
      <c r="J68" s="26">
        <f>G68*AP68</f>
        <v>0</v>
      </c>
      <c r="K68" s="26">
        <f>G68*H68</f>
        <v>0</v>
      </c>
      <c r="L68" s="26">
        <v>0.1133</v>
      </c>
      <c r="M68" s="26">
        <f>G68*L68</f>
        <v>0.2266</v>
      </c>
      <c r="N68" s="42" t="s">
        <v>213</v>
      </c>
      <c r="O68" s="7"/>
      <c r="Z68" s="47">
        <f>IF(AQ68="5",BJ68,0)</f>
        <v>0</v>
      </c>
      <c r="AB68" s="47">
        <f>IF(AQ68="1",BH68,0)</f>
        <v>0</v>
      </c>
      <c r="AC68" s="47">
        <f>IF(AQ68="1",BI68,0)</f>
        <v>0</v>
      </c>
      <c r="AD68" s="47">
        <f>IF(AQ68="7",BH68,0)</f>
        <v>0</v>
      </c>
      <c r="AE68" s="47">
        <f>IF(AQ68="7",BI68,0)</f>
        <v>0</v>
      </c>
      <c r="AF68" s="47">
        <f>IF(AQ68="2",BH68,0)</f>
        <v>0</v>
      </c>
      <c r="AG68" s="47">
        <f>IF(AQ68="2",BI68,0)</f>
        <v>0</v>
      </c>
      <c r="AH68" s="47">
        <f>IF(AQ68="0",BJ68,0)</f>
        <v>0</v>
      </c>
      <c r="AI68" s="36" t="s">
        <v>53</v>
      </c>
      <c r="AJ68" s="26">
        <f>IF(AN68=0,K68,0)</f>
        <v>0</v>
      </c>
      <c r="AK68" s="26">
        <f>IF(AN68=15,K68,0)</f>
        <v>0</v>
      </c>
      <c r="AL68" s="26">
        <f>IF(AN68=21,K68,0)</f>
        <v>0</v>
      </c>
      <c r="AN68" s="47">
        <v>21</v>
      </c>
      <c r="AO68" s="47">
        <f>H68*0.635979874168549</f>
        <v>0</v>
      </c>
      <c r="AP68" s="47">
        <f>H68*(1-0.635979874168549)</f>
        <v>0</v>
      </c>
      <c r="AQ68" s="48" t="s">
        <v>7</v>
      </c>
      <c r="AV68" s="47">
        <f>AW68+AX68</f>
        <v>0</v>
      </c>
      <c r="AW68" s="47">
        <f>G68*AO68</f>
        <v>0</v>
      </c>
      <c r="AX68" s="47">
        <f>G68*AP68</f>
        <v>0</v>
      </c>
      <c r="AY68" s="50" t="s">
        <v>235</v>
      </c>
      <c r="AZ68" s="50" t="s">
        <v>244</v>
      </c>
      <c r="BA68" s="36" t="s">
        <v>246</v>
      </c>
      <c r="BC68" s="47">
        <f>AW68+AX68</f>
        <v>0</v>
      </c>
      <c r="BD68" s="47">
        <f>H68/(100-BE68)*100</f>
        <v>0</v>
      </c>
      <c r="BE68" s="47">
        <v>0</v>
      </c>
      <c r="BF68" s="47">
        <f>M68</f>
        <v>0.2266</v>
      </c>
      <c r="BH68" s="26">
        <f>G68*AO68</f>
        <v>0</v>
      </c>
      <c r="BI68" s="26">
        <f>G68*AP68</f>
        <v>0</v>
      </c>
      <c r="BJ68" s="26">
        <f>G68*H68</f>
        <v>0</v>
      </c>
      <c r="BK68" s="26" t="s">
        <v>251</v>
      </c>
      <c r="BL68" s="47">
        <v>91</v>
      </c>
    </row>
    <row r="69" spans="1:47" ht="12.75">
      <c r="A69" s="4"/>
      <c r="B69" s="15" t="s">
        <v>53</v>
      </c>
      <c r="C69" s="15" t="s">
        <v>102</v>
      </c>
      <c r="D69" s="117" t="s">
        <v>172</v>
      </c>
      <c r="E69" s="118"/>
      <c r="F69" s="23" t="s">
        <v>6</v>
      </c>
      <c r="G69" s="23" t="s">
        <v>6</v>
      </c>
      <c r="H69" s="23" t="s">
        <v>6</v>
      </c>
      <c r="I69" s="53">
        <f>SUM(I70:I71)</f>
        <v>0</v>
      </c>
      <c r="J69" s="53">
        <f>SUM(J70:J71)</f>
        <v>0</v>
      </c>
      <c r="K69" s="53">
        <f>SUM(K70:K71)</f>
        <v>0</v>
      </c>
      <c r="L69" s="36"/>
      <c r="M69" s="53">
        <f>SUM(M70:M71)</f>
        <v>0.164</v>
      </c>
      <c r="N69" s="41"/>
      <c r="O69" s="7"/>
      <c r="AI69" s="36" t="s">
        <v>53</v>
      </c>
      <c r="AS69" s="53">
        <f>SUM(AJ70:AJ71)</f>
        <v>0</v>
      </c>
      <c r="AT69" s="53">
        <f>SUM(AK70:AK71)</f>
        <v>0</v>
      </c>
      <c r="AU69" s="53">
        <f>SUM(AL70:AL71)</f>
        <v>0</v>
      </c>
    </row>
    <row r="70" spans="1:64" ht="12.75">
      <c r="A70" s="5" t="s">
        <v>45</v>
      </c>
      <c r="B70" s="16" t="s">
        <v>53</v>
      </c>
      <c r="C70" s="16" t="s">
        <v>103</v>
      </c>
      <c r="D70" s="119" t="s">
        <v>173</v>
      </c>
      <c r="E70" s="120"/>
      <c r="F70" s="16" t="s">
        <v>192</v>
      </c>
      <c r="G70" s="26">
        <v>2</v>
      </c>
      <c r="H70" s="162"/>
      <c r="I70" s="26">
        <f>G70*AO70</f>
        <v>0</v>
      </c>
      <c r="J70" s="26">
        <f>G70*AP70</f>
        <v>0</v>
      </c>
      <c r="K70" s="26">
        <f>G70*H70</f>
        <v>0</v>
      </c>
      <c r="L70" s="26">
        <v>0.082</v>
      </c>
      <c r="M70" s="26">
        <f>G70*L70</f>
        <v>0.164</v>
      </c>
      <c r="N70" s="42" t="s">
        <v>213</v>
      </c>
      <c r="O70" s="7"/>
      <c r="Z70" s="47">
        <f>IF(AQ70="5",BJ70,0)</f>
        <v>0</v>
      </c>
      <c r="AB70" s="47">
        <f>IF(AQ70="1",BH70,0)</f>
        <v>0</v>
      </c>
      <c r="AC70" s="47">
        <f>IF(AQ70="1",BI70,0)</f>
        <v>0</v>
      </c>
      <c r="AD70" s="47">
        <f>IF(AQ70="7",BH70,0)</f>
        <v>0</v>
      </c>
      <c r="AE70" s="47">
        <f>IF(AQ70="7",BI70,0)</f>
        <v>0</v>
      </c>
      <c r="AF70" s="47">
        <f>IF(AQ70="2",BH70,0)</f>
        <v>0</v>
      </c>
      <c r="AG70" s="47">
        <f>IF(AQ70="2",BI70,0)</f>
        <v>0</v>
      </c>
      <c r="AH70" s="47">
        <f>IF(AQ70="0",BJ70,0)</f>
        <v>0</v>
      </c>
      <c r="AI70" s="36" t="s">
        <v>53</v>
      </c>
      <c r="AJ70" s="26">
        <f>IF(AN70=0,K70,0)</f>
        <v>0</v>
      </c>
      <c r="AK70" s="26">
        <f>IF(AN70=15,K70,0)</f>
        <v>0</v>
      </c>
      <c r="AL70" s="26">
        <f>IF(AN70=21,K70,0)</f>
        <v>0</v>
      </c>
      <c r="AN70" s="47">
        <v>21</v>
      </c>
      <c r="AO70" s="47">
        <f>H70*0</f>
        <v>0</v>
      </c>
      <c r="AP70" s="47">
        <f>H70*(1-0)</f>
        <v>0</v>
      </c>
      <c r="AQ70" s="48" t="s">
        <v>7</v>
      </c>
      <c r="AV70" s="47">
        <f>AW70+AX70</f>
        <v>0</v>
      </c>
      <c r="AW70" s="47">
        <f>G70*AO70</f>
        <v>0</v>
      </c>
      <c r="AX70" s="47">
        <f>G70*AP70</f>
        <v>0</v>
      </c>
      <c r="AY70" s="50" t="s">
        <v>236</v>
      </c>
      <c r="AZ70" s="50" t="s">
        <v>244</v>
      </c>
      <c r="BA70" s="36" t="s">
        <v>246</v>
      </c>
      <c r="BC70" s="47">
        <f>AW70+AX70</f>
        <v>0</v>
      </c>
      <c r="BD70" s="47">
        <f>H70/(100-BE70)*100</f>
        <v>0</v>
      </c>
      <c r="BE70" s="47">
        <v>0</v>
      </c>
      <c r="BF70" s="47">
        <f>M70</f>
        <v>0.164</v>
      </c>
      <c r="BH70" s="26">
        <f>G70*AO70</f>
        <v>0</v>
      </c>
      <c r="BI70" s="26">
        <f>G70*AP70</f>
        <v>0</v>
      </c>
      <c r="BJ70" s="26">
        <f>G70*H70</f>
        <v>0</v>
      </c>
      <c r="BK70" s="26" t="s">
        <v>251</v>
      </c>
      <c r="BL70" s="47">
        <v>96</v>
      </c>
    </row>
    <row r="71" spans="1:64" ht="12.75">
      <c r="A71" s="5" t="s">
        <v>46</v>
      </c>
      <c r="B71" s="16" t="s">
        <v>53</v>
      </c>
      <c r="C71" s="16" t="s">
        <v>104</v>
      </c>
      <c r="D71" s="119" t="s">
        <v>174</v>
      </c>
      <c r="E71" s="120"/>
      <c r="F71" s="16" t="s">
        <v>189</v>
      </c>
      <c r="G71" s="26">
        <v>3318.47957</v>
      </c>
      <c r="H71" s="162"/>
      <c r="I71" s="26">
        <f>G71*AO71</f>
        <v>0</v>
      </c>
      <c r="J71" s="26">
        <f>G71*AP71</f>
        <v>0</v>
      </c>
      <c r="K71" s="26">
        <f>G71*H71</f>
        <v>0</v>
      </c>
      <c r="L71" s="26">
        <v>0</v>
      </c>
      <c r="M71" s="26">
        <f>G71*L71</f>
        <v>0</v>
      </c>
      <c r="N71" s="42" t="s">
        <v>213</v>
      </c>
      <c r="O71" s="7"/>
      <c r="Z71" s="47">
        <f>IF(AQ71="5",BJ71,0)</f>
        <v>0</v>
      </c>
      <c r="AB71" s="47">
        <f>IF(AQ71="1",BH71,0)</f>
        <v>0</v>
      </c>
      <c r="AC71" s="47">
        <f>IF(AQ71="1",BI71,0)</f>
        <v>0</v>
      </c>
      <c r="AD71" s="47">
        <f>IF(AQ71="7",BH71,0)</f>
        <v>0</v>
      </c>
      <c r="AE71" s="47">
        <f>IF(AQ71="7",BI71,0)</f>
        <v>0</v>
      </c>
      <c r="AF71" s="47">
        <f>IF(AQ71="2",BH71,0)</f>
        <v>0</v>
      </c>
      <c r="AG71" s="47">
        <f>IF(AQ71="2",BI71,0)</f>
        <v>0</v>
      </c>
      <c r="AH71" s="47">
        <f>IF(AQ71="0",BJ71,0)</f>
        <v>0</v>
      </c>
      <c r="AI71" s="36" t="s">
        <v>53</v>
      </c>
      <c r="AJ71" s="26">
        <f>IF(AN71=0,K71,0)</f>
        <v>0</v>
      </c>
      <c r="AK71" s="26">
        <f>IF(AN71=15,K71,0)</f>
        <v>0</v>
      </c>
      <c r="AL71" s="26">
        <f>IF(AN71=21,K71,0)</f>
        <v>0</v>
      </c>
      <c r="AN71" s="47">
        <v>21</v>
      </c>
      <c r="AO71" s="47">
        <f>H71*0</f>
        <v>0</v>
      </c>
      <c r="AP71" s="47">
        <f>H71*(1-0)</f>
        <v>0</v>
      </c>
      <c r="AQ71" s="48" t="s">
        <v>11</v>
      </c>
      <c r="AV71" s="47">
        <f>AW71+AX71</f>
        <v>0</v>
      </c>
      <c r="AW71" s="47">
        <f>G71*AO71</f>
        <v>0</v>
      </c>
      <c r="AX71" s="47">
        <f>G71*AP71</f>
        <v>0</v>
      </c>
      <c r="AY71" s="50" t="s">
        <v>236</v>
      </c>
      <c r="AZ71" s="50" t="s">
        <v>244</v>
      </c>
      <c r="BA71" s="36" t="s">
        <v>246</v>
      </c>
      <c r="BC71" s="47">
        <f>AW71+AX71</f>
        <v>0</v>
      </c>
      <c r="BD71" s="47">
        <f>H71/(100-BE71)*100</f>
        <v>0</v>
      </c>
      <c r="BE71" s="47">
        <v>0</v>
      </c>
      <c r="BF71" s="47">
        <f>M71</f>
        <v>0</v>
      </c>
      <c r="BH71" s="26">
        <f>G71*AO71</f>
        <v>0</v>
      </c>
      <c r="BI71" s="26">
        <f>G71*AP71</f>
        <v>0</v>
      </c>
      <c r="BJ71" s="26">
        <f>G71*H71</f>
        <v>0</v>
      </c>
      <c r="BK71" s="26" t="s">
        <v>251</v>
      </c>
      <c r="BL71" s="47">
        <v>96</v>
      </c>
    </row>
    <row r="72" spans="1:47" ht="12.75">
      <c r="A72" s="4"/>
      <c r="B72" s="15" t="s">
        <v>53</v>
      </c>
      <c r="C72" s="15" t="s">
        <v>105</v>
      </c>
      <c r="D72" s="117" t="s">
        <v>175</v>
      </c>
      <c r="E72" s="118"/>
      <c r="F72" s="23" t="s">
        <v>6</v>
      </c>
      <c r="G72" s="23" t="s">
        <v>6</v>
      </c>
      <c r="H72" s="23" t="s">
        <v>6</v>
      </c>
      <c r="I72" s="53">
        <f>SUM(I73:I73)</f>
        <v>0</v>
      </c>
      <c r="J72" s="53">
        <f>SUM(J73:J73)</f>
        <v>0</v>
      </c>
      <c r="K72" s="53">
        <f>SUM(K73:K73)</f>
        <v>0</v>
      </c>
      <c r="L72" s="36"/>
      <c r="M72" s="53">
        <f>SUM(M73:M73)</f>
        <v>6.777</v>
      </c>
      <c r="N72" s="41"/>
      <c r="O72" s="7"/>
      <c r="AI72" s="36" t="s">
        <v>53</v>
      </c>
      <c r="AS72" s="53">
        <f>SUM(AJ73:AJ73)</f>
        <v>0</v>
      </c>
      <c r="AT72" s="53">
        <f>SUM(AK73:AK73)</f>
        <v>0</v>
      </c>
      <c r="AU72" s="53">
        <f>SUM(AL73:AL73)</f>
        <v>0</v>
      </c>
    </row>
    <row r="73" spans="1:64" ht="12.75">
      <c r="A73" s="5" t="s">
        <v>47</v>
      </c>
      <c r="B73" s="16" t="s">
        <v>53</v>
      </c>
      <c r="C73" s="16" t="s">
        <v>106</v>
      </c>
      <c r="D73" s="119" t="s">
        <v>176</v>
      </c>
      <c r="E73" s="120"/>
      <c r="F73" s="16" t="s">
        <v>193</v>
      </c>
      <c r="G73" s="26">
        <v>9</v>
      </c>
      <c r="H73" s="162"/>
      <c r="I73" s="26">
        <f>G73*AO73</f>
        <v>0</v>
      </c>
      <c r="J73" s="26">
        <f>G73*AP73</f>
        <v>0</v>
      </c>
      <c r="K73" s="26">
        <f>G73*H73</f>
        <v>0</v>
      </c>
      <c r="L73" s="26">
        <v>0.753</v>
      </c>
      <c r="M73" s="26">
        <f>G73*L73</f>
        <v>6.777</v>
      </c>
      <c r="N73" s="42" t="s">
        <v>212</v>
      </c>
      <c r="O73" s="7"/>
      <c r="Z73" s="47">
        <f>IF(AQ73="5",BJ73,0)</f>
        <v>0</v>
      </c>
      <c r="AB73" s="47">
        <f>IF(AQ73="1",BH73,0)</f>
        <v>0</v>
      </c>
      <c r="AC73" s="47">
        <f>IF(AQ73="1",BI73,0)</f>
        <v>0</v>
      </c>
      <c r="AD73" s="47">
        <f>IF(AQ73="7",BH73,0)</f>
        <v>0</v>
      </c>
      <c r="AE73" s="47">
        <f>IF(AQ73="7",BI73,0)</f>
        <v>0</v>
      </c>
      <c r="AF73" s="47">
        <f>IF(AQ73="2",BH73,0)</f>
        <v>0</v>
      </c>
      <c r="AG73" s="47">
        <f>IF(AQ73="2",BI73,0)</f>
        <v>0</v>
      </c>
      <c r="AH73" s="47">
        <f>IF(AQ73="0",BJ73,0)</f>
        <v>0</v>
      </c>
      <c r="AI73" s="36" t="s">
        <v>53</v>
      </c>
      <c r="AJ73" s="26">
        <f>IF(AN73=0,K73,0)</f>
        <v>0</v>
      </c>
      <c r="AK73" s="26">
        <f>IF(AN73=15,K73,0)</f>
        <v>0</v>
      </c>
      <c r="AL73" s="26">
        <f>IF(AN73=21,K73,0)</f>
        <v>0</v>
      </c>
      <c r="AN73" s="47">
        <v>21</v>
      </c>
      <c r="AO73" s="47">
        <f>H73*0</f>
        <v>0</v>
      </c>
      <c r="AP73" s="47">
        <f>H73*(1-0)</f>
        <v>0</v>
      </c>
      <c r="AQ73" s="48" t="s">
        <v>7</v>
      </c>
      <c r="AV73" s="47">
        <f>AW73+AX73</f>
        <v>0</v>
      </c>
      <c r="AW73" s="47">
        <f>G73*AO73</f>
        <v>0</v>
      </c>
      <c r="AX73" s="47">
        <f>G73*AP73</f>
        <v>0</v>
      </c>
      <c r="AY73" s="50" t="s">
        <v>237</v>
      </c>
      <c r="AZ73" s="50" t="s">
        <v>244</v>
      </c>
      <c r="BA73" s="36" t="s">
        <v>246</v>
      </c>
      <c r="BC73" s="47">
        <f>AW73+AX73</f>
        <v>0</v>
      </c>
      <c r="BD73" s="47">
        <f>H73/(100-BE73)*100</f>
        <v>0</v>
      </c>
      <c r="BE73" s="47">
        <v>0</v>
      </c>
      <c r="BF73" s="47">
        <f>M73</f>
        <v>6.777</v>
      </c>
      <c r="BH73" s="26">
        <f>G73*AO73</f>
        <v>0</v>
      </c>
      <c r="BI73" s="26">
        <f>G73*AP73</f>
        <v>0</v>
      </c>
      <c r="BJ73" s="26">
        <f>G73*H73</f>
        <v>0</v>
      </c>
      <c r="BK73" s="26" t="s">
        <v>251</v>
      </c>
      <c r="BL73" s="47">
        <v>966</v>
      </c>
    </row>
    <row r="74" spans="1:47" ht="12.75">
      <c r="A74" s="4"/>
      <c r="B74" s="15" t="s">
        <v>53</v>
      </c>
      <c r="C74" s="15" t="s">
        <v>107</v>
      </c>
      <c r="D74" s="117" t="s">
        <v>177</v>
      </c>
      <c r="E74" s="118"/>
      <c r="F74" s="23" t="s">
        <v>6</v>
      </c>
      <c r="G74" s="23" t="s">
        <v>6</v>
      </c>
      <c r="H74" s="23" t="s">
        <v>6</v>
      </c>
      <c r="I74" s="53">
        <f>SUM(I75:I75)</f>
        <v>0</v>
      </c>
      <c r="J74" s="53">
        <f>SUM(J75:J75)</f>
        <v>0</v>
      </c>
      <c r="K74" s="53">
        <f>SUM(K75:K75)</f>
        <v>0</v>
      </c>
      <c r="L74" s="36"/>
      <c r="M74" s="53">
        <f>SUM(M75:M75)</f>
        <v>0</v>
      </c>
      <c r="N74" s="41"/>
      <c r="O74" s="7"/>
      <c r="AI74" s="36" t="s">
        <v>53</v>
      </c>
      <c r="AS74" s="53">
        <f>SUM(AJ75:AJ75)</f>
        <v>0</v>
      </c>
      <c r="AT74" s="53">
        <f>SUM(AK75:AK75)</f>
        <v>0</v>
      </c>
      <c r="AU74" s="53">
        <f>SUM(AL75:AL75)</f>
        <v>0</v>
      </c>
    </row>
    <row r="75" spans="1:64" ht="12.75">
      <c r="A75" s="5" t="s">
        <v>48</v>
      </c>
      <c r="B75" s="16" t="s">
        <v>53</v>
      </c>
      <c r="C75" s="16" t="s">
        <v>108</v>
      </c>
      <c r="D75" s="119" t="s">
        <v>178</v>
      </c>
      <c r="E75" s="120"/>
      <c r="F75" s="16" t="s">
        <v>189</v>
      </c>
      <c r="G75" s="26">
        <v>1448.712</v>
      </c>
      <c r="H75" s="162"/>
      <c r="I75" s="26">
        <f>G75*AO75</f>
        <v>0</v>
      </c>
      <c r="J75" s="26">
        <f>G75*AP75</f>
        <v>0</v>
      </c>
      <c r="K75" s="26">
        <f>G75*H75</f>
        <v>0</v>
      </c>
      <c r="L75" s="26">
        <v>0</v>
      </c>
      <c r="M75" s="26">
        <f>G75*L75</f>
        <v>0</v>
      </c>
      <c r="N75" s="42" t="s">
        <v>213</v>
      </c>
      <c r="O75" s="7"/>
      <c r="Z75" s="47">
        <f>IF(AQ75="5",BJ75,0)</f>
        <v>0</v>
      </c>
      <c r="AB75" s="47">
        <f>IF(AQ75="1",BH75,0)</f>
        <v>0</v>
      </c>
      <c r="AC75" s="47">
        <f>IF(AQ75="1",BI75,0)</f>
        <v>0</v>
      </c>
      <c r="AD75" s="47">
        <f>IF(AQ75="7",BH75,0)</f>
        <v>0</v>
      </c>
      <c r="AE75" s="47">
        <f>IF(AQ75="7",BI75,0)</f>
        <v>0</v>
      </c>
      <c r="AF75" s="47">
        <f>IF(AQ75="2",BH75,0)</f>
        <v>0</v>
      </c>
      <c r="AG75" s="47">
        <f>IF(AQ75="2",BI75,0)</f>
        <v>0</v>
      </c>
      <c r="AH75" s="47">
        <f>IF(AQ75="0",BJ75,0)</f>
        <v>0</v>
      </c>
      <c r="AI75" s="36" t="s">
        <v>53</v>
      </c>
      <c r="AJ75" s="26">
        <f>IF(AN75=0,K75,0)</f>
        <v>0</v>
      </c>
      <c r="AK75" s="26">
        <f>IF(AN75=15,K75,0)</f>
        <v>0</v>
      </c>
      <c r="AL75" s="26">
        <f>IF(AN75=21,K75,0)</f>
        <v>0</v>
      </c>
      <c r="AN75" s="47">
        <v>21</v>
      </c>
      <c r="AO75" s="47">
        <f>H75*0</f>
        <v>0</v>
      </c>
      <c r="AP75" s="47">
        <f>H75*(1-0)</f>
        <v>0</v>
      </c>
      <c r="AQ75" s="48" t="s">
        <v>11</v>
      </c>
      <c r="AV75" s="47">
        <f>AW75+AX75</f>
        <v>0</v>
      </c>
      <c r="AW75" s="47">
        <f>G75*AO75</f>
        <v>0</v>
      </c>
      <c r="AX75" s="47">
        <f>G75*AP75</f>
        <v>0</v>
      </c>
      <c r="AY75" s="50" t="s">
        <v>238</v>
      </c>
      <c r="AZ75" s="50" t="s">
        <v>244</v>
      </c>
      <c r="BA75" s="36" t="s">
        <v>246</v>
      </c>
      <c r="BC75" s="47">
        <f>AW75+AX75</f>
        <v>0</v>
      </c>
      <c r="BD75" s="47">
        <f>H75/(100-BE75)*100</f>
        <v>0</v>
      </c>
      <c r="BE75" s="47">
        <v>0</v>
      </c>
      <c r="BF75" s="47">
        <f>M75</f>
        <v>0</v>
      </c>
      <c r="BH75" s="26">
        <f>G75*AO75</f>
        <v>0</v>
      </c>
      <c r="BI75" s="26">
        <f>G75*AP75</f>
        <v>0</v>
      </c>
      <c r="BJ75" s="26">
        <f>G75*H75</f>
        <v>0</v>
      </c>
      <c r="BK75" s="26" t="s">
        <v>251</v>
      </c>
      <c r="BL75" s="47" t="s">
        <v>107</v>
      </c>
    </row>
    <row r="76" spans="1:47" ht="12.75">
      <c r="A76" s="4"/>
      <c r="B76" s="15" t="s">
        <v>53</v>
      </c>
      <c r="C76" s="15" t="s">
        <v>109</v>
      </c>
      <c r="D76" s="117" t="s">
        <v>179</v>
      </c>
      <c r="E76" s="118"/>
      <c r="F76" s="23" t="s">
        <v>6</v>
      </c>
      <c r="G76" s="23" t="s">
        <v>6</v>
      </c>
      <c r="H76" s="23" t="s">
        <v>6</v>
      </c>
      <c r="I76" s="53">
        <f>SUM(I77:I77)</f>
        <v>0</v>
      </c>
      <c r="J76" s="53">
        <f>SUM(J77:J77)</f>
        <v>0</v>
      </c>
      <c r="K76" s="53">
        <f>SUM(K77:K77)</f>
        <v>0</v>
      </c>
      <c r="L76" s="36"/>
      <c r="M76" s="53">
        <f>SUM(M77:M77)</f>
        <v>0</v>
      </c>
      <c r="N76" s="41"/>
      <c r="O76" s="7"/>
      <c r="AI76" s="36" t="s">
        <v>53</v>
      </c>
      <c r="AS76" s="53">
        <f>SUM(AJ77:AJ77)</f>
        <v>0</v>
      </c>
      <c r="AT76" s="53">
        <f>SUM(AK77:AK77)</f>
        <v>0</v>
      </c>
      <c r="AU76" s="53">
        <f>SUM(AL77:AL77)</f>
        <v>0</v>
      </c>
    </row>
    <row r="77" spans="1:64" ht="12.75">
      <c r="A77" s="9" t="s">
        <v>49</v>
      </c>
      <c r="B77" s="19" t="s">
        <v>53</v>
      </c>
      <c r="C77" s="19" t="s">
        <v>110</v>
      </c>
      <c r="D77" s="131" t="s">
        <v>180</v>
      </c>
      <c r="E77" s="132"/>
      <c r="F77" s="19" t="s">
        <v>189</v>
      </c>
      <c r="G77" s="28">
        <v>14487.12</v>
      </c>
      <c r="H77" s="162"/>
      <c r="I77" s="28">
        <f>G77*AO77</f>
        <v>0</v>
      </c>
      <c r="J77" s="28">
        <f>G77*AP77</f>
        <v>0</v>
      </c>
      <c r="K77" s="28">
        <f>G77*H77</f>
        <v>0</v>
      </c>
      <c r="L77" s="28">
        <v>0</v>
      </c>
      <c r="M77" s="28">
        <f>G77*L77</f>
        <v>0</v>
      </c>
      <c r="N77" s="45" t="s">
        <v>213</v>
      </c>
      <c r="O77" s="7"/>
      <c r="Z77" s="47">
        <f>IF(AQ77="5",BJ77,0)</f>
        <v>0</v>
      </c>
      <c r="AB77" s="47">
        <f>IF(AQ77="1",BH77,0)</f>
        <v>0</v>
      </c>
      <c r="AC77" s="47">
        <f>IF(AQ77="1",BI77,0)</f>
        <v>0</v>
      </c>
      <c r="AD77" s="47">
        <f>IF(AQ77="7",BH77,0)</f>
        <v>0</v>
      </c>
      <c r="AE77" s="47">
        <f>IF(AQ77="7",BI77,0)</f>
        <v>0</v>
      </c>
      <c r="AF77" s="47">
        <f>IF(AQ77="2",BH77,0)</f>
        <v>0</v>
      </c>
      <c r="AG77" s="47">
        <f>IF(AQ77="2",BI77,0)</f>
        <v>0</v>
      </c>
      <c r="AH77" s="47">
        <f>IF(AQ77="0",BJ77,0)</f>
        <v>0</v>
      </c>
      <c r="AI77" s="36" t="s">
        <v>53</v>
      </c>
      <c r="AJ77" s="26">
        <f>IF(AN77=0,K77,0)</f>
        <v>0</v>
      </c>
      <c r="AK77" s="26">
        <f>IF(AN77=15,K77,0)</f>
        <v>0</v>
      </c>
      <c r="AL77" s="26">
        <f>IF(AN77=21,K77,0)</f>
        <v>0</v>
      </c>
      <c r="AN77" s="47">
        <v>21</v>
      </c>
      <c r="AO77" s="47">
        <f>H77*0</f>
        <v>0</v>
      </c>
      <c r="AP77" s="47">
        <f>H77*(1-0)</f>
        <v>0</v>
      </c>
      <c r="AQ77" s="48" t="s">
        <v>11</v>
      </c>
      <c r="AV77" s="47">
        <f>AW77+AX77</f>
        <v>0</v>
      </c>
      <c r="AW77" s="47">
        <f>G77*AO77</f>
        <v>0</v>
      </c>
      <c r="AX77" s="47">
        <f>G77*AP77</f>
        <v>0</v>
      </c>
      <c r="AY77" s="50" t="s">
        <v>239</v>
      </c>
      <c r="AZ77" s="50" t="s">
        <v>244</v>
      </c>
      <c r="BA77" s="36" t="s">
        <v>246</v>
      </c>
      <c r="BC77" s="47">
        <f>AW77+AX77</f>
        <v>0</v>
      </c>
      <c r="BD77" s="47">
        <f>H77/(100-BE77)*100</f>
        <v>0</v>
      </c>
      <c r="BE77" s="47">
        <v>0</v>
      </c>
      <c r="BF77" s="47">
        <f>M77</f>
        <v>0</v>
      </c>
      <c r="BH77" s="26">
        <f>G77*AO77</f>
        <v>0</v>
      </c>
      <c r="BI77" s="26">
        <f>G77*AP77</f>
        <v>0</v>
      </c>
      <c r="BJ77" s="26">
        <f>G77*H77</f>
        <v>0</v>
      </c>
      <c r="BK77" s="26" t="s">
        <v>251</v>
      </c>
      <c r="BL77" s="47" t="s">
        <v>109</v>
      </c>
    </row>
    <row r="78" spans="1:14" ht="12.75">
      <c r="A78" s="10"/>
      <c r="B78" s="10"/>
      <c r="C78" s="10"/>
      <c r="D78" s="10"/>
      <c r="E78" s="10"/>
      <c r="F78" s="10"/>
      <c r="G78" s="10"/>
      <c r="H78" s="10"/>
      <c r="I78" s="133" t="s">
        <v>204</v>
      </c>
      <c r="J78" s="96"/>
      <c r="K78" s="55">
        <f>K13+K23+K30+K34+K36+K38+K40+K42+K46+K49+K51+K56+K63+K69+K72+K74+K76</f>
        <v>0</v>
      </c>
      <c r="L78" s="10"/>
      <c r="M78" s="10"/>
      <c r="N78" s="10"/>
    </row>
    <row r="79" ht="11.25" customHeight="1">
      <c r="A79" s="11" t="s">
        <v>50</v>
      </c>
    </row>
    <row r="80" spans="1:14" ht="12.75">
      <c r="A80" s="103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</row>
  </sheetData>
  <sheetProtection/>
  <mergeCells count="97">
    <mergeCell ref="D74:E74"/>
    <mergeCell ref="D75:E75"/>
    <mergeCell ref="D76:E76"/>
    <mergeCell ref="D77:E77"/>
    <mergeCell ref="I78:J78"/>
    <mergeCell ref="A80:N80"/>
    <mergeCell ref="D68:E68"/>
    <mergeCell ref="D69:E69"/>
    <mergeCell ref="D70:E70"/>
    <mergeCell ref="D71:E71"/>
    <mergeCell ref="D72:E72"/>
    <mergeCell ref="D73:E73"/>
    <mergeCell ref="D62:N62"/>
    <mergeCell ref="D63:E63"/>
    <mergeCell ref="D64:E64"/>
    <mergeCell ref="D65:E65"/>
    <mergeCell ref="D66:E66"/>
    <mergeCell ref="D67:E67"/>
    <mergeCell ref="D56:E56"/>
    <mergeCell ref="D57:E57"/>
    <mergeCell ref="D58:N58"/>
    <mergeCell ref="D59:E59"/>
    <mergeCell ref="D60:E60"/>
    <mergeCell ref="D61:E61"/>
    <mergeCell ref="D50:E50"/>
    <mergeCell ref="D51:E51"/>
    <mergeCell ref="D52:E52"/>
    <mergeCell ref="D53:N53"/>
    <mergeCell ref="D54:E54"/>
    <mergeCell ref="D55:N55"/>
    <mergeCell ref="D44:E44"/>
    <mergeCell ref="D45:E45"/>
    <mergeCell ref="D46:E46"/>
    <mergeCell ref="D47:E47"/>
    <mergeCell ref="D48:E48"/>
    <mergeCell ref="D49:E49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D10:E10"/>
    <mergeCell ref="I10:K10"/>
    <mergeCell ref="L10:M10"/>
    <mergeCell ref="D11:E11"/>
    <mergeCell ref="D12:E12"/>
    <mergeCell ref="D13:E13"/>
    <mergeCell ref="A8:C9"/>
    <mergeCell ref="D8:E9"/>
    <mergeCell ref="F8:G9"/>
    <mergeCell ref="H8:H9"/>
    <mergeCell ref="I8:I9"/>
    <mergeCell ref="J8:N9"/>
    <mergeCell ref="A6:C7"/>
    <mergeCell ref="D6:E7"/>
    <mergeCell ref="F6:G7"/>
    <mergeCell ref="H6:H7"/>
    <mergeCell ref="I6:I7"/>
    <mergeCell ref="J6:N7"/>
    <mergeCell ref="A4:C5"/>
    <mergeCell ref="D4:E5"/>
    <mergeCell ref="F4:G5"/>
    <mergeCell ref="H4:H5"/>
    <mergeCell ref="I4:I5"/>
    <mergeCell ref="J4:N5"/>
    <mergeCell ref="A1:N1"/>
    <mergeCell ref="A2:C3"/>
    <mergeCell ref="D2:E3"/>
    <mergeCell ref="F2:G3"/>
    <mergeCell ref="H2:H3"/>
    <mergeCell ref="I2:I3"/>
    <mergeCell ref="J2:N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2" width="7.140625" style="0" customWidth="1"/>
    <col min="3" max="3" width="57.140625" style="0" customWidth="1"/>
    <col min="4" max="4" width="22.140625" style="0" customWidth="1"/>
    <col min="5" max="5" width="21.00390625" style="0" customWidth="1"/>
    <col min="6" max="6" width="20.8515625" style="0" customWidth="1"/>
    <col min="7" max="7" width="37.140625" style="0" customWidth="1"/>
    <col min="8" max="9" width="0" style="0" hidden="1" customWidth="1"/>
  </cols>
  <sheetData>
    <row r="1" spans="1:7" ht="72.75" customHeight="1">
      <c r="A1" s="89" t="s">
        <v>254</v>
      </c>
      <c r="B1" s="90"/>
      <c r="C1" s="90"/>
      <c r="D1" s="90"/>
      <c r="E1" s="90"/>
      <c r="F1" s="90"/>
      <c r="G1" s="90"/>
    </row>
    <row r="2" spans="1:8" ht="12.75">
      <c r="A2" s="91" t="s">
        <v>1</v>
      </c>
      <c r="B2" s="92"/>
      <c r="C2" s="95" t="str">
        <f>'Stavební rozpočet'!D2</f>
        <v>OPRAVA MK - HLUBOKÉ MAŠŮVKY</v>
      </c>
      <c r="D2" s="98" t="s">
        <v>181</v>
      </c>
      <c r="E2" s="98" t="s">
        <v>6</v>
      </c>
      <c r="F2" s="99" t="s">
        <v>198</v>
      </c>
      <c r="G2" s="134" t="str">
        <f>'Stavební rozpočet'!J2</f>
        <v> </v>
      </c>
      <c r="H2" s="7"/>
    </row>
    <row r="3" spans="1:8" ht="12.75">
      <c r="A3" s="93"/>
      <c r="B3" s="94"/>
      <c r="C3" s="97"/>
      <c r="D3" s="94"/>
      <c r="E3" s="94"/>
      <c r="F3" s="94"/>
      <c r="G3" s="101"/>
      <c r="H3" s="7"/>
    </row>
    <row r="4" spans="1:8" ht="12.75">
      <c r="A4" s="102" t="s">
        <v>2</v>
      </c>
      <c r="B4" s="94"/>
      <c r="C4" s="103" t="str">
        <f>'Stavební rozpočet'!D4</f>
        <v>POZEMNÍ KOMUNIKACE</v>
      </c>
      <c r="D4" s="104" t="s">
        <v>182</v>
      </c>
      <c r="E4" s="104" t="s">
        <v>195</v>
      </c>
      <c r="F4" s="103" t="s">
        <v>199</v>
      </c>
      <c r="G4" s="135" t="str">
        <f>'Stavební rozpočet'!J4</f>
        <v> </v>
      </c>
      <c r="H4" s="7"/>
    </row>
    <row r="5" spans="1:8" ht="12.75">
      <c r="A5" s="93"/>
      <c r="B5" s="94"/>
      <c r="C5" s="94"/>
      <c r="D5" s="94"/>
      <c r="E5" s="94"/>
      <c r="F5" s="94"/>
      <c r="G5" s="101"/>
      <c r="H5" s="7"/>
    </row>
    <row r="6" spans="1:8" ht="12.75">
      <c r="A6" s="102" t="s">
        <v>3</v>
      </c>
      <c r="B6" s="94"/>
      <c r="C6" s="103" t="str">
        <f>'Stavební rozpočet'!D6</f>
        <v>HLUBOKÉ MAŠŮVKY</v>
      </c>
      <c r="D6" s="104" t="s">
        <v>183</v>
      </c>
      <c r="E6" s="104" t="s">
        <v>6</v>
      </c>
      <c r="F6" s="103" t="s">
        <v>200</v>
      </c>
      <c r="G6" s="135" t="str">
        <f>'Stavební rozpočet'!J6</f>
        <v> </v>
      </c>
      <c r="H6" s="7"/>
    </row>
    <row r="7" spans="1:8" ht="12.75">
      <c r="A7" s="93"/>
      <c r="B7" s="94"/>
      <c r="C7" s="94"/>
      <c r="D7" s="94"/>
      <c r="E7" s="94"/>
      <c r="F7" s="94"/>
      <c r="G7" s="101"/>
      <c r="H7" s="7"/>
    </row>
    <row r="8" spans="1:8" ht="12.75">
      <c r="A8" s="102" t="s">
        <v>201</v>
      </c>
      <c r="B8" s="94"/>
      <c r="C8" s="103" t="str">
        <f>'Stavební rozpočet'!J8</f>
        <v> </v>
      </c>
      <c r="D8" s="104" t="s">
        <v>184</v>
      </c>
      <c r="E8" s="104" t="s">
        <v>195</v>
      </c>
      <c r="F8" s="104" t="s">
        <v>184</v>
      </c>
      <c r="G8" s="135" t="str">
        <f>'Stavební rozpočet'!H8</f>
        <v>07.12.2020</v>
      </c>
      <c r="H8" s="7"/>
    </row>
    <row r="9" spans="1:8" ht="12.75">
      <c r="A9" s="105"/>
      <c r="B9" s="106"/>
      <c r="C9" s="106"/>
      <c r="D9" s="106"/>
      <c r="E9" s="106"/>
      <c r="F9" s="106"/>
      <c r="G9" s="107"/>
      <c r="H9" s="7"/>
    </row>
    <row r="10" spans="1:8" ht="12.75">
      <c r="A10" s="56" t="s">
        <v>51</v>
      </c>
      <c r="B10" s="60" t="s">
        <v>54</v>
      </c>
      <c r="C10" s="63" t="s">
        <v>255</v>
      </c>
      <c r="D10" s="64" t="s">
        <v>256</v>
      </c>
      <c r="E10" s="64" t="s">
        <v>257</v>
      </c>
      <c r="F10" s="64" t="s">
        <v>258</v>
      </c>
      <c r="G10" s="65" t="s">
        <v>259</v>
      </c>
      <c r="H10" s="46"/>
    </row>
    <row r="11" spans="1:9" ht="12.75">
      <c r="A11" s="57" t="s">
        <v>52</v>
      </c>
      <c r="B11" s="61"/>
      <c r="C11" s="61" t="s">
        <v>116</v>
      </c>
      <c r="D11" s="67">
        <f>'Stavební rozpočet'!I12</f>
        <v>0</v>
      </c>
      <c r="E11" s="67">
        <f>'Stavební rozpočet'!J12</f>
        <v>0</v>
      </c>
      <c r="F11" s="67">
        <f>'Stavební rozpočet'!K12</f>
        <v>0</v>
      </c>
      <c r="G11" s="69">
        <f>'Stavební rozpočet'!M12</f>
        <v>0</v>
      </c>
      <c r="H11" s="66" t="s">
        <v>260</v>
      </c>
      <c r="I11" s="47">
        <f aca="true" t="shared" si="0" ref="I11:I29">IF(H11="F",0,F11)</f>
        <v>0</v>
      </c>
    </row>
    <row r="12" spans="1:9" ht="12.75">
      <c r="A12" s="58" t="s">
        <v>52</v>
      </c>
      <c r="B12" s="21" t="s">
        <v>55</v>
      </c>
      <c r="C12" s="21"/>
      <c r="D12" s="47">
        <f>'Stavební rozpočet'!I13</f>
        <v>0</v>
      </c>
      <c r="E12" s="47">
        <f>'Stavební rozpočet'!J13</f>
        <v>0</v>
      </c>
      <c r="F12" s="47">
        <f>'Stavební rozpočet'!K13</f>
        <v>0</v>
      </c>
      <c r="G12" s="70">
        <f>'Stavební rozpočet'!M13</f>
        <v>0</v>
      </c>
      <c r="H12" s="66" t="s">
        <v>261</v>
      </c>
      <c r="I12" s="47">
        <f t="shared" si="0"/>
        <v>0</v>
      </c>
    </row>
    <row r="13" spans="1:9" ht="12.75">
      <c r="A13" s="58" t="s">
        <v>53</v>
      </c>
      <c r="B13" s="21"/>
      <c r="C13" s="21" t="s">
        <v>125</v>
      </c>
      <c r="D13" s="47">
        <f>'Stavební rozpočet'!I22</f>
        <v>0</v>
      </c>
      <c r="E13" s="47">
        <f>'Stavební rozpočet'!J22</f>
        <v>0</v>
      </c>
      <c r="F13" s="47">
        <f>'Stavební rozpočet'!K22</f>
        <v>0</v>
      </c>
      <c r="G13" s="70">
        <f>'Stavební rozpočet'!M22</f>
        <v>4759.447918200001</v>
      </c>
      <c r="H13" s="66" t="s">
        <v>260</v>
      </c>
      <c r="I13" s="47">
        <f t="shared" si="0"/>
        <v>0</v>
      </c>
    </row>
    <row r="14" spans="1:9" ht="12.75">
      <c r="A14" s="58" t="s">
        <v>53</v>
      </c>
      <c r="B14" s="21" t="s">
        <v>17</v>
      </c>
      <c r="C14" s="21" t="s">
        <v>126</v>
      </c>
      <c r="D14" s="47">
        <f>'Stavební rozpočet'!I23</f>
        <v>0</v>
      </c>
      <c r="E14" s="47">
        <f>'Stavební rozpočet'!J23</f>
        <v>0</v>
      </c>
      <c r="F14" s="47">
        <f>'Stavební rozpočet'!K23</f>
        <v>0</v>
      </c>
      <c r="G14" s="70">
        <f>'Stavební rozpočet'!M23</f>
        <v>1448.712</v>
      </c>
      <c r="H14" s="66" t="s">
        <v>261</v>
      </c>
      <c r="I14" s="47">
        <f t="shared" si="0"/>
        <v>0</v>
      </c>
    </row>
    <row r="15" spans="1:9" ht="12.75">
      <c r="A15" s="58" t="s">
        <v>53</v>
      </c>
      <c r="B15" s="21" t="s">
        <v>18</v>
      </c>
      <c r="C15" s="21" t="s">
        <v>133</v>
      </c>
      <c r="D15" s="47">
        <f>'Stavební rozpočet'!I30</f>
        <v>0</v>
      </c>
      <c r="E15" s="47">
        <f>'Stavební rozpočet'!J30</f>
        <v>0</v>
      </c>
      <c r="F15" s="47">
        <f>'Stavební rozpočet'!K30</f>
        <v>0</v>
      </c>
      <c r="G15" s="70">
        <f>'Stavební rozpočet'!M30</f>
        <v>0</v>
      </c>
      <c r="H15" s="66" t="s">
        <v>261</v>
      </c>
      <c r="I15" s="47">
        <f t="shared" si="0"/>
        <v>0</v>
      </c>
    </row>
    <row r="16" spans="1:9" ht="12.75">
      <c r="A16" s="58" t="s">
        <v>53</v>
      </c>
      <c r="B16" s="21" t="s">
        <v>22</v>
      </c>
      <c r="C16" s="21" t="s">
        <v>137</v>
      </c>
      <c r="D16" s="47">
        <f>'Stavební rozpočet'!I34</f>
        <v>0</v>
      </c>
      <c r="E16" s="47">
        <f>'Stavební rozpočet'!J34</f>
        <v>0</v>
      </c>
      <c r="F16" s="47">
        <f>'Stavební rozpočet'!K34</f>
        <v>0</v>
      </c>
      <c r="G16" s="70">
        <f>'Stavební rozpočet'!M34</f>
        <v>0</v>
      </c>
      <c r="H16" s="66" t="s">
        <v>261</v>
      </c>
      <c r="I16" s="47">
        <f t="shared" si="0"/>
        <v>0</v>
      </c>
    </row>
    <row r="17" spans="1:9" ht="12.75">
      <c r="A17" s="58" t="s">
        <v>53</v>
      </c>
      <c r="B17" s="21" t="s">
        <v>23</v>
      </c>
      <c r="C17" s="21" t="s">
        <v>139</v>
      </c>
      <c r="D17" s="47">
        <f>'Stavební rozpočet'!I36</f>
        <v>0</v>
      </c>
      <c r="E17" s="47">
        <f>'Stavební rozpočet'!J36</f>
        <v>0</v>
      </c>
      <c r="F17" s="47">
        <f>'Stavební rozpočet'!K36</f>
        <v>0</v>
      </c>
      <c r="G17" s="70">
        <f>'Stavební rozpočet'!M36</f>
        <v>0</v>
      </c>
      <c r="H17" s="66" t="s">
        <v>261</v>
      </c>
      <c r="I17" s="47">
        <f t="shared" si="0"/>
        <v>0</v>
      </c>
    </row>
    <row r="18" spans="1:9" ht="12.75">
      <c r="A18" s="58" t="s">
        <v>53</v>
      </c>
      <c r="B18" s="21" t="s">
        <v>24</v>
      </c>
      <c r="C18" s="21" t="s">
        <v>141</v>
      </c>
      <c r="D18" s="47">
        <f>'Stavební rozpočet'!I38</f>
        <v>0</v>
      </c>
      <c r="E18" s="47">
        <f>'Stavební rozpočet'!J38</f>
        <v>0</v>
      </c>
      <c r="F18" s="47">
        <f>'Stavební rozpočet'!K38</f>
        <v>0</v>
      </c>
      <c r="G18" s="70">
        <f>'Stavební rozpočet'!M38</f>
        <v>0</v>
      </c>
      <c r="H18" s="66" t="s">
        <v>261</v>
      </c>
      <c r="I18" s="47">
        <f t="shared" si="0"/>
        <v>0</v>
      </c>
    </row>
    <row r="19" spans="1:9" ht="12.75">
      <c r="A19" s="58" t="s">
        <v>53</v>
      </c>
      <c r="B19" s="21" t="s">
        <v>25</v>
      </c>
      <c r="C19" s="21" t="s">
        <v>143</v>
      </c>
      <c r="D19" s="47">
        <f>'Stavební rozpočet'!I40</f>
        <v>0</v>
      </c>
      <c r="E19" s="47">
        <f>'Stavební rozpočet'!J40</f>
        <v>0</v>
      </c>
      <c r="F19" s="47">
        <f>'Stavební rozpočet'!K40</f>
        <v>0</v>
      </c>
      <c r="G19" s="70">
        <f>'Stavební rozpočet'!M40</f>
        <v>0</v>
      </c>
      <c r="H19" s="66" t="s">
        <v>261</v>
      </c>
      <c r="I19" s="47">
        <f t="shared" si="0"/>
        <v>0</v>
      </c>
    </row>
    <row r="20" spans="1:9" ht="12.75">
      <c r="A20" s="58" t="s">
        <v>53</v>
      </c>
      <c r="B20" s="21" t="s">
        <v>77</v>
      </c>
      <c r="C20" s="21" t="s">
        <v>145</v>
      </c>
      <c r="D20" s="47">
        <f>'Stavební rozpočet'!I42</f>
        <v>0</v>
      </c>
      <c r="E20" s="47">
        <f>'Stavební rozpočet'!J42</f>
        <v>0</v>
      </c>
      <c r="F20" s="47">
        <f>'Stavební rozpočet'!K42</f>
        <v>0</v>
      </c>
      <c r="G20" s="70">
        <f>'Stavební rozpočet'!M42</f>
        <v>2364.27786</v>
      </c>
      <c r="H20" s="66" t="s">
        <v>261</v>
      </c>
      <c r="I20" s="47">
        <f t="shared" si="0"/>
        <v>0</v>
      </c>
    </row>
    <row r="21" spans="1:9" ht="12.75">
      <c r="A21" s="58" t="s">
        <v>53</v>
      </c>
      <c r="B21" s="21" t="s">
        <v>81</v>
      </c>
      <c r="C21" s="21" t="s">
        <v>149</v>
      </c>
      <c r="D21" s="47">
        <f>'Stavební rozpočet'!I46</f>
        <v>0</v>
      </c>
      <c r="E21" s="47">
        <f>'Stavební rozpočet'!J46</f>
        <v>0</v>
      </c>
      <c r="F21" s="47">
        <f>'Stavební rozpočet'!K46</f>
        <v>0</v>
      </c>
      <c r="G21" s="70">
        <f>'Stavební rozpočet'!M46</f>
        <v>380.94113999999996</v>
      </c>
      <c r="H21" s="66" t="s">
        <v>261</v>
      </c>
      <c r="I21" s="47">
        <f t="shared" si="0"/>
        <v>0</v>
      </c>
    </row>
    <row r="22" spans="1:9" ht="12.75">
      <c r="A22" s="58" t="s">
        <v>53</v>
      </c>
      <c r="B22" s="21" t="s">
        <v>84</v>
      </c>
      <c r="C22" s="21" t="s">
        <v>152</v>
      </c>
      <c r="D22" s="47">
        <f>'Stavební rozpočet'!I49</f>
        <v>0</v>
      </c>
      <c r="E22" s="47">
        <f>'Stavební rozpočet'!J49</f>
        <v>0</v>
      </c>
      <c r="F22" s="47">
        <f>'Stavební rozpočet'!K49</f>
        <v>0</v>
      </c>
      <c r="G22" s="70">
        <f>'Stavební rozpočet'!M49</f>
        <v>0.04704</v>
      </c>
      <c r="H22" s="66" t="s">
        <v>261</v>
      </c>
      <c r="I22" s="47">
        <f t="shared" si="0"/>
        <v>0</v>
      </c>
    </row>
    <row r="23" spans="1:9" ht="12.75">
      <c r="A23" s="58" t="s">
        <v>53</v>
      </c>
      <c r="B23" s="21" t="s">
        <v>86</v>
      </c>
      <c r="C23" s="21" t="s">
        <v>154</v>
      </c>
      <c r="D23" s="47">
        <f>'Stavební rozpočet'!I51</f>
        <v>0</v>
      </c>
      <c r="E23" s="47">
        <f>'Stavební rozpočet'!J51</f>
        <v>0</v>
      </c>
      <c r="F23" s="47">
        <f>'Stavební rozpočet'!K51</f>
        <v>0</v>
      </c>
      <c r="G23" s="70">
        <f>'Stavební rozpočet'!M51</f>
        <v>216.36628</v>
      </c>
      <c r="H23" s="66" t="s">
        <v>261</v>
      </c>
      <c r="I23" s="47">
        <f t="shared" si="0"/>
        <v>0</v>
      </c>
    </row>
    <row r="24" spans="1:9" ht="12.75">
      <c r="A24" s="58" t="s">
        <v>53</v>
      </c>
      <c r="B24" s="21" t="s">
        <v>91</v>
      </c>
      <c r="C24" s="21" t="s">
        <v>159</v>
      </c>
      <c r="D24" s="47">
        <f>'Stavební rozpočet'!I56</f>
        <v>0</v>
      </c>
      <c r="E24" s="47">
        <f>'Stavební rozpočet'!J56</f>
        <v>0</v>
      </c>
      <c r="F24" s="47">
        <f>'Stavební rozpočet'!K56</f>
        <v>0</v>
      </c>
      <c r="G24" s="70">
        <f>'Stavební rozpočet'!M56</f>
        <v>51.41582</v>
      </c>
      <c r="H24" s="66" t="s">
        <v>261</v>
      </c>
      <c r="I24" s="47">
        <f t="shared" si="0"/>
        <v>0</v>
      </c>
    </row>
    <row r="25" spans="1:9" ht="12.75">
      <c r="A25" s="58" t="s">
        <v>53</v>
      </c>
      <c r="B25" s="21" t="s">
        <v>96</v>
      </c>
      <c r="C25" s="21" t="s">
        <v>166</v>
      </c>
      <c r="D25" s="47">
        <f>'Stavební rozpočet'!I63</f>
        <v>0</v>
      </c>
      <c r="E25" s="47">
        <f>'Stavební rozpočet'!J63</f>
        <v>0</v>
      </c>
      <c r="F25" s="47">
        <f>'Stavební rozpočet'!K63</f>
        <v>0</v>
      </c>
      <c r="G25" s="70">
        <f>'Stavební rozpočet'!M63</f>
        <v>290.7467782</v>
      </c>
      <c r="H25" s="66" t="s">
        <v>261</v>
      </c>
      <c r="I25" s="47">
        <f t="shared" si="0"/>
        <v>0</v>
      </c>
    </row>
    <row r="26" spans="1:9" ht="12.75">
      <c r="A26" s="58" t="s">
        <v>53</v>
      </c>
      <c r="B26" s="21" t="s">
        <v>102</v>
      </c>
      <c r="C26" s="21" t="s">
        <v>172</v>
      </c>
      <c r="D26" s="47">
        <f>'Stavební rozpočet'!I69</f>
        <v>0</v>
      </c>
      <c r="E26" s="47">
        <f>'Stavební rozpočet'!J69</f>
        <v>0</v>
      </c>
      <c r="F26" s="47">
        <f>'Stavební rozpočet'!K69</f>
        <v>0</v>
      </c>
      <c r="G26" s="70">
        <f>'Stavební rozpočet'!M69</f>
        <v>0.164</v>
      </c>
      <c r="H26" s="66" t="s">
        <v>261</v>
      </c>
      <c r="I26" s="47">
        <f t="shared" si="0"/>
        <v>0</v>
      </c>
    </row>
    <row r="27" spans="1:9" ht="12.75">
      <c r="A27" s="58" t="s">
        <v>53</v>
      </c>
      <c r="B27" s="21" t="s">
        <v>105</v>
      </c>
      <c r="C27" s="21" t="s">
        <v>175</v>
      </c>
      <c r="D27" s="47">
        <f>'Stavební rozpočet'!I72</f>
        <v>0</v>
      </c>
      <c r="E27" s="47">
        <f>'Stavební rozpočet'!J72</f>
        <v>0</v>
      </c>
      <c r="F27" s="47">
        <f>'Stavební rozpočet'!K72</f>
        <v>0</v>
      </c>
      <c r="G27" s="70">
        <f>'Stavební rozpočet'!M72</f>
        <v>6.777</v>
      </c>
      <c r="H27" s="66" t="s">
        <v>261</v>
      </c>
      <c r="I27" s="47">
        <f t="shared" si="0"/>
        <v>0</v>
      </c>
    </row>
    <row r="28" spans="1:9" ht="12.75">
      <c r="A28" s="58" t="s">
        <v>53</v>
      </c>
      <c r="B28" s="21" t="s">
        <v>107</v>
      </c>
      <c r="C28" s="21" t="s">
        <v>177</v>
      </c>
      <c r="D28" s="47">
        <f>'Stavební rozpočet'!I74</f>
        <v>0</v>
      </c>
      <c r="E28" s="47">
        <f>'Stavební rozpočet'!J74</f>
        <v>0</v>
      </c>
      <c r="F28" s="47">
        <f>'Stavební rozpočet'!K74</f>
        <v>0</v>
      </c>
      <c r="G28" s="70">
        <f>'Stavební rozpočet'!M74</f>
        <v>0</v>
      </c>
      <c r="H28" s="66" t="s">
        <v>261</v>
      </c>
      <c r="I28" s="47">
        <f t="shared" si="0"/>
        <v>0</v>
      </c>
    </row>
    <row r="29" spans="1:9" ht="12.75">
      <c r="A29" s="59" t="s">
        <v>53</v>
      </c>
      <c r="B29" s="62" t="s">
        <v>109</v>
      </c>
      <c r="C29" s="62" t="s">
        <v>179</v>
      </c>
      <c r="D29" s="68">
        <f>'Stavební rozpočet'!I76</f>
        <v>0</v>
      </c>
      <c r="E29" s="68">
        <f>'Stavební rozpočet'!J76</f>
        <v>0</v>
      </c>
      <c r="F29" s="68">
        <f>'Stavební rozpočet'!K76</f>
        <v>0</v>
      </c>
      <c r="G29" s="71">
        <f>'Stavební rozpočet'!M76</f>
        <v>0</v>
      </c>
      <c r="H29" s="66" t="s">
        <v>261</v>
      </c>
      <c r="I29" s="47">
        <f t="shared" si="0"/>
        <v>0</v>
      </c>
    </row>
    <row r="30" spans="1:7" ht="12.75">
      <c r="A30" s="10"/>
      <c r="B30" s="10"/>
      <c r="C30" s="10"/>
      <c r="D30" s="10"/>
      <c r="E30" s="32" t="s">
        <v>204</v>
      </c>
      <c r="F30" s="55">
        <f>SUM(I11:I29)</f>
        <v>0</v>
      </c>
      <c r="G30" s="10"/>
    </row>
  </sheetData>
  <sheetProtection/>
  <mergeCells count="25">
    <mergeCell ref="A8:B9"/>
    <mergeCell ref="C8:C9"/>
    <mergeCell ref="D8:D9"/>
    <mergeCell ref="E8:E9"/>
    <mergeCell ref="F8:F9"/>
    <mergeCell ref="G8:G9"/>
    <mergeCell ref="A6:B7"/>
    <mergeCell ref="C6:C7"/>
    <mergeCell ref="D6:D7"/>
    <mergeCell ref="E6:E7"/>
    <mergeCell ref="F6:F7"/>
    <mergeCell ref="G6:G7"/>
    <mergeCell ref="A4:B5"/>
    <mergeCell ref="C4:C5"/>
    <mergeCell ref="D4:D5"/>
    <mergeCell ref="E4:E5"/>
    <mergeCell ref="F4:F5"/>
    <mergeCell ref="G4:G5"/>
    <mergeCell ref="A1:G1"/>
    <mergeCell ref="A2:B3"/>
    <mergeCell ref="C2:C3"/>
    <mergeCell ref="D2:D3"/>
    <mergeCell ref="E2:E3"/>
    <mergeCell ref="F2:F3"/>
    <mergeCell ref="G2:G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kucer</cp:lastModifiedBy>
  <dcterms:modified xsi:type="dcterms:W3CDTF">2022-06-06T20:59:03Z</dcterms:modified>
  <cp:category/>
  <cp:version/>
  <cp:contentType/>
  <cp:contentStatus/>
</cp:coreProperties>
</file>