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19320" windowHeight="13176" tabRatio="957" activeTab="1"/>
  </bookViews>
  <sheets>
    <sheet name="Pokyny pro vyplnění" sheetId="11" r:id="rId1"/>
    <sheet name="Stavba" sheetId="1" r:id="rId2"/>
    <sheet name="VzorPolozky" sheetId="10" state="hidden" r:id="rId3"/>
    <sheet name="D.1.1 Komunikace " sheetId="12" r:id="rId4"/>
    <sheet name="D.1.3. Odvodnění" sheetId="22" r:id="rId5"/>
    <sheet name="D.1.4 Osvětlení" sheetId="20" r:id="rId6"/>
  </sheets>
  <externalReferences>
    <externalReference r:id="rId7"/>
  </externalReferences>
  <definedNames>
    <definedName name="CelkemDPHVypocet" localSheetId="1">Stavba!$H$44</definedName>
    <definedName name="CenaCelkem">Stavba!$G$30</definedName>
    <definedName name="CenaCelkemBezDPH">Stavba!$G$29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'D.1.1 Komunikace '!$1:$7</definedName>
    <definedName name="_xlnm.Print_Titles" localSheetId="4">'D.1.3. Odvodnění'!$1:$7</definedName>
    <definedName name="_xlnm.Print_Titles" localSheetId="5">'D.1.4 Osvětlení'!$1:$7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'D.1.1 Komunikace '!$A$1:$X$169</definedName>
    <definedName name="_xlnm.Print_Area" localSheetId="4">'D.1.3. Odvodnění'!$A$1:$X$93</definedName>
    <definedName name="_xlnm.Print_Area" localSheetId="5">'D.1.4 Osvětlení'!$A$1:$X$94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 localSheetId="4">#REF!</definedName>
    <definedName name="PocetMJ" localSheetId="5">#REF!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0" i="1" l="1"/>
  <c r="I19" i="1"/>
  <c r="E69" i="20" l="1"/>
  <c r="E9" i="20"/>
  <c r="E29" i="20"/>
  <c r="E21" i="20"/>
  <c r="E31" i="20" s="1"/>
  <c r="E23" i="20"/>
  <c r="E41" i="20"/>
  <c r="E68" i="22"/>
  <c r="Q52" i="22"/>
  <c r="O52" i="22"/>
  <c r="K52" i="22"/>
  <c r="I52" i="22"/>
  <c r="G52" i="22"/>
  <c r="M52" i="22" s="1"/>
  <c r="A46" i="22"/>
  <c r="Q64" i="22"/>
  <c r="O64" i="22"/>
  <c r="K64" i="22"/>
  <c r="I64" i="22"/>
  <c r="G64" i="22"/>
  <c r="M64" i="22" s="1"/>
  <c r="Q61" i="22"/>
  <c r="O61" i="22"/>
  <c r="K61" i="22"/>
  <c r="I61" i="22"/>
  <c r="G61" i="22"/>
  <c r="M61" i="22" s="1"/>
  <c r="Q58" i="22"/>
  <c r="O58" i="22"/>
  <c r="K58" i="22"/>
  <c r="I58" i="22"/>
  <c r="G58" i="22"/>
  <c r="Q57" i="22"/>
  <c r="O57" i="22"/>
  <c r="K57" i="22"/>
  <c r="I57" i="22"/>
  <c r="E24" i="22"/>
  <c r="E40" i="22" s="1"/>
  <c r="E21" i="22"/>
  <c r="E33" i="22" s="1"/>
  <c r="G57" i="22" l="1"/>
  <c r="M58" i="22"/>
  <c r="M57" i="22" s="1"/>
  <c r="E139" i="12"/>
  <c r="E143" i="12"/>
  <c r="E136" i="12"/>
  <c r="E134" i="12"/>
  <c r="Q121" i="12"/>
  <c r="O121" i="12"/>
  <c r="K121" i="12"/>
  <c r="I121" i="12"/>
  <c r="G121" i="12"/>
  <c r="M121" i="12" s="1"/>
  <c r="Q113" i="12"/>
  <c r="O113" i="12"/>
  <c r="K113" i="12"/>
  <c r="I113" i="12"/>
  <c r="G113" i="12"/>
  <c r="M113" i="12" s="1"/>
  <c r="Q110" i="12"/>
  <c r="O110" i="12"/>
  <c r="K110" i="12"/>
  <c r="I110" i="12"/>
  <c r="G110" i="12"/>
  <c r="M110" i="12" s="1"/>
  <c r="Q107" i="12"/>
  <c r="O107" i="12"/>
  <c r="K107" i="12"/>
  <c r="I107" i="12"/>
  <c r="G107" i="12"/>
  <c r="M107" i="12" s="1"/>
  <c r="Q105" i="12"/>
  <c r="O105" i="12"/>
  <c r="K105" i="12"/>
  <c r="I105" i="12"/>
  <c r="G105" i="12"/>
  <c r="M105" i="12" s="1"/>
  <c r="Q103" i="12"/>
  <c r="O103" i="12"/>
  <c r="K103" i="12"/>
  <c r="I103" i="12"/>
  <c r="G103" i="12"/>
  <c r="M103" i="12" s="1"/>
  <c r="Q129" i="12"/>
  <c r="O129" i="12"/>
  <c r="K129" i="12"/>
  <c r="I129" i="12"/>
  <c r="G129" i="12"/>
  <c r="M129" i="12" s="1"/>
  <c r="Q127" i="12"/>
  <c r="O127" i="12"/>
  <c r="K127" i="12"/>
  <c r="I127" i="12"/>
  <c r="G127" i="12"/>
  <c r="M127" i="12" s="1"/>
  <c r="Q71" i="12"/>
  <c r="O71" i="12"/>
  <c r="G71" i="12"/>
  <c r="M71" i="12" s="1"/>
  <c r="O68" i="12"/>
  <c r="I68" i="12" l="1"/>
  <c r="Q68" i="12"/>
  <c r="K68" i="12"/>
  <c r="G68" i="12"/>
  <c r="M68" i="12" s="1"/>
  <c r="Q99" i="12" l="1"/>
  <c r="O99" i="12"/>
  <c r="K99" i="12"/>
  <c r="I99" i="12"/>
  <c r="G99" i="12"/>
  <c r="M99" i="12" s="1"/>
  <c r="Q101" i="12"/>
  <c r="O101" i="12"/>
  <c r="K101" i="12"/>
  <c r="I101" i="12"/>
  <c r="G101" i="12"/>
  <c r="M101" i="12" s="1"/>
  <c r="Q96" i="12"/>
  <c r="O96" i="12"/>
  <c r="K96" i="12"/>
  <c r="I96" i="12"/>
  <c r="G96" i="12"/>
  <c r="M96" i="12" s="1"/>
  <c r="Q93" i="12"/>
  <c r="O93" i="12"/>
  <c r="K93" i="12"/>
  <c r="I93" i="12"/>
  <c r="G93" i="12"/>
  <c r="M93" i="12" s="1"/>
  <c r="Q91" i="12"/>
  <c r="O91" i="12"/>
  <c r="K91" i="12"/>
  <c r="I91" i="12"/>
  <c r="G91" i="12"/>
  <c r="M91" i="12" s="1"/>
  <c r="E86" i="12"/>
  <c r="E79" i="12"/>
  <c r="O79" i="12" s="1"/>
  <c r="Q82" i="12"/>
  <c r="O82" i="12"/>
  <c r="G82" i="12"/>
  <c r="M82" i="12" s="1"/>
  <c r="E73" i="12"/>
  <c r="E39" i="12"/>
  <c r="E42" i="12" s="1"/>
  <c r="E28" i="12"/>
  <c r="E19" i="12"/>
  <c r="O19" i="12" s="1"/>
  <c r="Q12" i="12"/>
  <c r="O12" i="12"/>
  <c r="K12" i="12"/>
  <c r="I12" i="12"/>
  <c r="G12" i="12"/>
  <c r="M12" i="12" s="1"/>
  <c r="I79" i="12" l="1"/>
  <c r="Q79" i="12"/>
  <c r="K79" i="12"/>
  <c r="G79" i="12"/>
  <c r="M79" i="12" s="1"/>
  <c r="I19" i="12"/>
  <c r="Q19" i="12"/>
  <c r="K19" i="12"/>
  <c r="G19" i="12"/>
  <c r="M19" i="12" s="1"/>
  <c r="A49" i="22"/>
  <c r="Q30" i="22"/>
  <c r="O21" i="22"/>
  <c r="O15" i="22"/>
  <c r="Q46" i="22"/>
  <c r="O46" i="22"/>
  <c r="K46" i="22"/>
  <c r="I46" i="22"/>
  <c r="G46" i="22"/>
  <c r="M46" i="22" s="1"/>
  <c r="Q54" i="22"/>
  <c r="O54" i="22"/>
  <c r="K54" i="22"/>
  <c r="I54" i="22"/>
  <c r="G54" i="22"/>
  <c r="M54" i="22" s="1"/>
  <c r="Q49" i="22"/>
  <c r="O49" i="22"/>
  <c r="K49" i="22"/>
  <c r="I49" i="22"/>
  <c r="G49" i="22"/>
  <c r="M49" i="22" s="1"/>
  <c r="Q43" i="22"/>
  <c r="O43" i="22"/>
  <c r="K43" i="22"/>
  <c r="I43" i="22"/>
  <c r="G43" i="22"/>
  <c r="M43" i="22" s="1"/>
  <c r="Q15" i="22"/>
  <c r="K15" i="22"/>
  <c r="G15" i="22"/>
  <c r="M15" i="22" s="1"/>
  <c r="Q9" i="22"/>
  <c r="O9" i="22"/>
  <c r="K9" i="22"/>
  <c r="I9" i="22"/>
  <c r="G9" i="22"/>
  <c r="M9" i="22" s="1"/>
  <c r="A71" i="22" l="1"/>
  <c r="A73" i="22" s="1"/>
  <c r="A76" i="22" s="1"/>
  <c r="A78" i="22" s="1"/>
  <c r="A82" i="22" s="1"/>
  <c r="A85" i="22" s="1"/>
  <c r="A88" i="22" s="1"/>
  <c r="A52" i="22"/>
  <c r="G21" i="22"/>
  <c r="M21" i="22" s="1"/>
  <c r="I21" i="22"/>
  <c r="K21" i="22"/>
  <c r="Q21" i="22"/>
  <c r="I37" i="22"/>
  <c r="K42" i="22"/>
  <c r="E18" i="22"/>
  <c r="K18" i="22" s="1"/>
  <c r="G30" i="22"/>
  <c r="M30" i="22" s="1"/>
  <c r="K30" i="22"/>
  <c r="O30" i="22"/>
  <c r="I30" i="22"/>
  <c r="I15" i="22"/>
  <c r="Q42" i="22"/>
  <c r="G42" i="22"/>
  <c r="I72" i="1" s="1"/>
  <c r="I42" i="22"/>
  <c r="O42" i="22"/>
  <c r="I73" i="1"/>
  <c r="M42" i="22"/>
  <c r="Q118" i="12"/>
  <c r="O118" i="12"/>
  <c r="K118" i="12"/>
  <c r="I118" i="12"/>
  <c r="G118" i="12"/>
  <c r="Q117" i="12"/>
  <c r="O117" i="12"/>
  <c r="K117" i="12"/>
  <c r="I117" i="12"/>
  <c r="AE92" i="22"/>
  <c r="BA89" i="22"/>
  <c r="V88" i="22"/>
  <c r="Q88" i="22"/>
  <c r="O88" i="22"/>
  <c r="K88" i="22"/>
  <c r="I88" i="22"/>
  <c r="G88" i="22"/>
  <c r="M88" i="22" s="1"/>
  <c r="BA86" i="22"/>
  <c r="V85" i="22"/>
  <c r="Q85" i="22"/>
  <c r="O85" i="22"/>
  <c r="K85" i="22"/>
  <c r="I85" i="22"/>
  <c r="G85" i="22"/>
  <c r="M85" i="22" s="1"/>
  <c r="BA83" i="22"/>
  <c r="V82" i="22"/>
  <c r="Q82" i="22"/>
  <c r="O82" i="22"/>
  <c r="K82" i="22"/>
  <c r="I82" i="22"/>
  <c r="G82" i="22"/>
  <c r="M82" i="22" s="1"/>
  <c r="Q78" i="22"/>
  <c r="O78" i="22"/>
  <c r="K78" i="22"/>
  <c r="I78" i="22"/>
  <c r="G78" i="22"/>
  <c r="M78" i="22" s="1"/>
  <c r="Q76" i="22"/>
  <c r="O76" i="22"/>
  <c r="K76" i="22"/>
  <c r="I76" i="22"/>
  <c r="G76" i="22"/>
  <c r="M76" i="22" s="1"/>
  <c r="BA74" i="22"/>
  <c r="V73" i="22"/>
  <c r="V70" i="22" s="1"/>
  <c r="Q73" i="22"/>
  <c r="O73" i="22"/>
  <c r="O70" i="22" s="1"/>
  <c r="K73" i="22"/>
  <c r="K70" i="22" s="1"/>
  <c r="I73" i="22"/>
  <c r="G73" i="22"/>
  <c r="M73" i="22" s="1"/>
  <c r="Q71" i="22"/>
  <c r="O71" i="22"/>
  <c r="K71" i="22"/>
  <c r="I71" i="22"/>
  <c r="G71" i="22"/>
  <c r="M71" i="22" s="1"/>
  <c r="Q70" i="22"/>
  <c r="I70" i="22"/>
  <c r="Q68" i="22"/>
  <c r="Q67" i="22" s="1"/>
  <c r="V43" i="22"/>
  <c r="V42" i="22" s="1"/>
  <c r="V39" i="22"/>
  <c r="O89" i="12"/>
  <c r="O76" i="12"/>
  <c r="Q73" i="12"/>
  <c r="O73" i="12"/>
  <c r="K73" i="12"/>
  <c r="I73" i="12"/>
  <c r="G73" i="12"/>
  <c r="M73" i="12" s="1"/>
  <c r="M118" i="12" l="1"/>
  <c r="M117" i="12" s="1"/>
  <c r="G117" i="12"/>
  <c r="G18" i="22"/>
  <c r="M18" i="22" s="1"/>
  <c r="O33" i="22"/>
  <c r="O37" i="22"/>
  <c r="Q37" i="22"/>
  <c r="G37" i="22"/>
  <c r="M37" i="22" s="1"/>
  <c r="K37" i="22"/>
  <c r="Q18" i="22"/>
  <c r="O18" i="22"/>
  <c r="I18" i="22"/>
  <c r="O81" i="22"/>
  <c r="I81" i="22"/>
  <c r="V81" i="22"/>
  <c r="G68" i="22"/>
  <c r="M68" i="22" s="1"/>
  <c r="M67" i="22" s="1"/>
  <c r="M70" i="22"/>
  <c r="G81" i="22"/>
  <c r="I76" i="1" s="1"/>
  <c r="M81" i="22"/>
  <c r="K81" i="22"/>
  <c r="Q81" i="22"/>
  <c r="O68" i="22"/>
  <c r="O67" i="22" s="1"/>
  <c r="K68" i="22"/>
  <c r="K67" i="22" s="1"/>
  <c r="V68" i="22"/>
  <c r="V67" i="22" s="1"/>
  <c r="I60" i="1"/>
  <c r="I68" i="22"/>
  <c r="I67" i="22" s="1"/>
  <c r="G70" i="22"/>
  <c r="I75" i="1" s="1"/>
  <c r="I89" i="12"/>
  <c r="Q89" i="12"/>
  <c r="G89" i="12"/>
  <c r="M89" i="12" s="1"/>
  <c r="K89" i="12"/>
  <c r="Q76" i="12"/>
  <c r="G76" i="12"/>
  <c r="M76" i="12" s="1"/>
  <c r="K33" i="22" l="1"/>
  <c r="I33" i="22"/>
  <c r="G33" i="22"/>
  <c r="Q33" i="22"/>
  <c r="G67" i="22"/>
  <c r="I74" i="1" s="1"/>
  <c r="Q60" i="20"/>
  <c r="O60" i="20"/>
  <c r="K60" i="20"/>
  <c r="I60" i="20"/>
  <c r="G60" i="20"/>
  <c r="M60" i="20" s="1"/>
  <c r="O52" i="20"/>
  <c r="M33" i="22" l="1"/>
  <c r="Q12" i="22"/>
  <c r="I12" i="22"/>
  <c r="O12" i="22"/>
  <c r="K12" i="22"/>
  <c r="G12" i="22"/>
  <c r="M12" i="22" s="1"/>
  <c r="I52" i="20"/>
  <c r="Q52" i="20"/>
  <c r="K52" i="20"/>
  <c r="G52" i="20"/>
  <c r="M52" i="20" s="1"/>
  <c r="E15" i="20"/>
  <c r="V24" i="22" l="1"/>
  <c r="O24" i="22"/>
  <c r="K24" i="22"/>
  <c r="G24" i="22"/>
  <c r="E27" i="22"/>
  <c r="Q24" i="22"/>
  <c r="I24" i="22"/>
  <c r="O64" i="12"/>
  <c r="Q64" i="12"/>
  <c r="K64" i="12"/>
  <c r="I64" i="12"/>
  <c r="G64" i="12"/>
  <c r="M64" i="12" s="1"/>
  <c r="Q44" i="20"/>
  <c r="O44" i="20"/>
  <c r="K44" i="20"/>
  <c r="I44" i="20"/>
  <c r="G44" i="20"/>
  <c r="M44" i="20" s="1"/>
  <c r="Q58" i="20"/>
  <c r="O58" i="20"/>
  <c r="K58" i="20"/>
  <c r="I58" i="20"/>
  <c r="G58" i="20"/>
  <c r="M58" i="20" s="1"/>
  <c r="Q56" i="20"/>
  <c r="O56" i="20"/>
  <c r="K56" i="20"/>
  <c r="I56" i="20"/>
  <c r="G56" i="20"/>
  <c r="M56" i="20" s="1"/>
  <c r="Q62" i="20"/>
  <c r="O62" i="20"/>
  <c r="K62" i="20"/>
  <c r="I62" i="20"/>
  <c r="G62" i="20"/>
  <c r="M62" i="20" s="1"/>
  <c r="Q38" i="20"/>
  <c r="Q37" i="20" s="1"/>
  <c r="Q66" i="20"/>
  <c r="O66" i="20"/>
  <c r="K66" i="20"/>
  <c r="I66" i="20"/>
  <c r="G66" i="20"/>
  <c r="M66" i="20" s="1"/>
  <c r="Q64" i="20"/>
  <c r="O64" i="20"/>
  <c r="K64" i="20"/>
  <c r="I64" i="20"/>
  <c r="G64" i="20"/>
  <c r="M64" i="20" s="1"/>
  <c r="Q54" i="20"/>
  <c r="O54" i="20"/>
  <c r="K54" i="20"/>
  <c r="I54" i="20"/>
  <c r="G54" i="20"/>
  <c r="M54" i="20" s="1"/>
  <c r="Q49" i="20"/>
  <c r="O49" i="20"/>
  <c r="K49" i="20"/>
  <c r="I49" i="20"/>
  <c r="G49" i="20"/>
  <c r="Q46" i="20"/>
  <c r="O46" i="20"/>
  <c r="K46" i="20"/>
  <c r="I46" i="20"/>
  <c r="G46" i="20"/>
  <c r="M46" i="20" s="1"/>
  <c r="Q29" i="20"/>
  <c r="O29" i="20"/>
  <c r="K29" i="20"/>
  <c r="I29" i="20"/>
  <c r="G29" i="20"/>
  <c r="G26" i="20"/>
  <c r="M26" i="20" s="1"/>
  <c r="G9" i="20"/>
  <c r="K12" i="20"/>
  <c r="G34" i="20"/>
  <c r="M34" i="20" s="1"/>
  <c r="I34" i="20"/>
  <c r="K34" i="20"/>
  <c r="O34" i="20"/>
  <c r="Q34" i="20"/>
  <c r="M24" i="22" l="1"/>
  <c r="M49" i="20"/>
  <c r="M43" i="20" s="1"/>
  <c r="G43" i="20"/>
  <c r="I85" i="1" s="1"/>
  <c r="I18" i="1" s="1"/>
  <c r="V37" i="22"/>
  <c r="O27" i="22"/>
  <c r="K27" i="22"/>
  <c r="G27" i="22"/>
  <c r="Q27" i="22"/>
  <c r="I27" i="22"/>
  <c r="M9" i="20"/>
  <c r="M29" i="20"/>
  <c r="G38" i="20"/>
  <c r="K38" i="20"/>
  <c r="K37" i="20" s="1"/>
  <c r="O38" i="20"/>
  <c r="O37" i="20" s="1"/>
  <c r="O41" i="20"/>
  <c r="I38" i="20"/>
  <c r="I37" i="20" s="1"/>
  <c r="Q43" i="20"/>
  <c r="I43" i="20"/>
  <c r="M33" i="20"/>
  <c r="O43" i="20"/>
  <c r="O12" i="20"/>
  <c r="G12" i="20"/>
  <c r="M12" i="20" s="1"/>
  <c r="K43" i="20"/>
  <c r="I12" i="20"/>
  <c r="E18" i="20"/>
  <c r="Q12" i="20"/>
  <c r="K33" i="20"/>
  <c r="G33" i="20"/>
  <c r="I83" i="1" s="1"/>
  <c r="K9" i="20"/>
  <c r="I33" i="20"/>
  <c r="Q33" i="20"/>
  <c r="Q9" i="20"/>
  <c r="I9" i="20"/>
  <c r="O33" i="20"/>
  <c r="O9" i="20"/>
  <c r="V40" i="22" l="1"/>
  <c r="V8" i="22" s="1"/>
  <c r="O40" i="22"/>
  <c r="O8" i="22" s="1"/>
  <c r="K40" i="22"/>
  <c r="K8" i="22" s="1"/>
  <c r="G40" i="22"/>
  <c r="Q40" i="22"/>
  <c r="Q8" i="22" s="1"/>
  <c r="I40" i="22"/>
  <c r="I8" i="22" s="1"/>
  <c r="M27" i="22"/>
  <c r="M38" i="20"/>
  <c r="K41" i="20"/>
  <c r="Q41" i="20"/>
  <c r="G41" i="20"/>
  <c r="M41" i="20" s="1"/>
  <c r="I41" i="20"/>
  <c r="G23" i="20"/>
  <c r="M23" i="20" s="1"/>
  <c r="K15" i="20"/>
  <c r="G15" i="20"/>
  <c r="O15" i="20"/>
  <c r="I15" i="20"/>
  <c r="Q15" i="20"/>
  <c r="M37" i="20" l="1"/>
  <c r="M40" i="22"/>
  <c r="G8" i="22"/>
  <c r="M8" i="22"/>
  <c r="AF92" i="22"/>
  <c r="G37" i="20"/>
  <c r="I84" i="1" s="1"/>
  <c r="M15" i="20"/>
  <c r="G18" i="20"/>
  <c r="M18" i="20" s="1"/>
  <c r="O18" i="20"/>
  <c r="I18" i="20"/>
  <c r="Q18" i="20"/>
  <c r="K18" i="20"/>
  <c r="O21" i="20"/>
  <c r="I21" i="20"/>
  <c r="Q21" i="20"/>
  <c r="K21" i="20"/>
  <c r="G21" i="20"/>
  <c r="M21" i="20" s="1"/>
  <c r="I71" i="1" l="1"/>
  <c r="I77" i="1" s="1"/>
  <c r="G92" i="22"/>
  <c r="G31" i="20"/>
  <c r="O31" i="20"/>
  <c r="O8" i="20" s="1"/>
  <c r="I31" i="20"/>
  <c r="I8" i="20" s="1"/>
  <c r="Q31" i="20"/>
  <c r="Q8" i="20" s="1"/>
  <c r="K31" i="20"/>
  <c r="K8" i="20" s="1"/>
  <c r="G8" i="20" l="1"/>
  <c r="I82" i="1" s="1"/>
  <c r="I49" i="1"/>
  <c r="J73" i="1"/>
  <c r="J75" i="1"/>
  <c r="J71" i="1"/>
  <c r="J74" i="1"/>
  <c r="J72" i="1"/>
  <c r="J76" i="1"/>
  <c r="M31" i="20"/>
  <c r="M8" i="20" s="1"/>
  <c r="J77" i="1" l="1"/>
  <c r="AE93" i="20"/>
  <c r="BA90" i="20"/>
  <c r="V89" i="20"/>
  <c r="Q89" i="20"/>
  <c r="O89" i="20"/>
  <c r="K89" i="20"/>
  <c r="I89" i="20"/>
  <c r="G89" i="20"/>
  <c r="M89" i="20" s="1"/>
  <c r="BA87" i="20"/>
  <c r="V86" i="20"/>
  <c r="Q86" i="20"/>
  <c r="O86" i="20"/>
  <c r="K86" i="20"/>
  <c r="I86" i="20"/>
  <c r="G86" i="20"/>
  <c r="M86" i="20" s="1"/>
  <c r="BA84" i="20"/>
  <c r="V83" i="20"/>
  <c r="Q83" i="20"/>
  <c r="O83" i="20"/>
  <c r="K83" i="20"/>
  <c r="I83" i="20"/>
  <c r="G83" i="20"/>
  <c r="M83" i="20" s="1"/>
  <c r="Q79" i="20"/>
  <c r="O79" i="20"/>
  <c r="K79" i="20"/>
  <c r="I79" i="20"/>
  <c r="G79" i="20"/>
  <c r="M79" i="20" s="1"/>
  <c r="Q77" i="20"/>
  <c r="O77" i="20"/>
  <c r="K77" i="20"/>
  <c r="I77" i="20"/>
  <c r="G77" i="20"/>
  <c r="M77" i="20" s="1"/>
  <c r="BA75" i="20"/>
  <c r="V74" i="20"/>
  <c r="V71" i="20" s="1"/>
  <c r="Q74" i="20"/>
  <c r="O74" i="20"/>
  <c r="O71" i="20" s="1"/>
  <c r="K74" i="20"/>
  <c r="K71" i="20" s="1"/>
  <c r="I74" i="20"/>
  <c r="I71" i="20" s="1"/>
  <c r="G74" i="20"/>
  <c r="M74" i="20" s="1"/>
  <c r="Q72" i="20"/>
  <c r="O72" i="20"/>
  <c r="K72" i="20"/>
  <c r="I72" i="20"/>
  <c r="G72" i="20"/>
  <c r="M72" i="20" s="1"/>
  <c r="Q71" i="20"/>
  <c r="Q82" i="20" l="1"/>
  <c r="I82" i="20"/>
  <c r="V82" i="20"/>
  <c r="K82" i="20"/>
  <c r="G82" i="20"/>
  <c r="I88" i="1" s="1"/>
  <c r="O82" i="20"/>
  <c r="M82" i="20"/>
  <c r="M71" i="20"/>
  <c r="V15" i="20"/>
  <c r="V49" i="20"/>
  <c r="V43" i="20" s="1"/>
  <c r="G71" i="20"/>
  <c r="I87" i="1" s="1"/>
  <c r="Q69" i="20" l="1"/>
  <c r="I69" i="20"/>
  <c r="G69" i="20"/>
  <c r="M69" i="20" s="1"/>
  <c r="O69" i="20"/>
  <c r="K69" i="20"/>
  <c r="V68" i="20"/>
  <c r="V21" i="20"/>
  <c r="G68" i="20" l="1"/>
  <c r="G93" i="20" s="1"/>
  <c r="I68" i="20"/>
  <c r="O68" i="20"/>
  <c r="Q68" i="20"/>
  <c r="V31" i="20"/>
  <c r="V8" i="20" s="1"/>
  <c r="M68" i="20"/>
  <c r="K68" i="20"/>
  <c r="AF93" i="20"/>
  <c r="I86" i="1" l="1"/>
  <c r="I89" i="1" s="1"/>
  <c r="Q115" i="12"/>
  <c r="E141" i="12"/>
  <c r="Q141" i="12" s="1"/>
  <c r="O139" i="12"/>
  <c r="K139" i="12"/>
  <c r="G139" i="12"/>
  <c r="Q139" i="12"/>
  <c r="O42" i="12"/>
  <c r="Q66" i="12"/>
  <c r="J85" i="1" l="1"/>
  <c r="I50" i="1"/>
  <c r="M139" i="12"/>
  <c r="J86" i="1"/>
  <c r="J84" i="1"/>
  <c r="J83" i="1"/>
  <c r="J88" i="1"/>
  <c r="J87" i="1"/>
  <c r="J82" i="1"/>
  <c r="E45" i="12"/>
  <c r="E55" i="12" s="1"/>
  <c r="G115" i="12"/>
  <c r="M115" i="12" s="1"/>
  <c r="K115" i="12"/>
  <c r="O115" i="12"/>
  <c r="I115" i="12"/>
  <c r="I139" i="12"/>
  <c r="G141" i="12"/>
  <c r="M141" i="12" s="1"/>
  <c r="K141" i="12"/>
  <c r="O141" i="12"/>
  <c r="I141" i="12"/>
  <c r="I42" i="12"/>
  <c r="Q42" i="12"/>
  <c r="G42" i="12"/>
  <c r="M42" i="12" s="1"/>
  <c r="K42" i="12"/>
  <c r="G66" i="12"/>
  <c r="M66" i="12" s="1"/>
  <c r="K66" i="12"/>
  <c r="O66" i="12"/>
  <c r="I66" i="12"/>
  <c r="J89" i="1" l="1"/>
  <c r="Q60" i="12" l="1"/>
  <c r="O60" i="12"/>
  <c r="K60" i="12"/>
  <c r="I60" i="12"/>
  <c r="G60" i="12"/>
  <c r="M60" i="12" s="1"/>
  <c r="Q125" i="12" l="1"/>
  <c r="O125" i="12"/>
  <c r="K125" i="12"/>
  <c r="I125" i="12"/>
  <c r="G125" i="12"/>
  <c r="G124" i="12" s="1"/>
  <c r="E33" i="12"/>
  <c r="M125" i="12" l="1"/>
  <c r="M124" i="12" s="1"/>
  <c r="Q53" i="12" l="1"/>
  <c r="G53" i="12" l="1"/>
  <c r="M53" i="12" s="1"/>
  <c r="O53" i="12"/>
  <c r="K53" i="12"/>
  <c r="I53" i="12"/>
  <c r="Q50" i="12" l="1"/>
  <c r="O50" i="12"/>
  <c r="K50" i="12"/>
  <c r="I50" i="12"/>
  <c r="G50" i="12"/>
  <c r="M50" i="12" s="1"/>
  <c r="O62" i="12"/>
  <c r="O28" i="12"/>
  <c r="Q36" i="12"/>
  <c r="O36" i="12"/>
  <c r="K36" i="12"/>
  <c r="I36" i="12"/>
  <c r="G36" i="12"/>
  <c r="I61" i="1" l="1"/>
  <c r="M36" i="12"/>
  <c r="K62" i="12"/>
  <c r="I124" i="12"/>
  <c r="K124" i="12"/>
  <c r="O124" i="12"/>
  <c r="Q62" i="12"/>
  <c r="G62" i="12"/>
  <c r="M62" i="12" s="1"/>
  <c r="Q124" i="12"/>
  <c r="I62" i="12"/>
  <c r="O15" i="12"/>
  <c r="K28" i="12"/>
  <c r="I28" i="12"/>
  <c r="Q28" i="12"/>
  <c r="G28" i="12"/>
  <c r="M28" i="12" s="1"/>
  <c r="I9" i="12"/>
  <c r="G9" i="12"/>
  <c r="Q9" i="12"/>
  <c r="K9" i="12"/>
  <c r="O9" i="12"/>
  <c r="Q15" i="12"/>
  <c r="M9" i="12" l="1"/>
  <c r="Q134" i="12"/>
  <c r="I134" i="12"/>
  <c r="K134" i="12"/>
  <c r="G134" i="12"/>
  <c r="M134" i="12" s="1"/>
  <c r="O134" i="12"/>
  <c r="K15" i="12"/>
  <c r="G15" i="12"/>
  <c r="M15" i="12" s="1"/>
  <c r="I15" i="12"/>
  <c r="J27" i="1" l="1"/>
  <c r="Q25" i="12" l="1"/>
  <c r="O25" i="12"/>
  <c r="K25" i="12"/>
  <c r="I25" i="12"/>
  <c r="G25" i="12"/>
  <c r="M25" i="12" l="1"/>
  <c r="Q154" i="12"/>
  <c r="O154" i="12"/>
  <c r="K154" i="12"/>
  <c r="I154" i="12"/>
  <c r="G154" i="12"/>
  <c r="M154" i="12" s="1"/>
  <c r="Q152" i="12"/>
  <c r="O152" i="12"/>
  <c r="K152" i="12"/>
  <c r="I152" i="12"/>
  <c r="G152" i="12"/>
  <c r="M152" i="12" s="1"/>
  <c r="Q146" i="12"/>
  <c r="O146" i="12"/>
  <c r="K146" i="12"/>
  <c r="I146" i="12"/>
  <c r="G146" i="12"/>
  <c r="M146" i="12" l="1"/>
  <c r="G55" i="12"/>
  <c r="M55" i="12" s="1"/>
  <c r="BA165" i="12"/>
  <c r="BA162" i="12"/>
  <c r="BA159" i="12"/>
  <c r="BA150" i="12"/>
  <c r="V15" i="12"/>
  <c r="G22" i="12"/>
  <c r="G8" i="12" s="1"/>
  <c r="I22" i="12"/>
  <c r="K22" i="12"/>
  <c r="O22" i="12"/>
  <c r="Q22" i="12"/>
  <c r="V22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9" i="12"/>
  <c r="I39" i="12"/>
  <c r="K39" i="12"/>
  <c r="O39" i="12"/>
  <c r="Q39" i="12"/>
  <c r="V39" i="12"/>
  <c r="G45" i="12"/>
  <c r="M45" i="12" s="1"/>
  <c r="I45" i="12"/>
  <c r="K45" i="12"/>
  <c r="O45" i="12"/>
  <c r="Q45" i="12"/>
  <c r="V45" i="12"/>
  <c r="G47" i="12"/>
  <c r="I47" i="12"/>
  <c r="K47" i="12"/>
  <c r="O47" i="12"/>
  <c r="Q47" i="12"/>
  <c r="V47" i="12"/>
  <c r="O55" i="12"/>
  <c r="G58" i="12"/>
  <c r="G57" i="12" s="1"/>
  <c r="I58" i="12"/>
  <c r="K58" i="12"/>
  <c r="O58" i="12"/>
  <c r="Q58" i="12"/>
  <c r="V58" i="12"/>
  <c r="G86" i="12"/>
  <c r="G85" i="12" s="1"/>
  <c r="I86" i="12"/>
  <c r="K86" i="12"/>
  <c r="O86" i="12"/>
  <c r="Q86" i="12"/>
  <c r="V86" i="12"/>
  <c r="G132" i="12"/>
  <c r="I132" i="12"/>
  <c r="K132" i="12"/>
  <c r="O132" i="12"/>
  <c r="Q132" i="12"/>
  <c r="V132" i="12"/>
  <c r="G136" i="12"/>
  <c r="I136" i="12"/>
  <c r="K136" i="12"/>
  <c r="O136" i="12"/>
  <c r="Q136" i="12"/>
  <c r="V136" i="12"/>
  <c r="G143" i="12"/>
  <c r="G138" i="12" s="1"/>
  <c r="I143" i="12"/>
  <c r="K143" i="12"/>
  <c r="O143" i="12"/>
  <c r="Q143" i="12"/>
  <c r="V143" i="12"/>
  <c r="G149" i="12"/>
  <c r="G145" i="12" s="1"/>
  <c r="I149" i="12"/>
  <c r="I145" i="12" s="1"/>
  <c r="K149" i="12"/>
  <c r="K145" i="12" s="1"/>
  <c r="O149" i="12"/>
  <c r="O145" i="12" s="1"/>
  <c r="Q149" i="12"/>
  <c r="Q145" i="12" s="1"/>
  <c r="V149" i="12"/>
  <c r="V145" i="12" s="1"/>
  <c r="G158" i="12"/>
  <c r="I158" i="12"/>
  <c r="K158" i="12"/>
  <c r="O158" i="12"/>
  <c r="Q158" i="12"/>
  <c r="V158" i="12"/>
  <c r="G161" i="12"/>
  <c r="M161" i="12" s="1"/>
  <c r="I161" i="12"/>
  <c r="K161" i="12"/>
  <c r="O161" i="12"/>
  <c r="Q161" i="12"/>
  <c r="V161" i="12"/>
  <c r="G164" i="12"/>
  <c r="M164" i="12" s="1"/>
  <c r="I164" i="12"/>
  <c r="K164" i="12"/>
  <c r="O164" i="12"/>
  <c r="Q164" i="12"/>
  <c r="V164" i="12"/>
  <c r="AE168" i="12"/>
  <c r="F43" i="1" s="1"/>
  <c r="H44" i="1"/>
  <c r="M158" i="12" l="1"/>
  <c r="G157" i="12"/>
  <c r="G131" i="12"/>
  <c r="I62" i="1" s="1"/>
  <c r="I59" i="1"/>
  <c r="I64" i="1"/>
  <c r="M136" i="12"/>
  <c r="M132" i="12"/>
  <c r="M131" i="12" s="1"/>
  <c r="M143" i="12"/>
  <c r="M138" i="12" s="1"/>
  <c r="I63" i="1"/>
  <c r="I58" i="1"/>
  <c r="M47" i="12"/>
  <c r="M22" i="12"/>
  <c r="M39" i="12"/>
  <c r="M86" i="12"/>
  <c r="M85" i="12" s="1"/>
  <c r="V55" i="12"/>
  <c r="I55" i="12"/>
  <c r="I8" i="12" s="1"/>
  <c r="M58" i="12"/>
  <c r="M57" i="12" s="1"/>
  <c r="Q55" i="12"/>
  <c r="K55" i="12"/>
  <c r="O8" i="12"/>
  <c r="V85" i="12"/>
  <c r="O85" i="12"/>
  <c r="M157" i="12"/>
  <c r="O157" i="12"/>
  <c r="Q157" i="12"/>
  <c r="I157" i="12"/>
  <c r="Q138" i="12"/>
  <c r="I138" i="12"/>
  <c r="V138" i="12"/>
  <c r="O138" i="12"/>
  <c r="Q131" i="12"/>
  <c r="I131" i="12"/>
  <c r="V131" i="12"/>
  <c r="O131" i="12"/>
  <c r="K85" i="12"/>
  <c r="Q85" i="12"/>
  <c r="I85" i="12"/>
  <c r="Q57" i="12"/>
  <c r="I57" i="12"/>
  <c r="V157" i="12"/>
  <c r="K157" i="12"/>
  <c r="K138" i="12"/>
  <c r="K131" i="12"/>
  <c r="V57" i="12"/>
  <c r="O57" i="12"/>
  <c r="K57" i="12"/>
  <c r="AF168" i="12"/>
  <c r="G43" i="1" s="1"/>
  <c r="I43" i="1" s="1"/>
  <c r="F40" i="1"/>
  <c r="F42" i="1"/>
  <c r="M149" i="12"/>
  <c r="M145" i="12" s="1"/>
  <c r="J29" i="1"/>
  <c r="J26" i="1"/>
  <c r="G39" i="1"/>
  <c r="F39" i="1"/>
  <c r="J23" i="1"/>
  <c r="J24" i="1"/>
  <c r="J25" i="1"/>
  <c r="J28" i="1"/>
  <c r="E24" i="1"/>
  <c r="E26" i="1"/>
  <c r="I57" i="1" l="1"/>
  <c r="G168" i="12"/>
  <c r="I65" i="1"/>
  <c r="M8" i="12"/>
  <c r="K8" i="12"/>
  <c r="V8" i="12"/>
  <c r="Q8" i="12"/>
  <c r="G40" i="1"/>
  <c r="G44" i="1" s="1"/>
  <c r="G42" i="1"/>
  <c r="I42" i="1" s="1"/>
  <c r="F44" i="1"/>
  <c r="G23" i="1" s="1"/>
  <c r="I66" i="1" l="1"/>
  <c r="I48" i="1" s="1"/>
  <c r="I52" i="1" s="1"/>
  <c r="I40" i="1"/>
  <c r="I44" i="1" s="1"/>
  <c r="J43" i="1" s="1"/>
  <c r="J50" i="1" l="1"/>
  <c r="J49" i="1"/>
  <c r="J62" i="1"/>
  <c r="J58" i="1"/>
  <c r="J57" i="1"/>
  <c r="J60" i="1"/>
  <c r="J63" i="1"/>
  <c r="J61" i="1"/>
  <c r="J65" i="1"/>
  <c r="J59" i="1"/>
  <c r="J64" i="1"/>
  <c r="J42" i="1"/>
  <c r="J40" i="1"/>
  <c r="J44" i="1" s="1"/>
  <c r="J66" i="1" l="1"/>
  <c r="I21" i="1"/>
  <c r="I16" i="1" s="1"/>
  <c r="J48" i="1"/>
  <c r="J52" i="1" s="1"/>
  <c r="G25" i="1" l="1"/>
  <c r="G27" i="1" s="1"/>
  <c r="A28" i="1" l="1"/>
  <c r="A29" i="1" s="1"/>
  <c r="G30" i="1"/>
  <c r="G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TSC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TSC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TSC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<sst xmlns="http://schemas.openxmlformats.org/spreadsheetml/2006/main" count="1261" uniqueCount="400">
  <si>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</si>
  <si>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</si>
  <si>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</si>
  <si>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</si>
  <si>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</si>
  <si>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</si>
  <si>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</si>
  <si>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</si>
  <si>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</si>
  <si>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</si>
  <si>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</si>
  <si>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</si>
  <si>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</si>
  <si>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</si>
  <si>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</si>
  <si>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</si>
  <si>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</si>
  <si>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</si>
  <si>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</si>
  <si>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</si>
  <si>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</si>
  <si>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</si>
  <si>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</si>
  <si>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</si>
  <si>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</si>
  <si>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</si>
  <si>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</si>
  <si>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</si>
  <si>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</si>
  <si>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</si>
  <si>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</si>
  <si>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</si>
  <si>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</si>
  <si>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</si>
  <si>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</si>
  <si>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</si>
  <si>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</si>
  <si>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</si>
  <si>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</si>
  <si>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</si>
  <si>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</si>
  <si>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01285</t>
  </si>
  <si>
    <t>Rekonstrukce chodníků v ulici V Podlískách v obci Braškov</t>
  </si>
  <si>
    <t>SO 01</t>
  </si>
  <si>
    <t>Chodník</t>
  </si>
  <si>
    <t>Rozpočet:</t>
  </si>
  <si>
    <t>Stavba</t>
  </si>
  <si>
    <t>Stavební objekt</t>
  </si>
  <si>
    <t>Celkem za stavbu</t>
  </si>
  <si>
    <t>CZK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</si>
  <si>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</si>
  <si>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</si>
  <si>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</si>
  <si>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</si>
  <si>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</si>
  <si>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</si>
  <si>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</si>
  <si>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</si>
  <si>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</si>
  <si>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</si>
  <si>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</si>
  <si>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</si>
  <si>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</si>
  <si>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</si>
  <si>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</si>
  <si>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</si>
  <si>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</si>
  <si>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</si>
  <si>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</si>
  <si>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</si>
  <si>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</si>
  <si>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</si>
  <si>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</si>
  <si>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</si>
  <si>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</si>
  <si>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</si>
  <si>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</si>
  <si>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</si>
  <si>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</si>
  <si>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</si>
  <si>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</si>
  <si>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</si>
  <si>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</si>
  <si>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</si>
  <si>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</si>
  <si>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</si>
  <si>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</si>
  <si>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</si>
  <si>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</si>
  <si>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</si>
  <si>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</si>
  <si>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</si>
  <si>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SPU</t>
  </si>
  <si>
    <t>SPCM</t>
  </si>
  <si>
    <t>kus</t>
  </si>
  <si>
    <t>m2</t>
  </si>
  <si>
    <t xml:space="preserve">Geodetické práce </t>
  </si>
  <si>
    <t>Soubor</t>
  </si>
  <si>
    <t>Indiv</t>
  </si>
  <si>
    <t>VRN</t>
  </si>
  <si>
    <t>POL99_2</t>
  </si>
  <si>
    <t>Zařízení staveniště</t>
  </si>
  <si>
    <t>POP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</si>
  <si>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</si>
  <si>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</si>
  <si>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</si>
  <si>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822-1</t>
  </si>
  <si>
    <t>Práce</t>
  </si>
  <si>
    <t>POL1_</t>
  </si>
  <si>
    <t>SPI</t>
  </si>
  <si>
    <t>113201111R00</t>
  </si>
  <si>
    <t>m</t>
  </si>
  <si>
    <t>800-1</t>
  </si>
  <si>
    <t>m3</t>
  </si>
  <si>
    <t>s přehozením výkopku na vzdálenost do 3 m nebo s naložením na dopravní prostředek,</t>
  </si>
  <si>
    <t>122201109R00</t>
  </si>
  <si>
    <t>162701105RT3</t>
  </si>
  <si>
    <t>Vodorovné přemístění výkopku z horniny 1 až 4, na vzdálenost přes 9 000  do 10 000 m</t>
  </si>
  <si>
    <t>po suchu, bez naložení výkopku, avšak se složením bez rozhrnutí, zpáteční cesta vozidla.</t>
  </si>
  <si>
    <t>167101101R00</t>
  </si>
  <si>
    <t>180402111R00</t>
  </si>
  <si>
    <t>823-1</t>
  </si>
  <si>
    <t>na půdě předem připravené s pokosením, naložením, odvozem odpadu do 20 km a se složením,</t>
  </si>
  <si>
    <t>Poplatky za skládku horniny 1- 4, skupina 17 05 04 z Katalogu odpadů</t>
  </si>
  <si>
    <t>t</t>
  </si>
  <si>
    <t>s provedením lože z kameniva drceného, s vyplněním spár, s dvojitým hutněním a se smetením přebytečného materiálu na krajnici. S dodáním hmot pro lože a výplň spár.</t>
  </si>
  <si>
    <t>Přesun hmot</t>
  </si>
  <si>
    <t>POL7_</t>
  </si>
  <si>
    <t>Přesun hmot pozemních komunikací, kryt dlážděný jakékoliv délky objektu</t>
  </si>
  <si>
    <t>Přesun suti</t>
  </si>
  <si>
    <t>POL8_</t>
  </si>
  <si>
    <t>801-3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</si>
  <si>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</si>
  <si>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</si>
  <si>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</si>
  <si>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</si>
  <si>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</si>
  <si>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</si>
  <si>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</si>
  <si>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</si>
  <si>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</si>
  <si>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</t>
  </si>
  <si>
    <t>SUM</t>
  </si>
  <si>
    <t>END</t>
  </si>
  <si>
    <t>12224441R00</t>
  </si>
  <si>
    <t>Přesun hmot komunikací, kryt živičný jakékoliv délky objektu</t>
  </si>
  <si>
    <t>998200011R00</t>
  </si>
  <si>
    <t>998213111R00</t>
  </si>
  <si>
    <t>Poplatek za skládku stavební suti</t>
  </si>
  <si>
    <t>979188001R00</t>
  </si>
  <si>
    <t>005131 R</t>
  </si>
  <si>
    <t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t>
  </si>
  <si>
    <t>Náklady spojené s povinnou publicitou. Zahrnuje zejména náklady na propagační a informační billboardy, tabule, internetovou propagaci, tiskoviny apod.</t>
  </si>
  <si>
    <t>Založení trávníku parkový trávník, výsevem v rovině, vč. travního smene</t>
  </si>
  <si>
    <t>005121029 R</t>
  </si>
  <si>
    <t>Nakládání výkopku, skládání, překládání neulehlého výkopku_x000D_ z hornin 1 až 4</t>
  </si>
  <si>
    <t>S dodáním hmot pro lože a opěry</t>
  </si>
  <si>
    <t xml:space="preserve">             Artendr s.r.o.</t>
  </si>
  <si>
    <t>Zadavatel:</t>
  </si>
  <si>
    <t>Celkem bez DPH</t>
  </si>
  <si>
    <t>Základní DPH</t>
  </si>
  <si>
    <t>Bourání konstrukcí</t>
  </si>
  <si>
    <t>96</t>
  </si>
  <si>
    <t>120001101R00</t>
  </si>
  <si>
    <t>Ztížené vykopávky v horninách jakékoliv třídy</t>
  </si>
  <si>
    <t>139601102R00</t>
  </si>
  <si>
    <t>Ruční výkop jam, rýh a šachet v hornině 3</t>
  </si>
  <si>
    <t>s přehozením na vzdálenost do 5 m nebo s naložením na ruční dopravní prostředek</t>
  </si>
  <si>
    <t>823-2</t>
  </si>
  <si>
    <t>Rozprostření zemin schopných zúrodnění v rovině nebo svahu do 1:5, tloušťka 200 mm</t>
  </si>
  <si>
    <t>vč. dodávky zeminy, naložení, dovozu do 20 km a se složením,</t>
  </si>
  <si>
    <t>95</t>
  </si>
  <si>
    <t>Dokončovací konstrukce na pozemních stavbách</t>
  </si>
  <si>
    <t>801-1</t>
  </si>
  <si>
    <t>998222011R00</t>
  </si>
  <si>
    <t>Přesun hmot pozemních komunikací, kryt z kameniva jakékoliv délky objektu</t>
  </si>
  <si>
    <t>181101102R00</t>
  </si>
  <si>
    <t>Úprava pláně v zářezech v hornině 1 až 4, se zhutněním</t>
  </si>
  <si>
    <t>181006190RT2</t>
  </si>
  <si>
    <t>Podklad ze štěrkodrti s rozprostřením a zhutněním (frakce 0-32 mm), tloušťka po zhutnění 150 mm</t>
  </si>
  <si>
    <t>821-1</t>
  </si>
  <si>
    <t>příplatek k cenám vykopávek za ztížení vykopávky v blízkosti podzemního vedení v horninách jakékoliv třídy,</t>
  </si>
  <si>
    <t>s vybouráním lože, s přemístěním hmot na skládku na vzdálenost do 3 m nebo naložením na dopravní prostředek,</t>
  </si>
  <si>
    <t>s přemístěním hmot na skládku na vzdálenost do 3 m nebo s naložením na dopravní prostředek,</t>
  </si>
  <si>
    <t>174101101R00</t>
  </si>
  <si>
    <t>z jakékoliv horniny s uložením výkopku po vrstvách,</t>
  </si>
  <si>
    <t xml:space="preserve">Zásyp sypaninou se zhutněním jam, šachet, rýh nebo kolem objektů </t>
  </si>
  <si>
    <t>Rekapitulace objektů</t>
  </si>
  <si>
    <t>Cena celkem bez DPH</t>
  </si>
  <si>
    <t>Objekty:</t>
  </si>
  <si>
    <t>564851123RT4</t>
  </si>
  <si>
    <t>162701109R00</t>
  </si>
  <si>
    <t>Vodorovné přemístění výkopku příplatek k ceně za každých dalších i započatých 1 000 m přes 10 000 m_x000D_ z horniny 1 až 4</t>
  </si>
  <si>
    <t>953004750RT8</t>
  </si>
  <si>
    <t>199000072R00</t>
  </si>
  <si>
    <t>979084216R00</t>
  </si>
  <si>
    <t>Vodorovná doprava vybouraných hmot po suchu bez naložení, ale se složením na vzdálenost do 5 km</t>
  </si>
  <si>
    <t>979084219R00</t>
  </si>
  <si>
    <t>Vodorovná doprava vybouraných hmot po suchu příplatek k ceně za každých dalších i započatých 5 km přes 5 km</t>
  </si>
  <si>
    <t>RTS 21/II</t>
  </si>
  <si>
    <t>919742000R00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</si>
  <si>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</si>
  <si>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954431111R00</t>
  </si>
  <si>
    <t xml:space="preserve">Výšková úprava uličního vstupu, vpustě nebo šoupěte do 20 cm </t>
  </si>
  <si>
    <t>soubor</t>
  </si>
  <si>
    <r>
      <t xml:space="preserve">Odstranění podkladů nebo krytů živičných, v ploše jednotlivě nad 50 m2, tloušťka vrstvy do </t>
    </r>
    <r>
      <rPr>
        <sz val="8"/>
        <color theme="1"/>
        <rFont val="Arial CE"/>
        <charset val="238"/>
      </rPr>
      <t>100</t>
    </r>
    <r>
      <rPr>
        <sz val="8"/>
        <rFont val="Arial CE"/>
        <charset val="238"/>
      </rPr>
      <t xml:space="preserve"> mm</t>
    </r>
  </si>
  <si>
    <t>Osazení a montáž svislých dopravních značek, vč. sloupků pro dopravní značky</t>
  </si>
  <si>
    <t>vč. zemních prací, základu, osazení patice a kotevních šroubů</t>
  </si>
  <si>
    <t>vč. dopravy, manipulace, předznačení, čištění povrchu</t>
  </si>
  <si>
    <t>132201111R00</t>
  </si>
  <si>
    <t>Hloubení rýh šířky do 60cm v hornině tř.3, do 50m3, strojně</t>
  </si>
  <si>
    <t>2</t>
  </si>
  <si>
    <t>Základy a zvláštní zakládání</t>
  </si>
  <si>
    <t>RTS 20/ I</t>
  </si>
  <si>
    <t>4</t>
  </si>
  <si>
    <t>Vodorovné konstrukce</t>
  </si>
  <si>
    <t>451573119R00</t>
  </si>
  <si>
    <t>827-1</t>
  </si>
  <si>
    <t>451573137R00</t>
  </si>
  <si>
    <t>Písek tříděný 0/4 nebo 0/6</t>
  </si>
  <si>
    <t>M21</t>
  </si>
  <si>
    <t>Elektromontáže</t>
  </si>
  <si>
    <t>210172189RT5</t>
  </si>
  <si>
    <t>210202115R00</t>
  </si>
  <si>
    <t>210204057RT1</t>
  </si>
  <si>
    <t>Dodávka a montáž zemnícího drátu FeZn-D10 vč. svorek</t>
  </si>
  <si>
    <t>210890012R00</t>
  </si>
  <si>
    <t>Fólie výstražná z PVC, šířka 33 cm</t>
  </si>
  <si>
    <t>Lože kabelové z písku a štěrkopísku tl. 300 mm</t>
  </si>
  <si>
    <t>v otevřeném výkopu, vč. urovnání a manipulace</t>
  </si>
  <si>
    <t>274410713RT3</t>
  </si>
  <si>
    <t>174101107R00</t>
  </si>
  <si>
    <t>Obsyp potrubí sypaninou se zhutněním kolem objektů do 0,02m3/kus</t>
  </si>
  <si>
    <t>176151121RT2</t>
  </si>
  <si>
    <t>Štěrkodrť 2/5</t>
  </si>
  <si>
    <t>ze ŠD 2/5, obsyp stožárů v pouzdře</t>
  </si>
  <si>
    <t>Dodávka a montáž sloupu do chráničky v bet.patce, vyrovnání a definitivní zajištění vč. výzbroje, zapojení, výsuvná plošina, dle PD</t>
  </si>
  <si>
    <t>210810369R00</t>
  </si>
  <si>
    <t>Dodávka a montáž chráničky PVC PE 94/110</t>
  </si>
  <si>
    <t>Dodávka a montáž chráničky PVC HT DN110</t>
  </si>
  <si>
    <t>Dodávka a montáž chráničky PVC HT DN250</t>
  </si>
  <si>
    <t>210820416R00</t>
  </si>
  <si>
    <t>210830388R00</t>
  </si>
  <si>
    <t xml:space="preserve">M21 </t>
  </si>
  <si>
    <t>210810311R00</t>
  </si>
  <si>
    <t xml:space="preserve">Dodávka a montáž kabelu CYKY 3x2,5 mm2, </t>
  </si>
  <si>
    <t>113108329R00</t>
  </si>
  <si>
    <t>s provedením lože z kameniva drceného, s vyplněním spár. s dodáním hmot pro lože a výplň spár.</t>
  </si>
  <si>
    <t>Kladení dlažby kamenné ze žulových kostek středních (vel. 8-10cm), do lože tl. 30-50mm</t>
  </si>
  <si>
    <t>Kostaka žulová velikosti 8-10cm</t>
  </si>
  <si>
    <t>583604111R00</t>
  </si>
  <si>
    <t>58390644R</t>
  </si>
  <si>
    <t xml:space="preserve">dlažba betonová, zámková; červená, slepecká, tl. 60 mm </t>
  </si>
  <si>
    <t>564851141RT3</t>
  </si>
  <si>
    <t>Podklad ze štěrkodrti s rozprostřením a zhutněním (frakce 0-63 mm), tloušťka po zhutnění 160 mm</t>
  </si>
  <si>
    <t>573231122R00</t>
  </si>
  <si>
    <t>Postřik živičný infiltrační bez posypu kamenivem z asfaltu silničního, v množství od 0,5 do 0,7 kg/m2</t>
  </si>
  <si>
    <t>vč. zemních a zahradních prací, dopravy</t>
  </si>
  <si>
    <t>Dodávka a montáž lavičky dle PD (kotvení dle výrobce)</t>
  </si>
  <si>
    <t>210820475R00</t>
  </si>
  <si>
    <t>210820479R00</t>
  </si>
  <si>
    <t>210820406R00</t>
  </si>
  <si>
    <t xml:space="preserve">Dodávka a montáž kabelu CYKY J 4 x 16 mm2, </t>
  </si>
  <si>
    <t>131201202R00</t>
  </si>
  <si>
    <t>RTS 22/ I</t>
  </si>
  <si>
    <t>RTS 21/ I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</si>
  <si>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</si>
  <si>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Hloubení zapažených jam, šachet a rýh do 1000 m3, v hornině 3, strojně, s ručním dočištěním</t>
  </si>
  <si>
    <t>Zásyp sypaninou se zhutněním jam, šachet, rýh nebo kolem objektů v těchto vykopávkách</t>
  </si>
  <si>
    <t>včetně strojního přemístění materiálu pro zásyp ze vzdálenosti do 10 m od okraje zásypu</t>
  </si>
  <si>
    <t>175101101RT2</t>
  </si>
  <si>
    <t>Obsyp potrubí bez prohození sypaniny, s dodáním štěrkopísku frakce 0 - 22 mm</t>
  </si>
  <si>
    <t>Zřízení pažení a rozepření stěn rýh příložné  pro jakoukoliv mezerovitost, hloubky do 2 m</t>
  </si>
  <si>
    <t>Odstranění pažení a rozepření rýh příložné , hloubky do 2 m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</si>
  <si>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</si>
  <si>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</si>
  <si>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</si>
  <si>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8</t>
  </si>
  <si>
    <t>Trubní vedení</t>
  </si>
  <si>
    <t>998207811R00</t>
  </si>
  <si>
    <t>v otevřeném výkopu ve sklonu do 10 %, vč. kolen a odboček, doprava a manipulace</t>
  </si>
  <si>
    <t>871313521RU3</t>
  </si>
  <si>
    <t xml:space="preserve">Zřízení vpusti kanalizační uliční z betonových dílců_x000D_ včetně dodávky dílců pro uliční vpusti TBV, pro typ UVB-50 </t>
  </si>
  <si>
    <t xml:space="preserve">včetně zřízení lože ze štěrkopísku, obsypu betonem prostým </t>
  </si>
  <si>
    <t>895945311RT2</t>
  </si>
  <si>
    <t>893131123RT2</t>
  </si>
  <si>
    <t>indiv</t>
  </si>
  <si>
    <t>Zkoušky, proplachy a revize</t>
  </si>
  <si>
    <t>pro podzemní vedení pro všechny šířky rýhy, vč. doprav a manipulace</t>
  </si>
  <si>
    <t>pro podzemní vedení s očištěním, naložením a odvozem</t>
  </si>
  <si>
    <t>151111701R00</t>
  </si>
  <si>
    <t>151111711R00</t>
  </si>
  <si>
    <t>Zřízení lože pro potrubí ze sypaniny, s dodáním stěrkopísku frakce 0 - 4mm vč. urovnání dna do předepsaného tvaru</t>
  </si>
  <si>
    <t>vč. dopravy ŠP</t>
  </si>
  <si>
    <t>172101187R00</t>
  </si>
  <si>
    <t>886201407RT3</t>
  </si>
  <si>
    <t>22033</t>
  </si>
  <si>
    <t>REKONSTRUKCE MÍSTNÍ KOMUNIKACE UL. KOLLÁROVA</t>
  </si>
  <si>
    <t>Znojmo - ul. Kollárova</t>
  </si>
  <si>
    <t>Město Znojmo</t>
  </si>
  <si>
    <t>Obroková 1/12</t>
  </si>
  <si>
    <t>669 22</t>
  </si>
  <si>
    <t>Znojmo</t>
  </si>
  <si>
    <t>00293881</t>
  </si>
  <si>
    <t xml:space="preserve">Komunikace </t>
  </si>
  <si>
    <t xml:space="preserve">Rozebrání komunikací s jakýmkoliv ložem a výplní spár_x000D_ z dlažby kamenné </t>
  </si>
  <si>
    <t>113106247R00</t>
  </si>
  <si>
    <t>113106229R00</t>
  </si>
  <si>
    <t>s přemístěním hmot na skládku na vzdálenost do 3 m nebo s naložením na dopravní prostředek</t>
  </si>
  <si>
    <t>Odstranění podkladů nebo krytů z kameniva hrubého drceného, v ploše jednotlivě nad 50 m2</t>
  </si>
  <si>
    <t>113107567R00</t>
  </si>
  <si>
    <t>očištění kostek proklepáním, s přemístěním hmot na skládku na vzdálenost do 3 m nebo s naložením na dopravní prostředek,</t>
  </si>
  <si>
    <t>Vytrhání obrub silničních kemenných stojatých nebo ležatých</t>
  </si>
  <si>
    <t xml:space="preserve">vč. příplatku k cenám za ztížení odkopávky v blízkosti podzemního vedení </t>
  </si>
  <si>
    <t>Odkopávky a  prokopávky nezapažené v hornině 3 do 100 m3</t>
  </si>
  <si>
    <t>Odkopávky a  prokopávky nezapažené v hornině 3_x000D_, příplatek k cenám za lepivost horniny</t>
  </si>
  <si>
    <t>Ztížené vykopávky a odkopávky podkladních vrstev komunikace</t>
  </si>
  <si>
    <t xml:space="preserve">příplatek k cenám za ztížení vykopávky a odkopávky v blízkosti podzemního vedení </t>
  </si>
  <si>
    <t>113107609R00</t>
  </si>
  <si>
    <t>Podklad ze štěrkodrti s rozprostřením a zhutněním (frakce 0-63mm), tloušťka po zhutnění 200mm</t>
  </si>
  <si>
    <t>564851158RT3</t>
  </si>
  <si>
    <t>Beton asfaltový s rozprostřením a zhutněním v pruhu šířky přes 3 m, ACO 11+, tloušťky 50 mm</t>
  </si>
  <si>
    <t>577132137RT2</t>
  </si>
  <si>
    <t>dodávka žulové kostky vč. dopravy - doplnění (odhad)</t>
  </si>
  <si>
    <t>Kladení dlažby kamenné ze žulových kostek velkých (vel. 12-18cm), do lože tl. 30-50mm</t>
  </si>
  <si>
    <t>Kostaka žulová velikosti 12-18cm</t>
  </si>
  <si>
    <t>583604112R00</t>
  </si>
  <si>
    <t>58390645R</t>
  </si>
  <si>
    <t>Osazení obrubníku kamenného stojatého, nebo ležatého, s boční opěrou z betonu prostého, do lože z betonu prostého C 12/15</t>
  </si>
  <si>
    <t>917855137RT7</t>
  </si>
  <si>
    <t>91785520111R</t>
  </si>
  <si>
    <t>obrubník kamenný, žulový, š = 240 mm; h = 250,0 mm</t>
  </si>
  <si>
    <t>obrubník kamenný, žulový, š = 240 mm; h = 250,0 mm, oblouk</t>
  </si>
  <si>
    <t>91801111RT9</t>
  </si>
  <si>
    <t>918001208RT9</t>
  </si>
  <si>
    <t>Vodorovné značení dělících čar bílé, šířky do 120mm - barva bílá</t>
  </si>
  <si>
    <t>Demontáž značky dopravní, vč. sloupku 60mm, délky 2,5m + patice, šrouby</t>
  </si>
  <si>
    <t>918001211R02</t>
  </si>
  <si>
    <t>Řezání krytů živičných, vč. zálivky živičné spár hl. do 4cm</t>
  </si>
  <si>
    <t>9180012RT0</t>
  </si>
  <si>
    <t>Značka dopravní (dle PD) vč. sloupku D60mm, délky 2,5m, patice a kotevních prvků</t>
  </si>
  <si>
    <t>Kladení zámkové dlažby do drtě tloušťka dlažby 60 mm, tloušťka lože 40 mm</t>
  </si>
  <si>
    <t>582215021R00</t>
  </si>
  <si>
    <t>59245255R</t>
  </si>
  <si>
    <t>Bourání zdiva kamenného nebo smíšeného, vč. nakládky na dopravní prostředek</t>
  </si>
  <si>
    <t>961041011R00</t>
  </si>
  <si>
    <t>962014011R00</t>
  </si>
  <si>
    <t>962014027R00</t>
  </si>
  <si>
    <t>Demontáž stávajícího dřevěného oplocení vč. brány (dle PD), nakládka na dopravní prostředek</t>
  </si>
  <si>
    <t>Demontáž stávající kované brány (dle PD), vč. očištění a převozu na deponii</t>
  </si>
  <si>
    <t>Dodávka a montáž koše odpadního vč. zemních pracíma betonáže - koš venkovní, vč sloupku + patice (dle PD)</t>
  </si>
  <si>
    <t>91900R01</t>
  </si>
  <si>
    <t>91907R01</t>
  </si>
  <si>
    <t xml:space="preserve">Dodávka a montáž kovaného oplocení výšky min 2m, dle PD </t>
  </si>
  <si>
    <t>vč. dopravy, manipulace, zemních a stavebních prací</t>
  </si>
  <si>
    <t xml:space="preserve">Dodávka a montáž kovaného oplocení výšky 1,5m, dle PD </t>
  </si>
  <si>
    <t>vč. dopravy, manipulace, zemních a stavebních prací (oplocení RIS)</t>
  </si>
  <si>
    <t>91908R01</t>
  </si>
  <si>
    <t>Zřízení základových patek (C20/25) pro,,model,, dle PD (patka 0,5x0,5x1m)</t>
  </si>
  <si>
    <t>91909R01</t>
  </si>
  <si>
    <t>91910R01</t>
  </si>
  <si>
    <t>Dodávka a osazení stromů vč. valu a dřevěné ochranné konstrukce, výšky 2,5m</t>
  </si>
  <si>
    <t>Rozebrání komunikací pro pěší s jakýmkoliv ložem a výplní spár_x000D_ z dlažby betonové</t>
  </si>
  <si>
    <t>vč. provozních vlivů</t>
  </si>
  <si>
    <t>Odvodnění</t>
  </si>
  <si>
    <t>961011007R00</t>
  </si>
  <si>
    <t>Odstranění stávajícího ležatého kameninového potrubí KA DN200, vybouráním</t>
  </si>
  <si>
    <t>vč. svislého přesunu suti, nakládky na dopravní prostředek</t>
  </si>
  <si>
    <t>Demontáž betonových uličních vpustí UV 50, ozebráním nebo vybouráním</t>
  </si>
  <si>
    <t>Demontáž mříží litinových uliční vpusti, vybouráním</t>
  </si>
  <si>
    <t>vč. očištění mříže a rámu, dopravy a manipulace</t>
  </si>
  <si>
    <t>961011047800</t>
  </si>
  <si>
    <t>961011092R00</t>
  </si>
  <si>
    <t>Dodávka a montáž potrubí z trub kameninových, včetně dodávky trub hrdlových_x000D_ DN 200 mm, vč. kolen a betonového lože</t>
  </si>
  <si>
    <t>v otevřeném výkopu ve sklonu do 10 %, vč. kolen, podkladního betonu</t>
  </si>
  <si>
    <t>Napojení potrubí na kanalizační řád</t>
  </si>
  <si>
    <t>Osazení mříží litinovývh uličních vpustí</t>
  </si>
  <si>
    <t>včetně vyrovnávacích prstenců</t>
  </si>
  <si>
    <t>Dodávka mříží litinovývh, uličních vpustí vč.koše</t>
  </si>
  <si>
    <t>8931311RT2</t>
  </si>
  <si>
    <t>Přesun hmot pro kanalizaci z betonových nebo kameninových dílců</t>
  </si>
  <si>
    <t>Osvětlení</t>
  </si>
  <si>
    <t>Základové patky z betonu - 0,45*0,45*0,75m</t>
  </si>
  <si>
    <t>vč. dopravy a ruční manipulace s osazením chrániček</t>
  </si>
  <si>
    <t>Dodávka a montáž svítidla veřejného osvětlení (LED 24) lampa 28W / 2700K, výlož 450mm</t>
  </si>
  <si>
    <t>Dodávka a montáž vč. zapojení, výsuvná plošina, dle PD</t>
  </si>
  <si>
    <t>Dodávka a montáž sloupu veřejného osvětlení, výšky 5m, včetně nového přívodu a elektrovýzbroje - svorkovnice s pojistkou 1A, teplem smrštitelné koncovky kabelu, trubičky na zemnící kulatinu, zvýšená IP, montáž na sloup, vč. betonové čepice s nátěrem polyuretanovým</t>
  </si>
  <si>
    <t>Dodávka a montáž chráničky PVC PE 50/42</t>
  </si>
  <si>
    <t>Dodávka a montáž rozvaděče vč. vystrojení - jištění, soumrakový spínač, časové hodiny, elektroměr, připojení ke spínacímu bodu - zapojení vč. materiálu</t>
  </si>
  <si>
    <t>Rekapitulace dílů - D.1.3 - Odvodnění</t>
  </si>
  <si>
    <t xml:space="preserve">Rekapitulace dílů - D.1.1 - Komunikace </t>
  </si>
  <si>
    <t>Rekapitulace dílů - D.1.4 - Osvětlení</t>
  </si>
  <si>
    <t xml:space="preserve">D.1.1 Komunikace </t>
  </si>
  <si>
    <t>D.1.3 Odvodnění</t>
  </si>
  <si>
    <t>D.1.4 Osvětlení</t>
  </si>
  <si>
    <t>D.1.1</t>
  </si>
  <si>
    <t xml:space="preserve">D.1. </t>
  </si>
  <si>
    <t>1 Komunikace, 3 Odvodnění, 4 Osvětlení a 6 Dopravní zařízení</t>
  </si>
  <si>
    <t>D.1.3</t>
  </si>
  <si>
    <t>D.1.4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</si>
</sst>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7" fillId="0" borderId="26" xfId="0" applyFont="1" applyBorder="1" applyAlignment="1">
      <alignment vertical="center"/>
    </xf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35" xfId="0" applyFont="1" applyFill="1" applyBorder="1" applyAlignment="1">
      <alignment vertical="top"/>
    </xf>
    <xf numFmtId="49" fontId="8" fillId="0" borderId="35" xfId="0" applyNumberFormat="1" applyFont="1" applyFill="1" applyBorder="1" applyAlignment="1">
      <alignment vertical="top"/>
    </xf>
    <xf numFmtId="4" fontId="8" fillId="0" borderId="35" xfId="0" applyNumberFormat="1" applyFont="1" applyFill="1" applyBorder="1" applyAlignment="1">
      <alignment vertical="top" shrinkToFit="1"/>
    </xf>
    <xf numFmtId="4" fontId="18" fillId="0" borderId="0" xfId="0" applyNumberFormat="1" applyFont="1"/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0" fillId="0" borderId="17" xfId="0" applyBorder="1" applyAlignment="1">
      <alignment horizontal="left" vertical="center" inden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9" fontId="18" fillId="0" borderId="18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shrinkToFit="1"/>
    </xf>
    <xf numFmtId="164" fontId="18" fillId="0" borderId="18" xfId="0" applyNumberFormat="1" applyFont="1" applyBorder="1" applyAlignment="1">
      <alignment vertical="top" shrinkToFit="1"/>
    </xf>
    <xf numFmtId="4" fontId="18" fillId="0" borderId="18" xfId="0" applyNumberFormat="1" applyFont="1" applyBorder="1" applyAlignment="1">
      <alignment vertical="top" shrinkToFit="1"/>
    </xf>
    <xf numFmtId="0" fontId="0" fillId="0" borderId="37" xfId="0" applyBorder="1"/>
    <xf numFmtId="0" fontId="0" fillId="0" borderId="36" xfId="0" applyFont="1" applyBorder="1" applyAlignment="1">
      <alignment vertical="center"/>
    </xf>
    <xf numFmtId="0" fontId="0" fillId="0" borderId="41" xfId="0" applyBorder="1"/>
    <xf numFmtId="0" fontId="0" fillId="3" borderId="36" xfId="0" applyFont="1" applyFill="1" applyBorder="1" applyAlignment="1">
      <alignment vertical="center"/>
    </xf>
    <xf numFmtId="0" fontId="0" fillId="0" borderId="26" xfId="0" applyBorder="1"/>
    <xf numFmtId="49" fontId="18" fillId="0" borderId="39" xfId="0" applyNumberFormat="1" applyFont="1" applyFill="1" applyBorder="1" applyAlignment="1">
      <alignment vertical="top"/>
    </xf>
    <xf numFmtId="164" fontId="18" fillId="0" borderId="39" xfId="0" applyNumberFormat="1" applyFont="1" applyFill="1" applyBorder="1" applyAlignment="1">
      <alignment vertical="top" shrinkToFit="1"/>
    </xf>
    <xf numFmtId="49" fontId="8" fillId="0" borderId="0" xfId="0" applyNumberFormat="1" applyFont="1" applyAlignment="1">
      <alignment horizontal="left" vertical="center"/>
    </xf>
    <xf numFmtId="0" fontId="0" fillId="0" borderId="0" xfId="0"/>
    <xf numFmtId="0" fontId="18" fillId="0" borderId="0" xfId="0" applyFont="1"/>
    <xf numFmtId="4" fontId="18" fillId="0" borderId="0" xfId="0" applyNumberFormat="1" applyFont="1" applyBorder="1" applyAlignment="1">
      <alignment vertical="top" shrinkToFit="1"/>
    </xf>
    <xf numFmtId="4" fontId="18" fillId="0" borderId="18" xfId="0" applyNumberFormat="1" applyFont="1" applyFill="1" applyBorder="1" applyAlignment="1" applyProtection="1">
      <alignment vertical="top" shrinkToFit="1"/>
      <protection locked="0"/>
    </xf>
    <xf numFmtId="0" fontId="0" fillId="0" borderId="0" xfId="0"/>
    <xf numFmtId="0" fontId="18" fillId="0" borderId="0" xfId="0" applyFont="1"/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0" borderId="39" xfId="0" applyNumberFormat="1" applyFont="1" applyBorder="1" applyAlignment="1">
      <alignment horizontal="left" vertical="top" wrapText="1"/>
    </xf>
    <xf numFmtId="49" fontId="8" fillId="0" borderId="35" xfId="0" applyNumberFormat="1" applyFont="1" applyBorder="1" applyAlignment="1">
      <alignment vertical="center"/>
    </xf>
    <xf numFmtId="0" fontId="16" fillId="5" borderId="36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vertical="center"/>
    </xf>
    <xf numFmtId="0" fontId="18" fillId="0" borderId="38" xfId="0" applyFont="1" applyFill="1" applyBorder="1" applyAlignment="1">
      <alignment vertical="top"/>
    </xf>
    <xf numFmtId="49" fontId="18" fillId="0" borderId="39" xfId="0" applyNumberFormat="1" applyFont="1" applyFill="1" applyBorder="1" applyAlignment="1">
      <alignment horizontal="left" vertical="top" wrapText="1"/>
    </xf>
    <xf numFmtId="0" fontId="18" fillId="0" borderId="39" xfId="0" applyFont="1" applyFill="1" applyBorder="1" applyAlignment="1">
      <alignment horizontal="center" vertical="top" shrinkToFit="1"/>
    </xf>
    <xf numFmtId="4" fontId="18" fillId="0" borderId="39" xfId="0" applyNumberFormat="1" applyFont="1" applyFill="1" applyBorder="1" applyAlignment="1">
      <alignment vertical="top" shrinkToFit="1"/>
    </xf>
    <xf numFmtId="4" fontId="18" fillId="0" borderId="39" xfId="0" applyNumberFormat="1" applyFont="1" applyFill="1" applyBorder="1" applyAlignment="1" applyProtection="1">
      <alignment vertical="top" shrinkToFit="1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8" fillId="0" borderId="35" xfId="0" applyNumberFormat="1" applyFont="1" applyBorder="1" applyAlignment="1">
      <alignment vertical="center"/>
    </xf>
    <xf numFmtId="0" fontId="8" fillId="0" borderId="6" xfId="0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 shrinkToFit="1"/>
    </xf>
    <xf numFmtId="4" fontId="8" fillId="0" borderId="6" xfId="0" applyNumberFormat="1" applyFont="1" applyFill="1" applyBorder="1" applyAlignment="1">
      <alignment vertical="top" shrinkToFit="1"/>
    </xf>
    <xf numFmtId="49" fontId="8" fillId="3" borderId="3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9" fontId="18" fillId="0" borderId="0" xfId="0" applyNumberFormat="1" applyFont="1" applyFill="1" applyBorder="1" applyAlignment="1">
      <alignment vertical="top"/>
    </xf>
    <xf numFmtId="49" fontId="18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 shrinkToFit="1"/>
    </xf>
    <xf numFmtId="164" fontId="18" fillId="0" borderId="0" xfId="0" applyNumberFormat="1" applyFont="1" applyFill="1" applyBorder="1" applyAlignment="1">
      <alignment vertical="top" shrinkToFit="1"/>
    </xf>
    <xf numFmtId="4" fontId="18" fillId="0" borderId="0" xfId="0" applyNumberFormat="1" applyFont="1" applyFill="1" applyBorder="1" applyAlignment="1" applyProtection="1">
      <alignment vertical="top" shrinkToFit="1"/>
      <protection locked="0"/>
    </xf>
    <xf numFmtId="164" fontId="18" fillId="0" borderId="18" xfId="0" applyNumberFormat="1" applyFont="1" applyFill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6" xfId="0" applyNumberFormat="1" applyFont="1" applyFill="1" applyBorder="1" applyAlignment="1" applyProtection="1">
      <alignment horizontal="left" vertical="top" wrapText="1"/>
      <protection locked="0"/>
    </xf>
    <xf numFmtId="49" fontId="7" fillId="0" borderId="34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3" fontId="7" fillId="0" borderId="36" xfId="0" applyNumberFormat="1" applyFont="1" applyBorder="1" applyAlignment="1">
      <alignment vertical="center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0" borderId="18" xfId="0" applyNumberFormat="1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top" shrinkToFit="1"/>
    </xf>
    <xf numFmtId="4" fontId="18" fillId="0" borderId="18" xfId="0" applyNumberFormat="1" applyFont="1" applyFill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3" fontId="7" fillId="0" borderId="0" xfId="0" applyNumberFormat="1" applyFont="1" applyFill="1" applyBorder="1" applyAlignment="1">
      <alignment vertical="center"/>
    </xf>
    <xf numFmtId="4" fontId="7" fillId="3" borderId="46" xfId="0" applyNumberFormat="1" applyFont="1" applyFill="1" applyBorder="1" applyAlignment="1">
      <alignment vertical="center"/>
    </xf>
    <xf numFmtId="4" fontId="16" fillId="3" borderId="46" xfId="0" applyNumberFormat="1" applyFont="1" applyFill="1" applyBorder="1" applyAlignment="1">
      <alignment vertical="center"/>
    </xf>
    <xf numFmtId="3" fontId="16" fillId="3" borderId="47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left" vertical="center"/>
    </xf>
    <xf numFmtId="4" fontId="7" fillId="0" borderId="4" xfId="0" applyNumberFormat="1" applyFont="1" applyFill="1" applyBorder="1" applyAlignment="1">
      <alignment vertical="center"/>
    </xf>
    <xf numFmtId="4" fontId="16" fillId="0" borderId="4" xfId="0" applyNumberFormat="1" applyFont="1" applyFill="1" applyBorder="1" applyAlignment="1">
      <alignment vertical="center"/>
    </xf>
    <xf numFmtId="3" fontId="16" fillId="0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0" fontId="16" fillId="5" borderId="46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8" fillId="0" borderId="35" xfId="0" applyNumberFormat="1" applyFont="1" applyBorder="1" applyAlignment="1">
      <alignment vertical="center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0" fontId="18" fillId="0" borderId="18" xfId="0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49" fontId="18" fillId="0" borderId="0" xfId="0" applyNumberFormat="1" applyFont="1" applyFill="1" applyBorder="1" applyAlignment="1" applyProtection="1">
      <alignment vertical="top"/>
      <protection locked="0"/>
    </xf>
    <xf numFmtId="49" fontId="8" fillId="0" borderId="6" xfId="0" applyNumberFormat="1" applyFont="1" applyFill="1" applyBorder="1" applyAlignment="1">
      <alignment vertical="top"/>
    </xf>
    <xf numFmtId="0" fontId="6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/>
    <xf numFmtId="4" fontId="7" fillId="0" borderId="44" xfId="0" applyNumberFormat="1" applyFont="1" applyFill="1" applyBorder="1" applyAlignment="1">
      <alignment vertical="center"/>
    </xf>
    <xf numFmtId="4" fontId="16" fillId="0" borderId="44" xfId="0" applyNumberFormat="1" applyFont="1" applyFill="1" applyBorder="1" applyAlignment="1">
      <alignment vertical="center"/>
    </xf>
    <xf numFmtId="3" fontId="16" fillId="0" borderId="4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left" vertical="center"/>
    </xf>
    <xf numFmtId="49" fontId="16" fillId="0" borderId="6" xfId="0" applyNumberFormat="1" applyFont="1" applyFill="1" applyBorder="1" applyAlignment="1">
      <alignment horizontal="left" vertical="center"/>
    </xf>
    <xf numFmtId="49" fontId="16" fillId="0" borderId="50" xfId="0" applyNumberFormat="1" applyFont="1" applyFill="1" applyBorder="1" applyAlignment="1">
      <alignment horizontal="left" vertical="center"/>
    </xf>
    <xf numFmtId="4" fontId="7" fillId="0" borderId="51" xfId="0" applyNumberFormat="1" applyFont="1" applyFill="1" applyBorder="1" applyAlignment="1">
      <alignment vertical="center"/>
    </xf>
    <xf numFmtId="4" fontId="16" fillId="0" borderId="51" xfId="0" applyNumberFormat="1" applyFont="1" applyFill="1" applyBorder="1" applyAlignment="1">
      <alignment vertical="center"/>
    </xf>
    <xf numFmtId="3" fontId="16" fillId="0" borderId="52" xfId="0" applyNumberFormat="1" applyFont="1" applyFill="1" applyBorder="1" applyAlignment="1">
      <alignment horizontal="center" vertical="center"/>
    </xf>
    <xf numFmtId="49" fontId="16" fillId="0" borderId="35" xfId="0" applyNumberFormat="1" applyFont="1" applyFill="1" applyBorder="1" applyAlignment="1">
      <alignment horizontal="left" vertical="center"/>
    </xf>
    <xf numFmtId="49" fontId="16" fillId="0" borderId="22" xfId="0" applyNumberFormat="1" applyFont="1" applyFill="1" applyBorder="1" applyAlignment="1">
      <alignment horizontal="left" vertical="center"/>
    </xf>
    <xf numFmtId="4" fontId="7" fillId="0" borderId="36" xfId="0" applyNumberFormat="1" applyFont="1" applyFill="1" applyBorder="1" applyAlignment="1">
      <alignment vertical="center"/>
    </xf>
    <xf numFmtId="4" fontId="16" fillId="0" borderId="36" xfId="0" applyNumberFormat="1" applyFont="1" applyFill="1" applyBorder="1" applyAlignment="1">
      <alignment vertical="center"/>
    </xf>
    <xf numFmtId="3" fontId="16" fillId="0" borderId="49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45" xfId="0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left" vertical="center"/>
    </xf>
    <xf numFmtId="49" fontId="16" fillId="0" borderId="24" xfId="0" applyNumberFormat="1" applyFont="1" applyFill="1" applyBorder="1" applyAlignment="1">
      <alignment horizontal="left" vertical="center"/>
    </xf>
    <xf numFmtId="49" fontId="16" fillId="0" borderId="43" xfId="0" applyNumberFormat="1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left" vertical="center"/>
    </xf>
    <xf numFmtId="0" fontId="16" fillId="3" borderId="45" xfId="0" applyFont="1" applyFill="1" applyBorder="1" applyAlignment="1">
      <alignment horizontal="left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7" fillId="0" borderId="34" xfId="0" applyNumberFormat="1" applyFont="1" applyBorder="1" applyAlignment="1">
      <alignment vertical="center" wrapText="1"/>
    </xf>
    <xf numFmtId="49" fontId="7" fillId="0" borderId="35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8" fillId="0" borderId="35" xfId="0" applyNumberFormat="1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6" fillId="0" borderId="18" xfId="0" applyNumberFormat="1" applyFont="1" applyFill="1" applyBorder="1" applyAlignment="1">
      <alignment horizontal="left" vertical="center" wrapText="1"/>
    </xf>
    <xf numFmtId="0" fontId="0" fillId="0" borderId="18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8" fillId="4" borderId="35" xfId="0" applyNumberFormat="1" applyFont="1" applyFill="1" applyBorder="1" applyAlignment="1" applyProtection="1">
      <alignment horizontal="left" vertical="top" wrapText="1"/>
      <protection locked="0"/>
    </xf>
    <xf numFmtId="49" fontId="18" fillId="4" borderId="6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37</v>
      </c>
    </row>
    <row r="2" spans="1:7" ht="57.75" customHeight="1" x14ac:dyDescent="0.25">
      <c r="A2" s="307" t="s">
        <v>38</v>
      </c>
      <c r="B2" s="307"/>
      <c r="C2" s="307"/>
      <c r="D2" s="307"/>
      <c r="E2" s="307"/>
      <c r="F2" s="307"/>
      <c r="G2" s="307"/>
    </row>
  </sheetData>
  <sheetProtection password="C73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1"/>
  <sheetViews>
    <sheetView showGridLines="0" tabSelected="1" topLeftCell="B1" zoomScale="130" zoomScaleNormal="130" zoomScaleSheetLayoutView="75" workbookViewId="0">
      <selection activeCell="C72" sqref="C72:E7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7" width="13" customWidth="1"/>
    <col min="8" max="8" width="11.5546875" customWidth="1"/>
    <col min="9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35</v>
      </c>
      <c r="B1" s="350" t="s">
        <v>40</v>
      </c>
      <c r="C1" s="351"/>
      <c r="D1" s="351"/>
      <c r="E1" s="351"/>
      <c r="F1" s="351"/>
      <c r="G1" s="351"/>
      <c r="H1" s="351"/>
      <c r="I1" s="351"/>
      <c r="J1" s="352"/>
    </row>
    <row r="2" spans="1:15" ht="48" customHeight="1" x14ac:dyDescent="0.25">
      <c r="A2" s="2"/>
      <c r="B2" s="74" t="s">
        <v>22</v>
      </c>
      <c r="C2" s="75"/>
      <c r="D2" s="76" t="s">
        <v>296</v>
      </c>
      <c r="E2" s="356" t="s">
        <v>297</v>
      </c>
      <c r="F2" s="357"/>
      <c r="G2" s="357"/>
      <c r="H2" s="357"/>
      <c r="I2" s="357"/>
      <c r="J2" s="358"/>
      <c r="O2" s="1"/>
    </row>
    <row r="3" spans="1:15" ht="40.200000000000003" customHeight="1" x14ac:dyDescent="0.25">
      <c r="A3" s="2"/>
      <c r="B3" s="77" t="s">
        <v>189</v>
      </c>
      <c r="C3" s="75"/>
      <c r="D3" s="78" t="s">
        <v>396</v>
      </c>
      <c r="E3" s="359" t="s">
        <v>397</v>
      </c>
      <c r="F3" s="360"/>
      <c r="G3" s="360"/>
      <c r="H3" s="360"/>
      <c r="I3" s="360"/>
      <c r="J3" s="361"/>
    </row>
    <row r="4" spans="1:15" ht="23.25" customHeight="1" x14ac:dyDescent="0.25">
      <c r="A4" s="73">
        <v>203</v>
      </c>
      <c r="B4" s="79" t="s">
        <v>45</v>
      </c>
      <c r="C4" s="80"/>
      <c r="D4" s="81" t="s">
        <v>296</v>
      </c>
      <c r="E4" s="341" t="s">
        <v>298</v>
      </c>
      <c r="F4" s="342"/>
      <c r="G4" s="342"/>
      <c r="H4" s="342"/>
      <c r="I4" s="342"/>
      <c r="J4" s="343"/>
    </row>
    <row r="5" spans="1:15" ht="24" customHeight="1" x14ac:dyDescent="0.25">
      <c r="A5" s="2"/>
      <c r="B5" s="31" t="s">
        <v>158</v>
      </c>
      <c r="D5" s="346" t="s">
        <v>299</v>
      </c>
      <c r="E5" s="346"/>
      <c r="F5" s="346"/>
      <c r="G5" s="346"/>
      <c r="H5" s="18" t="s">
        <v>39</v>
      </c>
      <c r="I5" s="202" t="s">
        <v>303</v>
      </c>
      <c r="J5" s="8"/>
    </row>
    <row r="6" spans="1:15" ht="15.75" customHeight="1" x14ac:dyDescent="0.25">
      <c r="A6" s="2"/>
      <c r="B6" s="28"/>
      <c r="C6" s="54"/>
      <c r="D6" s="347" t="s">
        <v>300</v>
      </c>
      <c r="E6" s="348"/>
      <c r="F6" s="348"/>
      <c r="G6" s="348"/>
      <c r="H6" s="18" t="s">
        <v>33</v>
      </c>
      <c r="I6" s="22"/>
      <c r="J6" s="8"/>
    </row>
    <row r="7" spans="1:15" ht="15.75" customHeight="1" x14ac:dyDescent="0.25">
      <c r="A7" s="2"/>
      <c r="B7" s="29"/>
      <c r="C7" s="55"/>
      <c r="D7" s="52" t="s">
        <v>301</v>
      </c>
      <c r="E7" s="349" t="s">
        <v>302</v>
      </c>
      <c r="F7" s="349"/>
      <c r="G7" s="34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0"/>
      <c r="H8" s="18" t="s">
        <v>39</v>
      </c>
      <c r="I8" s="22"/>
      <c r="J8" s="8"/>
    </row>
    <row r="9" spans="1:15" ht="15.75" hidden="1" customHeight="1" x14ac:dyDescent="0.25">
      <c r="A9" s="2"/>
      <c r="B9" s="2"/>
      <c r="D9" s="50"/>
      <c r="H9" s="18" t="s">
        <v>33</v>
      </c>
      <c r="I9" s="22"/>
      <c r="J9" s="8"/>
    </row>
    <row r="10" spans="1:15" ht="15.75" hidden="1" customHeight="1" x14ac:dyDescent="0.25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363"/>
      <c r="E11" s="363"/>
      <c r="F11" s="363"/>
      <c r="G11" s="363"/>
      <c r="H11" s="18" t="s">
        <v>39</v>
      </c>
      <c r="I11" s="83"/>
      <c r="J11" s="8"/>
    </row>
    <row r="12" spans="1:15" ht="15.75" customHeight="1" x14ac:dyDescent="0.25">
      <c r="A12" s="2"/>
      <c r="B12" s="28"/>
      <c r="C12" s="54"/>
      <c r="D12" s="340"/>
      <c r="E12" s="340"/>
      <c r="F12" s="340"/>
      <c r="G12" s="340"/>
      <c r="H12" s="18" t="s">
        <v>33</v>
      </c>
      <c r="I12" s="83"/>
      <c r="J12" s="8"/>
    </row>
    <row r="13" spans="1:15" ht="15.75" customHeight="1" x14ac:dyDescent="0.25">
      <c r="A13" s="2"/>
      <c r="B13" s="29"/>
      <c r="C13" s="55"/>
      <c r="D13" s="82"/>
      <c r="E13" s="344"/>
      <c r="F13" s="345"/>
      <c r="G13" s="345"/>
      <c r="H13" s="19"/>
      <c r="I13" s="23"/>
      <c r="J13" s="34"/>
    </row>
    <row r="14" spans="1:15" ht="24" customHeight="1" x14ac:dyDescent="0.25">
      <c r="A14" s="2"/>
      <c r="B14" s="183" t="s">
        <v>21</v>
      </c>
      <c r="C14" s="346" t="s">
        <v>157</v>
      </c>
      <c r="D14" s="346"/>
      <c r="E14" s="57"/>
      <c r="F14" s="43"/>
      <c r="G14" s="43"/>
      <c r="H14" s="44"/>
      <c r="I14" s="43"/>
      <c r="J14" s="45"/>
    </row>
    <row r="15" spans="1:15" ht="32.25" customHeight="1" x14ac:dyDescent="0.25">
      <c r="A15" s="2"/>
      <c r="B15" s="35" t="s">
        <v>31</v>
      </c>
      <c r="C15" s="58"/>
      <c r="D15" s="53"/>
      <c r="E15" s="362"/>
      <c r="F15" s="362"/>
      <c r="G15" s="364"/>
      <c r="H15" s="364"/>
      <c r="I15" s="364" t="s">
        <v>28</v>
      </c>
      <c r="J15" s="365"/>
    </row>
    <row r="16" spans="1:15" ht="23.25" customHeight="1" x14ac:dyDescent="0.25">
      <c r="A16" s="138" t="s">
        <v>23</v>
      </c>
      <c r="B16" s="38" t="s">
        <v>23</v>
      </c>
      <c r="C16" s="59"/>
      <c r="D16" s="60"/>
      <c r="E16" s="328"/>
      <c r="F16" s="329"/>
      <c r="G16" s="328"/>
      <c r="H16" s="329"/>
      <c r="I16" s="328">
        <f>I21-I18-I19-I20</f>
        <v>0</v>
      </c>
      <c r="J16" s="330"/>
    </row>
    <row r="17" spans="1:10" ht="23.25" customHeight="1" x14ac:dyDescent="0.25">
      <c r="A17" s="138" t="s">
        <v>24</v>
      </c>
      <c r="B17" s="38" t="s">
        <v>24</v>
      </c>
      <c r="C17" s="59"/>
      <c r="D17" s="60"/>
      <c r="E17" s="328"/>
      <c r="F17" s="329"/>
      <c r="G17" s="328"/>
      <c r="H17" s="329"/>
      <c r="I17" s="328">
        <v>0</v>
      </c>
      <c r="J17" s="330"/>
    </row>
    <row r="18" spans="1:10" ht="23.25" customHeight="1" x14ac:dyDescent="0.25">
      <c r="A18" s="138" t="s">
        <v>25</v>
      </c>
      <c r="B18" s="38" t="s">
        <v>25</v>
      </c>
      <c r="C18" s="59"/>
      <c r="D18" s="60"/>
      <c r="E18" s="328"/>
      <c r="F18" s="329"/>
      <c r="G18" s="328"/>
      <c r="H18" s="329"/>
      <c r="I18" s="328">
        <f>I85</f>
        <v>0</v>
      </c>
      <c r="J18" s="330"/>
    </row>
    <row r="19" spans="1:10" ht="23.25" customHeight="1" x14ac:dyDescent="0.25">
      <c r="A19" s="138" t="s">
        <v>62</v>
      </c>
      <c r="B19" s="38" t="s">
        <v>26</v>
      </c>
      <c r="C19" s="59"/>
      <c r="D19" s="60"/>
      <c r="E19" s="328"/>
      <c r="F19" s="329"/>
      <c r="G19" s="328"/>
      <c r="H19" s="329"/>
      <c r="I19" s="328">
        <f>I64+I75+I87</f>
        <v>0</v>
      </c>
      <c r="J19" s="330"/>
    </row>
    <row r="20" spans="1:10" ht="23.25" customHeight="1" x14ac:dyDescent="0.25">
      <c r="A20" s="138" t="s">
        <v>63</v>
      </c>
      <c r="B20" s="38" t="s">
        <v>27</v>
      </c>
      <c r="C20" s="59"/>
      <c r="D20" s="60"/>
      <c r="E20" s="328"/>
      <c r="F20" s="329"/>
      <c r="G20" s="328"/>
      <c r="H20" s="329"/>
      <c r="I20" s="328">
        <f>I65+I76+I88</f>
        <v>0</v>
      </c>
      <c r="J20" s="330"/>
    </row>
    <row r="21" spans="1:10" ht="23.25" customHeight="1" x14ac:dyDescent="0.25">
      <c r="A21" s="2"/>
      <c r="B21" s="47" t="s">
        <v>159</v>
      </c>
      <c r="C21" s="61"/>
      <c r="D21" s="62"/>
      <c r="E21" s="331"/>
      <c r="F21" s="339"/>
      <c r="G21" s="331"/>
      <c r="H21" s="339"/>
      <c r="I21" s="331">
        <f>I52</f>
        <v>0</v>
      </c>
      <c r="J21" s="332"/>
    </row>
    <row r="22" spans="1:10" ht="33" customHeight="1" x14ac:dyDescent="0.25">
      <c r="A22" s="2"/>
      <c r="B22" s="42" t="s">
        <v>32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59"/>
      <c r="D23" s="60"/>
      <c r="E23" s="64">
        <v>15</v>
      </c>
      <c r="F23" s="39" t="s">
        <v>0</v>
      </c>
      <c r="G23" s="326">
        <f>ZakladDPHSniVypocet</f>
        <v>0</v>
      </c>
      <c r="H23" s="327"/>
      <c r="I23" s="327"/>
      <c r="J23" s="40" t="str">
        <f t="shared" ref="J23:J29" si="0">Mena</f>
        <v>CZK</v>
      </c>
    </row>
    <row r="24" spans="1:10" ht="23.25" hidden="1" customHeight="1" x14ac:dyDescent="0.25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324">
        <v>0</v>
      </c>
      <c r="H24" s="325"/>
      <c r="I24" s="325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59"/>
      <c r="D25" s="60"/>
      <c r="E25" s="64">
        <v>21</v>
      </c>
      <c r="F25" s="39" t="s">
        <v>0</v>
      </c>
      <c r="G25" s="326">
        <f>I21</f>
        <v>0</v>
      </c>
      <c r="H25" s="327"/>
      <c r="I25" s="327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5"/>
      <c r="D26" s="53"/>
      <c r="E26" s="66">
        <f>SazbaDPH2</f>
        <v>21</v>
      </c>
      <c r="F26" s="30" t="s">
        <v>0</v>
      </c>
      <c r="G26" s="353">
        <v>0</v>
      </c>
      <c r="H26" s="354"/>
      <c r="I26" s="354"/>
      <c r="J26" s="37" t="str">
        <f t="shared" si="0"/>
        <v>CZK</v>
      </c>
    </row>
    <row r="27" spans="1:10" ht="23.25" customHeight="1" x14ac:dyDescent="0.25">
      <c r="A27" s="2"/>
      <c r="B27" s="38" t="s">
        <v>160</v>
      </c>
      <c r="C27" s="59"/>
      <c r="D27" s="60"/>
      <c r="E27" s="64">
        <v>21</v>
      </c>
      <c r="F27" s="39" t="s">
        <v>0</v>
      </c>
      <c r="G27" s="326">
        <f>ZakladDPHZakl/100*21</f>
        <v>0</v>
      </c>
      <c r="H27" s="327"/>
      <c r="I27" s="327"/>
      <c r="J27" s="40" t="str">
        <f t="shared" si="0"/>
        <v>CZK</v>
      </c>
    </row>
    <row r="28" spans="1:10" ht="23.25" customHeight="1" thickBot="1" x14ac:dyDescent="0.3">
      <c r="A28" s="2">
        <f>ZakladDPHSni+ZakladDPHZakl</f>
        <v>0</v>
      </c>
      <c r="B28" s="31" t="s">
        <v>4</v>
      </c>
      <c r="C28" s="67"/>
      <c r="D28" s="68"/>
      <c r="E28" s="67"/>
      <c r="F28" s="16"/>
      <c r="G28" s="355">
        <v>0</v>
      </c>
      <c r="H28" s="355"/>
      <c r="I28" s="355"/>
      <c r="J28" s="41" t="str">
        <f t="shared" si="0"/>
        <v>CZK</v>
      </c>
    </row>
    <row r="29" spans="1:10" ht="27.75" customHeight="1" thickBot="1" x14ac:dyDescent="0.3">
      <c r="A29" s="2">
        <f>(A28-INT(A28))*100</f>
        <v>0</v>
      </c>
      <c r="B29" s="114" t="s">
        <v>34</v>
      </c>
      <c r="C29" s="115"/>
      <c r="D29" s="115"/>
      <c r="E29" s="116"/>
      <c r="F29" s="117"/>
      <c r="G29" s="333">
        <f>ZakladDPHZakl*1.21</f>
        <v>0</v>
      </c>
      <c r="H29" s="334"/>
      <c r="I29" s="334"/>
      <c r="J29" s="118" t="str">
        <f t="shared" si="0"/>
        <v>CZK</v>
      </c>
    </row>
    <row r="30" spans="1:10" ht="27.75" hidden="1" customHeight="1" thickBot="1" x14ac:dyDescent="0.3">
      <c r="A30" s="2"/>
      <c r="B30" s="114" t="s">
        <v>34</v>
      </c>
      <c r="C30" s="119"/>
      <c r="D30" s="119"/>
      <c r="E30" s="119"/>
      <c r="F30" s="120"/>
      <c r="G30" s="333">
        <f>ZakladDPHSni+DPHSni+ZakladDPHZakl+DPHZakl+Zaokrouhleni</f>
        <v>0</v>
      </c>
      <c r="H30" s="333"/>
      <c r="I30" s="333"/>
      <c r="J30" s="121" t="s">
        <v>49</v>
      </c>
    </row>
    <row r="31" spans="1:10" ht="12.75" customHeight="1" x14ac:dyDescent="0.25">
      <c r="A31" s="2"/>
      <c r="B31" s="2"/>
      <c r="J31" s="9"/>
    </row>
    <row r="32" spans="1:10" ht="30" customHeight="1" x14ac:dyDescent="0.25">
      <c r="A32" s="2"/>
      <c r="B32" s="2"/>
      <c r="J32" s="9"/>
    </row>
    <row r="33" spans="1:11" ht="18.75" customHeight="1" x14ac:dyDescent="0.25">
      <c r="A33" s="2"/>
      <c r="B33" s="17"/>
      <c r="C33" s="69" t="s">
        <v>11</v>
      </c>
      <c r="D33" s="70"/>
      <c r="E33" s="70"/>
      <c r="F33" s="15" t="s">
        <v>10</v>
      </c>
      <c r="G33" s="26"/>
      <c r="H33" s="27"/>
      <c r="I33" s="26"/>
      <c r="J33" s="9"/>
    </row>
    <row r="34" spans="1:11" ht="47.25" customHeight="1" x14ac:dyDescent="0.25">
      <c r="A34" s="2"/>
      <c r="B34" s="2"/>
      <c r="J34" s="9"/>
    </row>
    <row r="35" spans="1:11" s="21" customFormat="1" ht="18.75" customHeight="1" x14ac:dyDescent="0.25">
      <c r="A35" s="20"/>
      <c r="B35" s="20"/>
      <c r="C35" s="71"/>
      <c r="D35" s="335"/>
      <c r="E35" s="336"/>
      <c r="G35" s="337"/>
      <c r="H35" s="338"/>
      <c r="I35" s="338"/>
      <c r="J35" s="25"/>
    </row>
    <row r="36" spans="1:11" ht="12.75" customHeight="1" x14ac:dyDescent="0.25">
      <c r="A36" s="2"/>
      <c r="B36" s="2"/>
      <c r="D36" s="323" t="s">
        <v>2</v>
      </c>
      <c r="E36" s="323"/>
      <c r="H36" s="10" t="s">
        <v>3</v>
      </c>
      <c r="J36" s="9"/>
    </row>
    <row r="37" spans="1:11" ht="13.5" customHeight="1" thickBot="1" x14ac:dyDescent="0.3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1" ht="27" hidden="1" customHeight="1" x14ac:dyDescent="0.25">
      <c r="B38" s="87" t="s">
        <v>16</v>
      </c>
      <c r="C38" s="88"/>
      <c r="D38" s="88"/>
      <c r="E38" s="88"/>
      <c r="F38" s="89"/>
      <c r="G38" s="89"/>
      <c r="H38" s="89"/>
      <c r="I38" s="89"/>
      <c r="J38" s="90"/>
    </row>
    <row r="39" spans="1:11" ht="25.5" hidden="1" customHeight="1" x14ac:dyDescent="0.25">
      <c r="A39" s="86" t="s">
        <v>36</v>
      </c>
      <c r="B39" s="91" t="s">
        <v>17</v>
      </c>
      <c r="C39" s="92" t="s">
        <v>5</v>
      </c>
      <c r="D39" s="92"/>
      <c r="E39" s="92"/>
      <c r="F39" s="93" t="str">
        <f>B23</f>
        <v>Základ pro sníženou DPH</v>
      </c>
      <c r="G39" s="93" t="str">
        <f>B25</f>
        <v>Základ pro základní DPH</v>
      </c>
      <c r="H39" s="94" t="s">
        <v>18</v>
      </c>
      <c r="I39" s="95" t="s">
        <v>1</v>
      </c>
      <c r="J39" s="96" t="s">
        <v>0</v>
      </c>
    </row>
    <row r="40" spans="1:11" ht="25.5" hidden="1" customHeight="1" x14ac:dyDescent="0.25">
      <c r="A40" s="86">
        <v>1</v>
      </c>
      <c r="B40" s="97" t="s">
        <v>46</v>
      </c>
      <c r="C40" s="319"/>
      <c r="D40" s="319"/>
      <c r="E40" s="319"/>
      <c r="F40" s="98">
        <f>'D.1.1 Komunikace '!AE168</f>
        <v>0</v>
      </c>
      <c r="G40" s="99">
        <f>'D.1.1 Komunikace '!AF168</f>
        <v>0</v>
      </c>
      <c r="H40" s="100"/>
      <c r="I40" s="101">
        <f>F40+G40+H40</f>
        <v>0</v>
      </c>
      <c r="J40" s="102" t="str">
        <f>IF(CenaCelkemVypocet=0,"",I40/CenaCelkemVypocet*100)</f>
        <v/>
      </c>
    </row>
    <row r="41" spans="1:11" ht="25.5" hidden="1" customHeight="1" x14ac:dyDescent="0.25">
      <c r="A41" s="86">
        <v>2</v>
      </c>
      <c r="B41" s="103"/>
      <c r="C41" s="320" t="s">
        <v>47</v>
      </c>
      <c r="D41" s="320"/>
      <c r="E41" s="320"/>
      <c r="F41" s="104"/>
      <c r="G41" s="105"/>
      <c r="H41" s="105"/>
      <c r="I41" s="106"/>
      <c r="J41" s="107"/>
    </row>
    <row r="42" spans="1:11" ht="25.5" hidden="1" customHeight="1" x14ac:dyDescent="0.25">
      <c r="A42" s="86">
        <v>2</v>
      </c>
      <c r="B42" s="103" t="s">
        <v>43</v>
      </c>
      <c r="C42" s="320" t="s">
        <v>44</v>
      </c>
      <c r="D42" s="320"/>
      <c r="E42" s="320"/>
      <c r="F42" s="104">
        <f>'D.1.1 Komunikace '!AE168</f>
        <v>0</v>
      </c>
      <c r="G42" s="105">
        <f>'D.1.1 Komunikace '!AF168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1" ht="25.5" hidden="1" customHeight="1" x14ac:dyDescent="0.25">
      <c r="A43" s="86">
        <v>3</v>
      </c>
      <c r="B43" s="108" t="s">
        <v>41</v>
      </c>
      <c r="C43" s="319" t="s">
        <v>42</v>
      </c>
      <c r="D43" s="319"/>
      <c r="E43" s="319"/>
      <c r="F43" s="109">
        <f>'D.1.1 Komunikace '!AE168</f>
        <v>0</v>
      </c>
      <c r="G43" s="100">
        <f>'D.1.1 Komunikace '!AF168</f>
        <v>0</v>
      </c>
      <c r="H43" s="100"/>
      <c r="I43" s="101">
        <f>F43+G43+H43</f>
        <v>0</v>
      </c>
      <c r="J43" s="102" t="str">
        <f>IF(CenaCelkemVypocet=0,"",I43/CenaCelkemVypocet*100)</f>
        <v/>
      </c>
    </row>
    <row r="44" spans="1:11" ht="25.5" hidden="1" customHeight="1" x14ac:dyDescent="0.25">
      <c r="A44" s="86"/>
      <c r="B44" s="321" t="s">
        <v>48</v>
      </c>
      <c r="C44" s="322"/>
      <c r="D44" s="322"/>
      <c r="E44" s="322"/>
      <c r="F44" s="110">
        <f>SUMIF(A40:A43,"=1",F40:F43)</f>
        <v>0</v>
      </c>
      <c r="G44" s="111">
        <f>SUMIF(A40:A43,"=1",G40:G43)</f>
        <v>0</v>
      </c>
      <c r="H44" s="111">
        <f>SUMIF(A40:A43,"=1",H40:H43)</f>
        <v>0</v>
      </c>
      <c r="I44" s="112">
        <f>SUMIF(A40:A43,"=1",I40:I43)</f>
        <v>0</v>
      </c>
      <c r="J44" s="113">
        <f>SUMIF(A40:A43,"=1",J40:J43)</f>
        <v>0</v>
      </c>
    </row>
    <row r="45" spans="1:11" ht="4.2" customHeight="1" x14ac:dyDescent="0.25"/>
    <row r="46" spans="1:11" ht="16.2" thickBot="1" x14ac:dyDescent="0.35">
      <c r="B46" s="122" t="s">
        <v>187</v>
      </c>
    </row>
    <row r="47" spans="1:11" s="207" customFormat="1" ht="17.399999999999999" customHeight="1" thickBot="1" x14ac:dyDescent="0.3">
      <c r="B47" s="310" t="s">
        <v>5</v>
      </c>
      <c r="C47" s="311"/>
      <c r="D47" s="311"/>
      <c r="E47" s="311"/>
      <c r="F47" s="311"/>
      <c r="G47" s="312"/>
      <c r="H47" s="275"/>
      <c r="I47" s="275" t="s">
        <v>28</v>
      </c>
      <c r="J47" s="276" t="s">
        <v>0</v>
      </c>
      <c r="K47" s="269"/>
    </row>
    <row r="48" spans="1:11" s="207" customFormat="1" ht="15" customHeight="1" x14ac:dyDescent="0.25">
      <c r="B48" s="313" t="s">
        <v>392</v>
      </c>
      <c r="C48" s="314"/>
      <c r="D48" s="314"/>
      <c r="E48" s="314"/>
      <c r="F48" s="314"/>
      <c r="G48" s="315"/>
      <c r="H48" s="290"/>
      <c r="I48" s="291">
        <f>I66</f>
        <v>0</v>
      </c>
      <c r="J48" s="292" t="str">
        <f>IF(I52=0,"",I48/I52*100)</f>
        <v/>
      </c>
      <c r="K48" s="265"/>
    </row>
    <row r="49" spans="2:11" s="207" customFormat="1" ht="15" customHeight="1" x14ac:dyDescent="0.25">
      <c r="B49" s="293" t="s">
        <v>393</v>
      </c>
      <c r="C49" s="294"/>
      <c r="D49" s="294"/>
      <c r="E49" s="294"/>
      <c r="F49" s="294"/>
      <c r="G49" s="295"/>
      <c r="H49" s="296"/>
      <c r="I49" s="297">
        <f>I77</f>
        <v>0</v>
      </c>
      <c r="J49" s="298" t="str">
        <f>IF(I52=0,"",I49/I52*100)</f>
        <v/>
      </c>
      <c r="K49" s="265"/>
    </row>
    <row r="50" spans="2:11" s="207" customFormat="1" ht="15" customHeight="1" x14ac:dyDescent="0.25">
      <c r="B50" s="293" t="s">
        <v>394</v>
      </c>
      <c r="C50" s="299"/>
      <c r="D50" s="299"/>
      <c r="E50" s="299"/>
      <c r="F50" s="299"/>
      <c r="G50" s="300"/>
      <c r="H50" s="301"/>
      <c r="I50" s="302">
        <f>I89</f>
        <v>0</v>
      </c>
      <c r="J50" s="303" t="str">
        <f>IF(I52=0,"",I50/I52*100)</f>
        <v/>
      </c>
      <c r="K50" s="265"/>
    </row>
    <row r="51" spans="2:11" s="207" customFormat="1" ht="3.9" customHeight="1" thickBot="1" x14ac:dyDescent="0.3">
      <c r="B51" s="270"/>
      <c r="C51" s="270"/>
      <c r="D51" s="270"/>
      <c r="E51" s="270"/>
      <c r="F51" s="270"/>
      <c r="G51" s="270"/>
      <c r="H51" s="271"/>
      <c r="I51" s="272"/>
      <c r="J51" s="273"/>
      <c r="K51" s="265"/>
    </row>
    <row r="52" spans="2:11" s="207" customFormat="1" ht="25.5" customHeight="1" thickBot="1" x14ac:dyDescent="0.3">
      <c r="B52" s="316" t="s">
        <v>188</v>
      </c>
      <c r="C52" s="317"/>
      <c r="D52" s="317"/>
      <c r="E52" s="317"/>
      <c r="F52" s="317"/>
      <c r="G52" s="318"/>
      <c r="H52" s="266"/>
      <c r="I52" s="267">
        <f>I48+I49+I50</f>
        <v>0</v>
      </c>
      <c r="J52" s="268" t="e">
        <f>J48+J49+J50</f>
        <v>#VALUE!</v>
      </c>
      <c r="K52" s="265"/>
    </row>
    <row r="53" spans="2:11" s="207" customFormat="1" x14ac:dyDescent="0.25">
      <c r="C53" s="51"/>
      <c r="D53" s="51"/>
      <c r="E53" s="51"/>
    </row>
    <row r="54" spans="2:11" s="207" customFormat="1" ht="15.6" x14ac:dyDescent="0.3">
      <c r="B54" s="287" t="s">
        <v>390</v>
      </c>
      <c r="C54" s="288"/>
      <c r="D54" s="288"/>
      <c r="E54" s="288"/>
      <c r="F54" s="289"/>
      <c r="G54" s="289"/>
      <c r="H54" s="289"/>
      <c r="I54" s="289"/>
      <c r="J54" s="289"/>
    </row>
    <row r="55" spans="2:11" s="207" customFormat="1" ht="3.75" customHeight="1" x14ac:dyDescent="0.25">
      <c r="C55" s="51"/>
      <c r="D55" s="51"/>
      <c r="E55" s="51"/>
    </row>
    <row r="56" spans="2:11" s="207" customFormat="1" ht="13.8" customHeight="1" x14ac:dyDescent="0.25">
      <c r="B56" s="125" t="s">
        <v>17</v>
      </c>
      <c r="C56" s="125" t="s">
        <v>5</v>
      </c>
      <c r="D56" s="126"/>
      <c r="E56" s="126"/>
      <c r="F56" s="127" t="s">
        <v>50</v>
      </c>
      <c r="G56" s="127"/>
      <c r="H56" s="127"/>
      <c r="I56" s="127" t="s">
        <v>28</v>
      </c>
      <c r="J56" s="127" t="s">
        <v>0</v>
      </c>
    </row>
    <row r="57" spans="2:11" s="207" customFormat="1" x14ac:dyDescent="0.25">
      <c r="B57" s="128" t="s">
        <v>51</v>
      </c>
      <c r="C57" s="308" t="s">
        <v>52</v>
      </c>
      <c r="D57" s="309"/>
      <c r="E57" s="309"/>
      <c r="F57" s="136" t="s">
        <v>23</v>
      </c>
      <c r="G57" s="129"/>
      <c r="H57" s="129"/>
      <c r="I57" s="129">
        <f>'D.1.1 Komunikace '!G8</f>
        <v>0</v>
      </c>
      <c r="J57" s="134" t="str">
        <f>IF(I66=0,"",I57/I66*100)</f>
        <v/>
      </c>
    </row>
    <row r="58" spans="2:11" s="207" customFormat="1" x14ac:dyDescent="0.25">
      <c r="B58" s="128" t="s">
        <v>53</v>
      </c>
      <c r="C58" s="308" t="s">
        <v>54</v>
      </c>
      <c r="D58" s="309"/>
      <c r="E58" s="309"/>
      <c r="F58" s="136" t="s">
        <v>23</v>
      </c>
      <c r="G58" s="129"/>
      <c r="H58" s="129"/>
      <c r="I58" s="129">
        <f>'D.1.1 Komunikace '!G57</f>
        <v>0</v>
      </c>
      <c r="J58" s="134" t="str">
        <f>IF(I66=0,"",I58/I66*100)</f>
        <v/>
      </c>
    </row>
    <row r="59" spans="2:11" s="207" customFormat="1" x14ac:dyDescent="0.25">
      <c r="B59" s="128" t="s">
        <v>55</v>
      </c>
      <c r="C59" s="308" t="s">
        <v>56</v>
      </c>
      <c r="D59" s="309"/>
      <c r="E59" s="309"/>
      <c r="F59" s="136" t="s">
        <v>23</v>
      </c>
      <c r="G59" s="129"/>
      <c r="H59" s="129"/>
      <c r="I59" s="129">
        <f>'D.1.1 Komunikace '!G85</f>
        <v>0</v>
      </c>
      <c r="J59" s="134" t="str">
        <f>IF(I66=0,"",I59/I66*100)</f>
        <v/>
      </c>
    </row>
    <row r="60" spans="2:11" s="207" customFormat="1" ht="24.6" customHeight="1" x14ac:dyDescent="0.25">
      <c r="B60" s="128" t="s">
        <v>171</v>
      </c>
      <c r="C60" s="308" t="s">
        <v>172</v>
      </c>
      <c r="D60" s="309"/>
      <c r="E60" s="309"/>
      <c r="F60" s="136" t="s">
        <v>23</v>
      </c>
      <c r="G60" s="129"/>
      <c r="H60" s="129"/>
      <c r="I60" s="129">
        <f>'D.1.1 Komunikace '!G117</f>
        <v>0</v>
      </c>
      <c r="J60" s="134" t="str">
        <f>IF(I66=0,"",I60/I66*100)</f>
        <v/>
      </c>
    </row>
    <row r="61" spans="2:11" s="207" customFormat="1" x14ac:dyDescent="0.25">
      <c r="B61" s="128" t="s">
        <v>162</v>
      </c>
      <c r="C61" s="308" t="s">
        <v>161</v>
      </c>
      <c r="D61" s="309"/>
      <c r="E61" s="309"/>
      <c r="F61" s="136" t="s">
        <v>23</v>
      </c>
      <c r="G61" s="129"/>
      <c r="H61" s="129"/>
      <c r="I61" s="129">
        <f>'D.1.1 Komunikace '!G124</f>
        <v>0</v>
      </c>
      <c r="J61" s="134" t="str">
        <f>IF(I66=0,"",I61/I66*100)</f>
        <v/>
      </c>
    </row>
    <row r="62" spans="2:11" s="207" customFormat="1" x14ac:dyDescent="0.25">
      <c r="B62" s="128" t="s">
        <v>57</v>
      </c>
      <c r="C62" s="308" t="s">
        <v>58</v>
      </c>
      <c r="D62" s="309"/>
      <c r="E62" s="309"/>
      <c r="F62" s="136" t="s">
        <v>23</v>
      </c>
      <c r="G62" s="129"/>
      <c r="H62" s="129"/>
      <c r="I62" s="129">
        <f>'D.1.1 Komunikace '!G131</f>
        <v>0</v>
      </c>
      <c r="J62" s="134" t="str">
        <f>IF(I66=0,"",I62/I66*100)</f>
        <v/>
      </c>
    </row>
    <row r="63" spans="2:11" s="207" customFormat="1" x14ac:dyDescent="0.25">
      <c r="B63" s="128" t="s">
        <v>59</v>
      </c>
      <c r="C63" s="308" t="s">
        <v>60</v>
      </c>
      <c r="D63" s="309"/>
      <c r="E63" s="309"/>
      <c r="F63" s="136" t="s">
        <v>61</v>
      </c>
      <c r="G63" s="129"/>
      <c r="H63" s="129"/>
      <c r="I63" s="129">
        <f>'D.1.1 Komunikace '!G138</f>
        <v>0</v>
      </c>
      <c r="J63" s="134" t="str">
        <f>IF(I66=0,"",I63/I66*100)</f>
        <v/>
      </c>
    </row>
    <row r="64" spans="2:11" s="207" customFormat="1" x14ac:dyDescent="0.25">
      <c r="B64" s="128" t="s">
        <v>62</v>
      </c>
      <c r="C64" s="308" t="s">
        <v>26</v>
      </c>
      <c r="D64" s="309"/>
      <c r="E64" s="309"/>
      <c r="F64" s="136" t="s">
        <v>62</v>
      </c>
      <c r="G64" s="129"/>
      <c r="H64" s="129"/>
      <c r="I64" s="129">
        <f>'D.1.1 Komunikace '!G145</f>
        <v>0</v>
      </c>
      <c r="J64" s="134" t="str">
        <f>IF(I66=0,"",I64/I66*100)</f>
        <v/>
      </c>
    </row>
    <row r="65" spans="1:10" s="207" customFormat="1" x14ac:dyDescent="0.25">
      <c r="B65" s="128" t="s">
        <v>63</v>
      </c>
      <c r="C65" s="308" t="s">
        <v>27</v>
      </c>
      <c r="D65" s="309"/>
      <c r="E65" s="309"/>
      <c r="F65" s="136" t="s">
        <v>63</v>
      </c>
      <c r="G65" s="129"/>
      <c r="H65" s="129"/>
      <c r="I65" s="129">
        <f>'D.1.1 Komunikace '!G157</f>
        <v>0</v>
      </c>
      <c r="J65" s="134" t="str">
        <f>IF(I66=0,"",I65/I66*100)</f>
        <v/>
      </c>
    </row>
    <row r="66" spans="1:10" s="207" customFormat="1" ht="12.75" customHeight="1" x14ac:dyDescent="0.25">
      <c r="B66" s="130" t="s">
        <v>1</v>
      </c>
      <c r="C66" s="131"/>
      <c r="D66" s="132"/>
      <c r="E66" s="132"/>
      <c r="F66" s="137"/>
      <c r="G66" s="133"/>
      <c r="H66" s="133"/>
      <c r="I66" s="133">
        <f>SUM(I57:I65)</f>
        <v>0</v>
      </c>
      <c r="J66" s="135">
        <f>SUM(J57:J65)</f>
        <v>0</v>
      </c>
    </row>
    <row r="67" spans="1:10" s="207" customFormat="1" x14ac:dyDescent="0.25">
      <c r="C67" s="51"/>
      <c r="D67" s="51"/>
      <c r="E67" s="51"/>
    </row>
    <row r="68" spans="1:10" s="207" customFormat="1" ht="14.25" customHeight="1" x14ac:dyDescent="0.3">
      <c r="B68" s="287" t="s">
        <v>389</v>
      </c>
      <c r="C68" s="288"/>
      <c r="D68" s="288"/>
      <c r="E68" s="288"/>
      <c r="F68" s="289"/>
      <c r="G68" s="289"/>
      <c r="H68" s="289"/>
      <c r="I68" s="289"/>
      <c r="J68" s="289"/>
    </row>
    <row r="69" spans="1:10" s="207" customFormat="1" ht="3" customHeight="1" x14ac:dyDescent="0.25">
      <c r="C69" s="51"/>
      <c r="D69" s="51"/>
      <c r="E69" s="51"/>
    </row>
    <row r="70" spans="1:10" s="207" customFormat="1" ht="14.25" customHeight="1" x14ac:dyDescent="0.25">
      <c r="B70" s="125" t="s">
        <v>17</v>
      </c>
      <c r="C70" s="125" t="s">
        <v>5</v>
      </c>
      <c r="D70" s="126"/>
      <c r="E70" s="126"/>
      <c r="F70" s="127" t="s">
        <v>50</v>
      </c>
      <c r="G70" s="127"/>
      <c r="H70" s="127"/>
      <c r="I70" s="127" t="s">
        <v>28</v>
      </c>
      <c r="J70" s="127" t="s">
        <v>0</v>
      </c>
    </row>
    <row r="71" spans="1:10" s="207" customFormat="1" ht="14.25" customHeight="1" x14ac:dyDescent="0.25">
      <c r="B71" s="128" t="s">
        <v>51</v>
      </c>
      <c r="C71" s="308" t="s">
        <v>52</v>
      </c>
      <c r="D71" s="309"/>
      <c r="E71" s="309"/>
      <c r="F71" s="136" t="s">
        <v>23</v>
      </c>
      <c r="G71" s="129"/>
      <c r="H71" s="129"/>
      <c r="I71" s="129">
        <f>'D.1.3. Odvodnění'!G8</f>
        <v>0</v>
      </c>
      <c r="J71" s="134" t="str">
        <f>IF(I77=0,"",I71/I77*100)</f>
        <v/>
      </c>
    </row>
    <row r="72" spans="1:10" s="207" customFormat="1" ht="14.25" customHeight="1" x14ac:dyDescent="0.25">
      <c r="B72" s="128" t="s">
        <v>277</v>
      </c>
      <c r="C72" s="308" t="s">
        <v>278</v>
      </c>
      <c r="D72" s="309"/>
      <c r="E72" s="309"/>
      <c r="F72" s="136" t="s">
        <v>23</v>
      </c>
      <c r="G72" s="129"/>
      <c r="H72" s="129"/>
      <c r="I72" s="129">
        <f>'D.1.3. Odvodnění'!G42</f>
        <v>0</v>
      </c>
      <c r="J72" s="134" t="str">
        <f>IF(I77=0,"",I72/I77*100)</f>
        <v/>
      </c>
    </row>
    <row r="73" spans="1:10" s="207" customFormat="1" ht="14.25" customHeight="1" x14ac:dyDescent="0.25">
      <c r="B73" s="128" t="s">
        <v>162</v>
      </c>
      <c r="C73" s="308" t="s">
        <v>161</v>
      </c>
      <c r="D73" s="309"/>
      <c r="E73" s="309"/>
      <c r="F73" s="136" t="s">
        <v>23</v>
      </c>
      <c r="G73" s="129"/>
      <c r="H73" s="129"/>
      <c r="I73" s="129">
        <f>'D.1.3. Odvodnění'!G57</f>
        <v>0</v>
      </c>
      <c r="J73" s="134" t="str">
        <f>IF(I77=0,"",I73/I77*100)</f>
        <v/>
      </c>
    </row>
    <row r="74" spans="1:10" s="207" customFormat="1" ht="14.25" customHeight="1" x14ac:dyDescent="0.25">
      <c r="B74" s="128" t="s">
        <v>57</v>
      </c>
      <c r="C74" s="308" t="s">
        <v>58</v>
      </c>
      <c r="D74" s="309"/>
      <c r="E74" s="309"/>
      <c r="F74" s="136" t="s">
        <v>23</v>
      </c>
      <c r="G74" s="129"/>
      <c r="H74" s="129"/>
      <c r="I74" s="129">
        <f>'D.1.3. Odvodnění'!G67</f>
        <v>0</v>
      </c>
      <c r="J74" s="134" t="str">
        <f>IF(I77=0,"",I74/I77*100)</f>
        <v/>
      </c>
    </row>
    <row r="75" spans="1:10" s="207" customFormat="1" ht="14.25" customHeight="1" x14ac:dyDescent="0.25">
      <c r="B75" s="128" t="s">
        <v>62</v>
      </c>
      <c r="C75" s="308" t="s">
        <v>26</v>
      </c>
      <c r="D75" s="309"/>
      <c r="E75" s="309"/>
      <c r="F75" s="136" t="s">
        <v>62</v>
      </c>
      <c r="G75" s="129"/>
      <c r="H75" s="129"/>
      <c r="I75" s="129">
        <f>'D.1.3. Odvodnění'!G70</f>
        <v>0</v>
      </c>
      <c r="J75" s="134" t="str">
        <f>IF(I77=0,"",I75/I77*100)</f>
        <v/>
      </c>
    </row>
    <row r="76" spans="1:10" s="207" customFormat="1" ht="14.25" customHeight="1" x14ac:dyDescent="0.25">
      <c r="B76" s="128" t="s">
        <v>63</v>
      </c>
      <c r="C76" s="308" t="s">
        <v>27</v>
      </c>
      <c r="D76" s="309"/>
      <c r="E76" s="309"/>
      <c r="F76" s="136" t="s">
        <v>63</v>
      </c>
      <c r="G76" s="129"/>
      <c r="H76" s="129"/>
      <c r="I76" s="129">
        <f>'D.1.3. Odvodnění'!G81</f>
        <v>0</v>
      </c>
      <c r="J76" s="134" t="str">
        <f>IF(I77=0,"",I76/I77*100)</f>
        <v/>
      </c>
    </row>
    <row r="77" spans="1:10" s="207" customFormat="1" ht="14.25" customHeight="1" x14ac:dyDescent="0.25">
      <c r="B77" s="130" t="s">
        <v>1</v>
      </c>
      <c r="C77" s="131"/>
      <c r="D77" s="132"/>
      <c r="E77" s="132"/>
      <c r="F77" s="137"/>
      <c r="G77" s="133"/>
      <c r="H77" s="133"/>
      <c r="I77" s="133">
        <f>SUM(I71:I76)</f>
        <v>0</v>
      </c>
      <c r="J77" s="135">
        <f>SUM(J71:J76)</f>
        <v>0</v>
      </c>
    </row>
    <row r="78" spans="1:10" s="207" customFormat="1" ht="14.25" customHeight="1" x14ac:dyDescent="0.25">
      <c r="C78" s="51"/>
      <c r="D78" s="51"/>
      <c r="E78" s="51"/>
    </row>
    <row r="79" spans="1:10" s="207" customFormat="1" ht="15" customHeight="1" x14ac:dyDescent="0.3">
      <c r="A79" s="124"/>
      <c r="B79" s="287" t="s">
        <v>391</v>
      </c>
      <c r="C79" s="288"/>
      <c r="D79" s="288"/>
      <c r="E79" s="288"/>
      <c r="F79" s="289"/>
      <c r="G79" s="289"/>
      <c r="H79" s="289"/>
      <c r="I79" s="289"/>
      <c r="J79" s="289"/>
    </row>
    <row r="80" spans="1:10" s="207" customFormat="1" ht="2.4" customHeight="1" x14ac:dyDescent="0.25">
      <c r="A80" s="124"/>
      <c r="C80" s="51"/>
      <c r="D80" s="51"/>
      <c r="E80" s="51"/>
    </row>
    <row r="81" spans="1:10" s="207" customFormat="1" ht="15" customHeight="1" x14ac:dyDescent="0.25">
      <c r="A81" s="124"/>
      <c r="B81" s="257" t="s">
        <v>17</v>
      </c>
      <c r="C81" s="257" t="s">
        <v>5</v>
      </c>
      <c r="D81" s="258"/>
      <c r="E81" s="258"/>
      <c r="F81" s="221" t="s">
        <v>50</v>
      </c>
      <c r="G81" s="221"/>
      <c r="H81" s="221"/>
      <c r="I81" s="221" t="s">
        <v>28</v>
      </c>
      <c r="J81" s="221" t="s">
        <v>0</v>
      </c>
    </row>
    <row r="82" spans="1:10" s="207" customFormat="1" ht="15" customHeight="1" x14ac:dyDescent="0.25">
      <c r="A82" s="124"/>
      <c r="B82" s="251" t="s">
        <v>51</v>
      </c>
      <c r="C82" s="366" t="s">
        <v>52</v>
      </c>
      <c r="D82" s="367"/>
      <c r="E82" s="367"/>
      <c r="F82" s="252" t="s">
        <v>23</v>
      </c>
      <c r="G82" s="222"/>
      <c r="H82" s="222"/>
      <c r="I82" s="222">
        <f>'D.1.4 Osvětlení'!G8</f>
        <v>0</v>
      </c>
      <c r="J82" s="253" t="str">
        <f>IF(I89=0,"",I82/I89*100)</f>
        <v/>
      </c>
    </row>
    <row r="83" spans="1:10" s="207" customFormat="1" ht="15" customHeight="1" x14ac:dyDescent="0.25">
      <c r="A83" s="124"/>
      <c r="B83" s="251" t="s">
        <v>211</v>
      </c>
      <c r="C83" s="366" t="s">
        <v>212</v>
      </c>
      <c r="D83" s="367"/>
      <c r="E83" s="367"/>
      <c r="F83" s="252" t="s">
        <v>23</v>
      </c>
      <c r="G83" s="222"/>
      <c r="H83" s="222"/>
      <c r="I83" s="222">
        <f>'D.1.4 Osvětlení'!G33</f>
        <v>0</v>
      </c>
      <c r="J83" s="253" t="str">
        <f>IF(I89=0,"",I83/I89*100)</f>
        <v/>
      </c>
    </row>
    <row r="84" spans="1:10" s="207" customFormat="1" ht="15" customHeight="1" x14ac:dyDescent="0.25">
      <c r="A84" s="124"/>
      <c r="B84" s="251" t="s">
        <v>214</v>
      </c>
      <c r="C84" s="366" t="s">
        <v>215</v>
      </c>
      <c r="D84" s="367"/>
      <c r="E84" s="367"/>
      <c r="F84" s="252" t="s">
        <v>23</v>
      </c>
      <c r="G84" s="222"/>
      <c r="H84" s="222"/>
      <c r="I84" s="222">
        <f>'D.1.4 Osvětlení'!G37</f>
        <v>0</v>
      </c>
      <c r="J84" s="253" t="str">
        <f>IF(I89=0,"",I84/I89*100)</f>
        <v/>
      </c>
    </row>
    <row r="85" spans="1:10" s="207" customFormat="1" ht="15" customHeight="1" x14ac:dyDescent="0.25">
      <c r="A85" s="124"/>
      <c r="B85" s="251" t="s">
        <v>243</v>
      </c>
      <c r="C85" s="366" t="s">
        <v>221</v>
      </c>
      <c r="D85" s="367"/>
      <c r="E85" s="367"/>
      <c r="F85" s="252" t="s">
        <v>25</v>
      </c>
      <c r="G85" s="222"/>
      <c r="H85" s="222"/>
      <c r="I85" s="222">
        <f>'D.1.4 Osvětlení'!G43</f>
        <v>0</v>
      </c>
      <c r="J85" s="253" t="str">
        <f>IF(I89=0,"",I85/I89*100)</f>
        <v/>
      </c>
    </row>
    <row r="86" spans="1:10" s="207" customFormat="1" ht="15" customHeight="1" x14ac:dyDescent="0.25">
      <c r="A86" s="124"/>
      <c r="B86" s="251" t="s">
        <v>57</v>
      </c>
      <c r="C86" s="366" t="s">
        <v>58</v>
      </c>
      <c r="D86" s="367"/>
      <c r="E86" s="367"/>
      <c r="F86" s="252" t="s">
        <v>23</v>
      </c>
      <c r="G86" s="222"/>
      <c r="H86" s="222"/>
      <c r="I86" s="222">
        <f>'D.1.4 Osvětlení'!G68</f>
        <v>0</v>
      </c>
      <c r="J86" s="253" t="str">
        <f>IF(I89=0,"",I86/I89*100)</f>
        <v/>
      </c>
    </row>
    <row r="87" spans="1:10" s="207" customFormat="1" ht="15" customHeight="1" x14ac:dyDescent="0.25">
      <c r="A87" s="124"/>
      <c r="B87" s="251" t="s">
        <v>62</v>
      </c>
      <c r="C87" s="366" t="s">
        <v>26</v>
      </c>
      <c r="D87" s="367"/>
      <c r="E87" s="367"/>
      <c r="F87" s="252" t="s">
        <v>62</v>
      </c>
      <c r="G87" s="222"/>
      <c r="H87" s="222"/>
      <c r="I87" s="222">
        <f>'D.1.4 Osvětlení'!G71</f>
        <v>0</v>
      </c>
      <c r="J87" s="253" t="str">
        <f>IF(I89=0,"",I87/I89*100)</f>
        <v/>
      </c>
    </row>
    <row r="88" spans="1:10" s="207" customFormat="1" ht="15" customHeight="1" x14ac:dyDescent="0.25">
      <c r="A88" s="124"/>
      <c r="B88" s="251" t="s">
        <v>63</v>
      </c>
      <c r="C88" s="366" t="s">
        <v>27</v>
      </c>
      <c r="D88" s="367"/>
      <c r="E88" s="367"/>
      <c r="F88" s="252" t="s">
        <v>63</v>
      </c>
      <c r="G88" s="222"/>
      <c r="H88" s="222"/>
      <c r="I88" s="222">
        <f>'D.1.4 Osvětlení'!G82</f>
        <v>0</v>
      </c>
      <c r="J88" s="253" t="str">
        <f>IF(I89=0,"",I88/I89*100)</f>
        <v/>
      </c>
    </row>
    <row r="89" spans="1:10" s="207" customFormat="1" ht="15" customHeight="1" x14ac:dyDescent="0.25">
      <c r="A89" s="124"/>
      <c r="B89" s="130" t="s">
        <v>1</v>
      </c>
      <c r="C89" s="131"/>
      <c r="D89" s="132"/>
      <c r="E89" s="132"/>
      <c r="F89" s="137"/>
      <c r="G89" s="133"/>
      <c r="H89" s="133"/>
      <c r="I89" s="133">
        <f>SUM(I82:I88)</f>
        <v>0</v>
      </c>
      <c r="J89" s="135">
        <f>SUM(J82:J88)</f>
        <v>0</v>
      </c>
    </row>
    <row r="90" spans="1:10" s="207" customFormat="1" ht="15" customHeight="1" x14ac:dyDescent="0.25">
      <c r="A90" s="124"/>
      <c r="B90" s="304"/>
      <c r="C90" s="305"/>
      <c r="D90" s="305"/>
      <c r="E90" s="305"/>
      <c r="F90" s="306"/>
      <c r="G90" s="274"/>
      <c r="H90" s="274"/>
      <c r="I90" s="274"/>
      <c r="J90" s="265"/>
    </row>
    <row r="91" spans="1:10" x14ac:dyDescent="0.25">
      <c r="F91" s="84"/>
      <c r="G91" s="84"/>
      <c r="H91" s="84"/>
      <c r="I91" s="84"/>
      <c r="J91" s="85"/>
    </row>
  </sheetData>
  <sheetProtection password="EA7D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87:E87"/>
    <mergeCell ref="C88:E88"/>
    <mergeCell ref="C82:E82"/>
    <mergeCell ref="C83:E83"/>
    <mergeCell ref="C84:E84"/>
    <mergeCell ref="C85:E85"/>
    <mergeCell ref="C86:E86"/>
    <mergeCell ref="C71:E71"/>
    <mergeCell ref="C72:E72"/>
    <mergeCell ref="C73:E73"/>
    <mergeCell ref="C74:E74"/>
    <mergeCell ref="C75:E75"/>
    <mergeCell ref="C76:E76"/>
    <mergeCell ref="B1:J1"/>
    <mergeCell ref="G26:I26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14:D14"/>
    <mergeCell ref="D36:E36"/>
    <mergeCell ref="G24:I24"/>
    <mergeCell ref="G23:I23"/>
    <mergeCell ref="E19:F19"/>
    <mergeCell ref="E20:F20"/>
    <mergeCell ref="I20:J20"/>
    <mergeCell ref="I21:J21"/>
    <mergeCell ref="G19:H19"/>
    <mergeCell ref="G20:H20"/>
    <mergeCell ref="G30:I30"/>
    <mergeCell ref="G25:I25"/>
    <mergeCell ref="I19:J19"/>
    <mergeCell ref="G29:I29"/>
    <mergeCell ref="D35:E35"/>
    <mergeCell ref="G35:I35"/>
    <mergeCell ref="G27:I27"/>
    <mergeCell ref="B47:G47"/>
    <mergeCell ref="B48:G48"/>
    <mergeCell ref="B52:G52"/>
    <mergeCell ref="C59:E59"/>
    <mergeCell ref="C40:E40"/>
    <mergeCell ref="C41:E41"/>
    <mergeCell ref="C42:E42"/>
    <mergeCell ref="C43:E43"/>
    <mergeCell ref="B44:E44"/>
    <mergeCell ref="C57:E57"/>
    <mergeCell ref="C64:E64"/>
    <mergeCell ref="C65:E65"/>
    <mergeCell ref="C60:E60"/>
    <mergeCell ref="C61:E61"/>
    <mergeCell ref="C58:E58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68" t="s">
        <v>6</v>
      </c>
      <c r="B1" s="368"/>
      <c r="C1" s="369"/>
      <c r="D1" s="368"/>
      <c r="E1" s="368"/>
      <c r="F1" s="368"/>
      <c r="G1" s="368"/>
    </row>
    <row r="2" spans="1:7" ht="24.9" customHeight="1" x14ac:dyDescent="0.25">
      <c r="A2" s="49" t="s">
        <v>7</v>
      </c>
      <c r="B2" s="48"/>
      <c r="C2" s="370"/>
      <c r="D2" s="370"/>
      <c r="E2" s="370"/>
      <c r="F2" s="370"/>
      <c r="G2" s="371"/>
    </row>
    <row r="3" spans="1:7" ht="24.9" customHeight="1" x14ac:dyDescent="0.25">
      <c r="A3" s="49" t="s">
        <v>8</v>
      </c>
      <c r="B3" s="48"/>
      <c r="C3" s="370"/>
      <c r="D3" s="370"/>
      <c r="E3" s="370"/>
      <c r="F3" s="370"/>
      <c r="G3" s="371"/>
    </row>
    <row r="4" spans="1:7" ht="24.9" customHeight="1" x14ac:dyDescent="0.25">
      <c r="A4" s="49" t="s">
        <v>9</v>
      </c>
      <c r="B4" s="48"/>
      <c r="C4" s="370"/>
      <c r="D4" s="370"/>
      <c r="E4" s="370"/>
      <c r="F4" s="370"/>
      <c r="G4" s="371"/>
    </row>
    <row r="5" spans="1:7" x14ac:dyDescent="0.25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88"/>
  <sheetViews>
    <sheetView workbookViewId="0">
      <pane ySplit="7" topLeftCell="A8" activePane="bottomLeft" state="frozen"/>
      <selection pane="bottomLeft" activeCell="Z11" sqref="Z11"/>
    </sheetView>
  </sheetViews>
  <sheetFormatPr defaultRowHeight="13.2" outlineLevelRow="1" x14ac:dyDescent="0.25"/>
  <cols>
    <col min="1" max="1" width="3.44140625" customWidth="1"/>
    <col min="2" max="2" width="12.5546875" style="123" customWidth="1"/>
    <col min="3" max="3" width="63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1" width="0" hidden="1" customWidth="1"/>
    <col min="12" max="12" width="11.6640625" bestFit="1" customWidth="1"/>
    <col min="13" max="13" width="11.6640625" customWidth="1"/>
    <col min="14" max="17" width="0" hidden="1" customWidth="1"/>
    <col min="18" max="18" width="6.88671875" customWidth="1"/>
    <col min="20" max="20" width="8.44140625" customWidth="1"/>
    <col min="21" max="24" width="0" hidden="1" customWidth="1"/>
    <col min="25" max="26" width="11.6640625" bestFit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380" t="s">
        <v>64</v>
      </c>
      <c r="B1" s="381"/>
      <c r="C1" s="381"/>
      <c r="D1" s="381"/>
      <c r="E1" s="381"/>
      <c r="F1" s="381"/>
      <c r="G1" s="381"/>
      <c r="H1" s="195"/>
      <c r="L1" s="199"/>
      <c r="AG1" t="s">
        <v>65</v>
      </c>
    </row>
    <row r="2" spans="1:60" ht="40.5" customHeight="1" x14ac:dyDescent="0.25">
      <c r="A2" s="196" t="s">
        <v>7</v>
      </c>
      <c r="B2" s="232" t="s">
        <v>296</v>
      </c>
      <c r="C2" s="385" t="s">
        <v>297</v>
      </c>
      <c r="D2" s="386"/>
      <c r="E2" s="386"/>
      <c r="F2" s="386"/>
      <c r="G2" s="386"/>
      <c r="H2" s="387"/>
      <c r="L2" s="199"/>
      <c r="AG2" t="s">
        <v>66</v>
      </c>
    </row>
    <row r="3" spans="1:60" ht="24.9" customHeight="1" x14ac:dyDescent="0.25">
      <c r="A3" s="196" t="s">
        <v>8</v>
      </c>
      <c r="B3" s="220" t="s">
        <v>395</v>
      </c>
      <c r="C3" s="382" t="s">
        <v>304</v>
      </c>
      <c r="D3" s="383"/>
      <c r="E3" s="383"/>
      <c r="F3" s="383"/>
      <c r="G3" s="384"/>
      <c r="H3" s="197"/>
      <c r="L3" s="199"/>
      <c r="AC3" s="123" t="s">
        <v>66</v>
      </c>
      <c r="AG3" t="s">
        <v>67</v>
      </c>
    </row>
    <row r="4" spans="1:60" ht="24.9" customHeight="1" x14ac:dyDescent="0.25">
      <c r="A4" s="198" t="s">
        <v>9</v>
      </c>
      <c r="B4" s="237" t="s">
        <v>296</v>
      </c>
      <c r="C4" s="341" t="s">
        <v>298</v>
      </c>
      <c r="D4" s="342"/>
      <c r="E4" s="342"/>
      <c r="F4" s="342"/>
      <c r="G4" s="342"/>
      <c r="H4" s="343"/>
      <c r="L4" s="199"/>
      <c r="AG4" t="s">
        <v>68</v>
      </c>
    </row>
    <row r="5" spans="1:60" x14ac:dyDescent="0.25">
      <c r="D5" s="10"/>
    </row>
    <row r="6" spans="1:60" ht="39.6" x14ac:dyDescent="0.25">
      <c r="A6" s="140" t="s">
        <v>69</v>
      </c>
      <c r="B6" s="142" t="s">
        <v>70</v>
      </c>
      <c r="C6" s="142" t="s">
        <v>71</v>
      </c>
      <c r="D6" s="141" t="s">
        <v>72</v>
      </c>
      <c r="E6" s="140" t="s">
        <v>73</v>
      </c>
      <c r="F6" s="139" t="s">
        <v>74</v>
      </c>
      <c r="G6" s="140" t="s">
        <v>28</v>
      </c>
      <c r="H6" s="143" t="s">
        <v>29</v>
      </c>
      <c r="I6" s="143" t="s">
        <v>75</v>
      </c>
      <c r="J6" s="143" t="s">
        <v>30</v>
      </c>
      <c r="K6" s="143" t="s">
        <v>76</v>
      </c>
      <c r="L6" s="143" t="s">
        <v>77</v>
      </c>
      <c r="M6" s="143" t="s">
        <v>78</v>
      </c>
      <c r="N6" s="143" t="s">
        <v>79</v>
      </c>
      <c r="O6" s="143" t="s">
        <v>80</v>
      </c>
      <c r="P6" s="143" t="s">
        <v>81</v>
      </c>
      <c r="Q6" s="143" t="s">
        <v>82</v>
      </c>
      <c r="R6" s="143" t="s">
        <v>83</v>
      </c>
      <c r="S6" s="143" t="s">
        <v>84</v>
      </c>
      <c r="T6" s="143" t="s">
        <v>85</v>
      </c>
      <c r="U6" s="143" t="s">
        <v>86</v>
      </c>
      <c r="V6" s="143" t="s">
        <v>87</v>
      </c>
      <c r="W6" s="143" t="s">
        <v>88</v>
      </c>
      <c r="X6" s="143" t="s">
        <v>89</v>
      </c>
    </row>
    <row r="7" spans="1:60" hidden="1" x14ac:dyDescent="0.25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55" t="s">
        <v>90</v>
      </c>
      <c r="B8" s="156" t="s">
        <v>51</v>
      </c>
      <c r="C8" s="171" t="s">
        <v>52</v>
      </c>
      <c r="D8" s="157"/>
      <c r="E8" s="158"/>
      <c r="F8" s="159"/>
      <c r="G8" s="159">
        <f>SUMIF(AG9:AG56,"&lt;&gt;NOR",G9:G56)</f>
        <v>0</v>
      </c>
      <c r="H8" s="159"/>
      <c r="I8" s="159">
        <f>SUM(I9:I56)</f>
        <v>252</v>
      </c>
      <c r="J8" s="159"/>
      <c r="K8" s="159">
        <f>SUM(K9:K56)</f>
        <v>765411.85</v>
      </c>
      <c r="L8" s="159"/>
      <c r="M8" s="159">
        <f>SUM(M9:M56)</f>
        <v>0</v>
      </c>
      <c r="N8" s="159"/>
      <c r="O8" s="159">
        <f>SUM(O9:O56)</f>
        <v>0</v>
      </c>
      <c r="P8" s="159"/>
      <c r="Q8" s="159">
        <f>SUM(Q9:Q56)</f>
        <v>451.06</v>
      </c>
      <c r="R8" s="159"/>
      <c r="S8" s="159"/>
      <c r="T8" s="160"/>
      <c r="U8" s="154"/>
      <c r="V8" s="154">
        <f>SUM(V9:V56)</f>
        <v>315.33</v>
      </c>
      <c r="W8" s="154"/>
      <c r="X8" s="154"/>
      <c r="Z8" s="84"/>
      <c r="AG8" t="s">
        <v>91</v>
      </c>
    </row>
    <row r="9" spans="1:60" outlineLevel="1" x14ac:dyDescent="0.25">
      <c r="A9" s="161">
        <v>1</v>
      </c>
      <c r="B9" s="200" t="s">
        <v>307</v>
      </c>
      <c r="C9" s="172" t="s">
        <v>362</v>
      </c>
      <c r="D9" s="163" t="s">
        <v>95</v>
      </c>
      <c r="E9" s="201">
        <v>230</v>
      </c>
      <c r="F9" s="165"/>
      <c r="G9" s="166">
        <f>ROUND(E9*F9,2)</f>
        <v>0</v>
      </c>
      <c r="H9" s="165">
        <v>0</v>
      </c>
      <c r="I9" s="166">
        <f>ROUND(E9*H9,2)</f>
        <v>0</v>
      </c>
      <c r="J9" s="165">
        <v>61.8</v>
      </c>
      <c r="K9" s="166">
        <f>ROUND(E9*J9,2)</f>
        <v>14214</v>
      </c>
      <c r="L9" s="166">
        <v>21</v>
      </c>
      <c r="M9" s="166">
        <f>G9*(1+L9/100)</f>
        <v>0</v>
      </c>
      <c r="N9" s="166">
        <v>0</v>
      </c>
      <c r="O9" s="166">
        <f>ROUND(E9*N9,2)</f>
        <v>0</v>
      </c>
      <c r="P9" s="166">
        <v>0.13800000000000001</v>
      </c>
      <c r="Q9" s="166">
        <f>ROUND(E9*P9,2)</f>
        <v>31.74</v>
      </c>
      <c r="R9" s="166" t="s">
        <v>106</v>
      </c>
      <c r="S9" s="217" t="s">
        <v>199</v>
      </c>
      <c r="T9" s="217" t="s">
        <v>199</v>
      </c>
      <c r="U9" s="153"/>
      <c r="V9" s="153"/>
      <c r="W9" s="153"/>
      <c r="X9" s="153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5">
      <c r="A10" s="151"/>
      <c r="B10" s="152"/>
      <c r="C10" s="372" t="s">
        <v>183</v>
      </c>
      <c r="D10" s="373"/>
      <c r="E10" s="373"/>
      <c r="F10" s="373"/>
      <c r="G10" s="37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5">
      <c r="A11" s="151"/>
      <c r="B11" s="152"/>
      <c r="C11" s="186"/>
      <c r="D11" s="187"/>
      <c r="E11" s="187"/>
      <c r="F11" s="187"/>
      <c r="G11" s="187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s="207" customFormat="1" outlineLevel="1" x14ac:dyDescent="0.25">
      <c r="A12" s="212">
        <v>2</v>
      </c>
      <c r="B12" s="200" t="s">
        <v>306</v>
      </c>
      <c r="C12" s="219" t="s">
        <v>305</v>
      </c>
      <c r="D12" s="214" t="s">
        <v>95</v>
      </c>
      <c r="E12" s="201">
        <v>990</v>
      </c>
      <c r="F12" s="216"/>
      <c r="G12" s="217">
        <f>ROUND(E12*F12,2)</f>
        <v>0</v>
      </c>
      <c r="H12" s="216">
        <v>0</v>
      </c>
      <c r="I12" s="217">
        <f>ROUND(E12*H12,2)</f>
        <v>0</v>
      </c>
      <c r="J12" s="216">
        <v>61.8</v>
      </c>
      <c r="K12" s="217">
        <f>ROUND(E12*J12,2)</f>
        <v>61182</v>
      </c>
      <c r="L12" s="217">
        <v>21</v>
      </c>
      <c r="M12" s="217">
        <f>G12*(1+L12/100)</f>
        <v>0</v>
      </c>
      <c r="N12" s="217">
        <v>0</v>
      </c>
      <c r="O12" s="217">
        <f>ROUND(E12*N12,2)</f>
        <v>0</v>
      </c>
      <c r="P12" s="217">
        <v>0.13800000000000001</v>
      </c>
      <c r="Q12" s="217">
        <f>ROUND(E12*P12,2)</f>
        <v>136.62</v>
      </c>
      <c r="R12" s="217" t="s">
        <v>106</v>
      </c>
      <c r="S12" s="217" t="s">
        <v>199</v>
      </c>
      <c r="T12" s="217" t="s">
        <v>199</v>
      </c>
      <c r="U12" s="211"/>
      <c r="V12" s="211"/>
      <c r="W12" s="211"/>
      <c r="X12" s="211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s="207" customFormat="1" outlineLevel="1" x14ac:dyDescent="0.25">
      <c r="A13" s="209"/>
      <c r="B13" s="210"/>
      <c r="C13" s="372" t="s">
        <v>311</v>
      </c>
      <c r="D13" s="373"/>
      <c r="E13" s="373"/>
      <c r="F13" s="373"/>
      <c r="G13" s="373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s="207" customFormat="1" outlineLevel="1" x14ac:dyDescent="0.25">
      <c r="A14" s="209"/>
      <c r="B14" s="210"/>
      <c r="C14" s="279"/>
      <c r="D14" s="280"/>
      <c r="E14" s="280"/>
      <c r="F14" s="280"/>
      <c r="G14" s="280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12.6" customHeight="1" outlineLevel="1" x14ac:dyDescent="0.25">
      <c r="A15" s="161">
        <v>3</v>
      </c>
      <c r="B15" s="162" t="s">
        <v>310</v>
      </c>
      <c r="C15" s="172" t="s">
        <v>309</v>
      </c>
      <c r="D15" s="163" t="s">
        <v>113</v>
      </c>
      <c r="E15" s="164">
        <v>480</v>
      </c>
      <c r="F15" s="165"/>
      <c r="G15" s="166">
        <f>ROUND(E15*F15,2)</f>
        <v>0</v>
      </c>
      <c r="H15" s="165">
        <v>0</v>
      </c>
      <c r="I15" s="166">
        <f>ROUND(E15*H15,2)</f>
        <v>0</v>
      </c>
      <c r="J15" s="165">
        <v>351</v>
      </c>
      <c r="K15" s="166">
        <f>ROUND(E15*J15,2)</f>
        <v>168480</v>
      </c>
      <c r="L15" s="166">
        <v>21</v>
      </c>
      <c r="M15" s="166">
        <f>G15*(1+L15/100)</f>
        <v>0</v>
      </c>
      <c r="N15" s="166">
        <v>0</v>
      </c>
      <c r="O15" s="166">
        <f>ROUND(E15*N15,2)</f>
        <v>0</v>
      </c>
      <c r="P15" s="166">
        <v>0.44</v>
      </c>
      <c r="Q15" s="166">
        <f>ROUND(E15*P15,2)</f>
        <v>211.2</v>
      </c>
      <c r="R15" s="166" t="s">
        <v>106</v>
      </c>
      <c r="S15" s="217" t="s">
        <v>199</v>
      </c>
      <c r="T15" s="217" t="s">
        <v>199</v>
      </c>
      <c r="U15" s="153">
        <v>3.3000000000000002E-2</v>
      </c>
      <c r="V15" s="153">
        <f>ROUND(E15*U15,2)</f>
        <v>15.84</v>
      </c>
      <c r="W15" s="153"/>
      <c r="X15" s="153" t="s">
        <v>107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108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s="207" customFormat="1" ht="13.2" customHeight="1" outlineLevel="1" x14ac:dyDescent="0.25">
      <c r="A16" s="209"/>
      <c r="B16" s="210"/>
      <c r="C16" s="256" t="s">
        <v>308</v>
      </c>
      <c r="D16" s="259"/>
      <c r="E16" s="245"/>
      <c r="F16" s="206"/>
      <c r="G16" s="260"/>
      <c r="H16" s="190"/>
      <c r="I16" s="211"/>
      <c r="J16" s="190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s="207" customFormat="1" ht="13.2" customHeight="1" outlineLevel="1" x14ac:dyDescent="0.25">
      <c r="A17" s="209"/>
      <c r="B17" s="210"/>
      <c r="C17" s="241" t="s">
        <v>313</v>
      </c>
      <c r="D17" s="242"/>
      <c r="E17" s="243"/>
      <c r="F17" s="244"/>
      <c r="G17" s="238"/>
      <c r="H17" s="190"/>
      <c r="I17" s="211"/>
      <c r="J17" s="190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5">
      <c r="A18" s="151"/>
      <c r="B18" s="152"/>
      <c r="C18" s="374"/>
      <c r="D18" s="375"/>
      <c r="E18" s="375"/>
      <c r="F18" s="375"/>
      <c r="G18" s="375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4"/>
      <c r="Z18" s="144"/>
      <c r="AA18" s="144"/>
      <c r="AB18" s="144"/>
      <c r="AC18" s="144"/>
      <c r="AD18" s="144"/>
      <c r="AE18" s="144"/>
      <c r="AF18" s="144"/>
      <c r="AG18" s="144" t="s">
        <v>92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s="207" customFormat="1" outlineLevel="1" x14ac:dyDescent="0.25">
      <c r="A19" s="212">
        <v>4</v>
      </c>
      <c r="B19" s="213" t="s">
        <v>318</v>
      </c>
      <c r="C19" s="219" t="s">
        <v>316</v>
      </c>
      <c r="D19" s="214" t="s">
        <v>113</v>
      </c>
      <c r="E19" s="215">
        <f>E15*0.35</f>
        <v>168</v>
      </c>
      <c r="F19" s="216"/>
      <c r="G19" s="217">
        <f>ROUND(E19*F19,2)</f>
        <v>0</v>
      </c>
      <c r="H19" s="216">
        <v>0</v>
      </c>
      <c r="I19" s="217">
        <f>ROUND(E19*H19,2)</f>
        <v>0</v>
      </c>
      <c r="J19" s="216">
        <v>617</v>
      </c>
      <c r="K19" s="217">
        <f>ROUND(E19*J19,2)</f>
        <v>103656</v>
      </c>
      <c r="L19" s="217">
        <v>21</v>
      </c>
      <c r="M19" s="217">
        <f>G19*(1+L19/100)</f>
        <v>0</v>
      </c>
      <c r="N19" s="217">
        <v>0</v>
      </c>
      <c r="O19" s="217">
        <f>ROUND(E19*N19,2)</f>
        <v>0</v>
      </c>
      <c r="P19" s="217">
        <v>0</v>
      </c>
      <c r="Q19" s="217">
        <f>ROUND(E19*P19,2)</f>
        <v>0</v>
      </c>
      <c r="R19" s="217" t="s">
        <v>112</v>
      </c>
      <c r="S19" s="217" t="s">
        <v>199</v>
      </c>
      <c r="T19" s="217" t="s">
        <v>199</v>
      </c>
      <c r="U19" s="211"/>
      <c r="V19" s="211"/>
      <c r="W19" s="211"/>
      <c r="X19" s="211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s="207" customFormat="1" ht="13.2" customHeight="1" outlineLevel="1" x14ac:dyDescent="0.25">
      <c r="A20" s="209"/>
      <c r="B20" s="210"/>
      <c r="C20" s="372" t="s">
        <v>317</v>
      </c>
      <c r="D20" s="373"/>
      <c r="E20" s="373"/>
      <c r="F20" s="373"/>
      <c r="G20" s="373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s="207" customFormat="1" outlineLevel="1" x14ac:dyDescent="0.25">
      <c r="A21" s="209"/>
      <c r="B21" s="210"/>
      <c r="C21" s="279"/>
      <c r="D21" s="280"/>
      <c r="E21" s="280"/>
      <c r="F21" s="280"/>
      <c r="G21" s="280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0.399999999999999" outlineLevel="1" x14ac:dyDescent="0.25">
      <c r="A22" s="161">
        <v>5</v>
      </c>
      <c r="B22" s="200" t="s">
        <v>246</v>
      </c>
      <c r="C22" s="172" t="s">
        <v>205</v>
      </c>
      <c r="D22" s="163" t="s">
        <v>95</v>
      </c>
      <c r="E22" s="201">
        <v>250</v>
      </c>
      <c r="F22" s="165"/>
      <c r="G22" s="166">
        <f>ROUND(E22*F22,2)</f>
        <v>0</v>
      </c>
      <c r="H22" s="165">
        <v>0</v>
      </c>
      <c r="I22" s="166">
        <f>ROUND(E22*H22,2)</f>
        <v>0</v>
      </c>
      <c r="J22" s="165">
        <v>111</v>
      </c>
      <c r="K22" s="166">
        <f>ROUND(E22*J22,2)</f>
        <v>27750</v>
      </c>
      <c r="L22" s="166">
        <v>21</v>
      </c>
      <c r="M22" s="166">
        <f>G22*(1+L22/100)</f>
        <v>0</v>
      </c>
      <c r="N22" s="166">
        <v>0</v>
      </c>
      <c r="O22" s="166">
        <f>ROUND(E22*N22,2)</f>
        <v>0</v>
      </c>
      <c r="P22" s="166">
        <v>0.11</v>
      </c>
      <c r="Q22" s="166">
        <f>ROUND(E22*P22,2)</f>
        <v>27.5</v>
      </c>
      <c r="R22" s="166" t="s">
        <v>106</v>
      </c>
      <c r="S22" s="217" t="s">
        <v>199</v>
      </c>
      <c r="T22" s="217" t="s">
        <v>199</v>
      </c>
      <c r="U22" s="153">
        <v>0.2</v>
      </c>
      <c r="V22" s="153">
        <f>ROUND(E22*U22,2)</f>
        <v>50</v>
      </c>
      <c r="W22" s="153"/>
      <c r="X22" s="153" t="s">
        <v>107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108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s="207" customFormat="1" outlineLevel="1" x14ac:dyDescent="0.25">
      <c r="A23" s="209"/>
      <c r="B23" s="240"/>
      <c r="C23" s="191" t="s">
        <v>308</v>
      </c>
      <c r="D23" s="192"/>
      <c r="E23" s="193"/>
      <c r="F23" s="206"/>
      <c r="G23" s="194"/>
      <c r="H23" s="190"/>
      <c r="I23" s="211"/>
      <c r="J23" s="190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5">
      <c r="A24" s="151"/>
      <c r="B24" s="152"/>
      <c r="C24" s="374"/>
      <c r="D24" s="375"/>
      <c r="E24" s="375"/>
      <c r="F24" s="375"/>
      <c r="G24" s="375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44"/>
      <c r="Z24" s="144"/>
      <c r="AA24" s="144"/>
      <c r="AB24" s="144"/>
      <c r="AC24" s="144"/>
      <c r="AD24" s="144"/>
      <c r="AE24" s="144"/>
      <c r="AF24" s="144"/>
      <c r="AG24" s="144" t="s">
        <v>92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5">
      <c r="A25" s="161">
        <v>6</v>
      </c>
      <c r="B25" s="162" t="s">
        <v>110</v>
      </c>
      <c r="C25" s="172" t="s">
        <v>312</v>
      </c>
      <c r="D25" s="163" t="s">
        <v>111</v>
      </c>
      <c r="E25" s="201">
        <v>200</v>
      </c>
      <c r="F25" s="165"/>
      <c r="G25" s="166">
        <f>ROUND(E25*F25,2)</f>
        <v>0</v>
      </c>
      <c r="H25" s="165">
        <v>0</v>
      </c>
      <c r="I25" s="166">
        <f>ROUND(E25*H25,2)</f>
        <v>0</v>
      </c>
      <c r="J25" s="165">
        <v>115</v>
      </c>
      <c r="K25" s="166">
        <f>ROUND(E25*J25,2)</f>
        <v>23000</v>
      </c>
      <c r="L25" s="166">
        <v>21</v>
      </c>
      <c r="M25" s="166">
        <f>G25*(1+L25/100)</f>
        <v>0</v>
      </c>
      <c r="N25" s="166">
        <v>0</v>
      </c>
      <c r="O25" s="166">
        <f>ROUND(E25*N25,2)</f>
        <v>0</v>
      </c>
      <c r="P25" s="166">
        <v>0.22</v>
      </c>
      <c r="Q25" s="166">
        <f>ROUND(E25*P25,2)</f>
        <v>44</v>
      </c>
      <c r="R25" s="166" t="s">
        <v>106</v>
      </c>
      <c r="S25" s="217" t="s">
        <v>199</v>
      </c>
      <c r="T25" s="217" t="s">
        <v>199</v>
      </c>
      <c r="U25" s="153"/>
      <c r="V25" s="153"/>
      <c r="W25" s="153"/>
      <c r="X25" s="153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ht="12.75" customHeight="1" outlineLevel="1" x14ac:dyDescent="0.25">
      <c r="A26" s="151"/>
      <c r="B26" s="152"/>
      <c r="C26" s="372" t="s">
        <v>182</v>
      </c>
      <c r="D26" s="373"/>
      <c r="E26" s="373"/>
      <c r="F26" s="373"/>
      <c r="G26" s="37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5">
      <c r="A27" s="151"/>
      <c r="B27" s="152"/>
      <c r="C27" s="181"/>
      <c r="D27" s="182"/>
      <c r="E27" s="182"/>
      <c r="F27" s="182"/>
      <c r="G27" s="182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5">
      <c r="A28" s="161">
        <v>7</v>
      </c>
      <c r="B28" s="162" t="s">
        <v>163</v>
      </c>
      <c r="C28" s="172" t="s">
        <v>164</v>
      </c>
      <c r="D28" s="163" t="s">
        <v>113</v>
      </c>
      <c r="E28" s="164">
        <f>E31/5</f>
        <v>42</v>
      </c>
      <c r="F28" s="165"/>
      <c r="G28" s="166">
        <f>ROUND(E28*F28,2)</f>
        <v>0</v>
      </c>
      <c r="H28" s="165">
        <v>0</v>
      </c>
      <c r="I28" s="166">
        <f>ROUND(E28*H28,2)</f>
        <v>0</v>
      </c>
      <c r="J28" s="165">
        <v>617</v>
      </c>
      <c r="K28" s="166">
        <f>ROUND(E28*J28,2)</f>
        <v>25914</v>
      </c>
      <c r="L28" s="166">
        <v>21</v>
      </c>
      <c r="M28" s="166">
        <f>G28*(1+L28/100)</f>
        <v>0</v>
      </c>
      <c r="N28" s="166">
        <v>0</v>
      </c>
      <c r="O28" s="166">
        <f>ROUND(E28*N28,2)</f>
        <v>0</v>
      </c>
      <c r="P28" s="166">
        <v>0</v>
      </c>
      <c r="Q28" s="166">
        <f>ROUND(E28*P28,2)</f>
        <v>0</v>
      </c>
      <c r="R28" s="166" t="s">
        <v>112</v>
      </c>
      <c r="S28" s="217" t="s">
        <v>199</v>
      </c>
      <c r="T28" s="217" t="s">
        <v>199</v>
      </c>
      <c r="U28" s="153"/>
      <c r="V28" s="153"/>
      <c r="W28" s="153"/>
      <c r="X28" s="153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ht="14.25" customHeight="1" outlineLevel="1" x14ac:dyDescent="0.25">
      <c r="A29" s="151"/>
      <c r="B29" s="152"/>
      <c r="C29" s="372" t="s">
        <v>181</v>
      </c>
      <c r="D29" s="373"/>
      <c r="E29" s="373"/>
      <c r="F29" s="373"/>
      <c r="G29" s="37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5">
      <c r="A30" s="151"/>
      <c r="B30" s="152"/>
      <c r="C30" s="186"/>
      <c r="D30" s="187"/>
      <c r="E30" s="187"/>
      <c r="F30" s="187"/>
      <c r="G30" s="187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5">
      <c r="A31" s="161">
        <v>8</v>
      </c>
      <c r="B31" s="162" t="s">
        <v>144</v>
      </c>
      <c r="C31" s="172" t="s">
        <v>314</v>
      </c>
      <c r="D31" s="163" t="s">
        <v>113</v>
      </c>
      <c r="E31" s="164">
        <v>210</v>
      </c>
      <c r="F31" s="165"/>
      <c r="G31" s="166">
        <f>ROUND(E31*F31,2)</f>
        <v>0</v>
      </c>
      <c r="H31" s="165">
        <v>0</v>
      </c>
      <c r="I31" s="166">
        <f>ROUND(E31*H31,2)</f>
        <v>0</v>
      </c>
      <c r="J31" s="165">
        <v>191.5</v>
      </c>
      <c r="K31" s="166">
        <f>ROUND(E31*J31,2)</f>
        <v>40215</v>
      </c>
      <c r="L31" s="166">
        <v>21</v>
      </c>
      <c r="M31" s="166">
        <f>G31*(1+L31/100)</f>
        <v>0</v>
      </c>
      <c r="N31" s="166">
        <v>0</v>
      </c>
      <c r="O31" s="166">
        <f>ROUND(E31*N31,2)</f>
        <v>0</v>
      </c>
      <c r="P31" s="166">
        <v>0</v>
      </c>
      <c r="Q31" s="166">
        <f>ROUND(E31*P31,2)</f>
        <v>0</v>
      </c>
      <c r="R31" s="166" t="s">
        <v>112</v>
      </c>
      <c r="S31" s="217" t="s">
        <v>199</v>
      </c>
      <c r="T31" s="217" t="s">
        <v>199</v>
      </c>
      <c r="U31" s="153">
        <v>0.36799999999999999</v>
      </c>
      <c r="V31" s="153">
        <f>ROUND(E31*U31,2)</f>
        <v>77.28</v>
      </c>
      <c r="W31" s="153"/>
      <c r="X31" s="153" t="s">
        <v>107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108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5">
      <c r="A32" s="151"/>
      <c r="B32" s="152"/>
      <c r="C32" s="374"/>
      <c r="D32" s="375"/>
      <c r="E32" s="375"/>
      <c r="F32" s="375"/>
      <c r="G32" s="375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44"/>
      <c r="Z32" s="144"/>
      <c r="AA32" s="144"/>
      <c r="AB32" s="144"/>
      <c r="AC32" s="144"/>
      <c r="AD32" s="144"/>
      <c r="AE32" s="144"/>
      <c r="AF32" s="144"/>
      <c r="AG32" s="144" t="s">
        <v>92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5">
      <c r="A33" s="161">
        <v>9</v>
      </c>
      <c r="B33" s="162" t="s">
        <v>115</v>
      </c>
      <c r="C33" s="172" t="s">
        <v>315</v>
      </c>
      <c r="D33" s="163" t="s">
        <v>113</v>
      </c>
      <c r="E33" s="164">
        <f>E31*0.45</f>
        <v>94.5</v>
      </c>
      <c r="F33" s="165"/>
      <c r="G33" s="166">
        <f>ROUND(E33*F33,2)</f>
        <v>0</v>
      </c>
      <c r="H33" s="165">
        <v>0</v>
      </c>
      <c r="I33" s="166">
        <f>ROUND(E33*H33,2)</f>
        <v>0</v>
      </c>
      <c r="J33" s="165">
        <v>38.299999999999997</v>
      </c>
      <c r="K33" s="166">
        <f>ROUND(E33*J33,2)</f>
        <v>3619.35</v>
      </c>
      <c r="L33" s="166">
        <v>21</v>
      </c>
      <c r="M33" s="166">
        <f>G33*(1+L33/100)</f>
        <v>0</v>
      </c>
      <c r="N33" s="166">
        <v>0</v>
      </c>
      <c r="O33" s="166">
        <f>ROUND(E33*N33,2)</f>
        <v>0</v>
      </c>
      <c r="P33" s="166">
        <v>0</v>
      </c>
      <c r="Q33" s="166">
        <f>ROUND(E33*P33,2)</f>
        <v>0</v>
      </c>
      <c r="R33" s="166" t="s">
        <v>112</v>
      </c>
      <c r="S33" s="217" t="s">
        <v>199</v>
      </c>
      <c r="T33" s="217" t="s">
        <v>199</v>
      </c>
      <c r="U33" s="153">
        <v>5.8000000000000003E-2</v>
      </c>
      <c r="V33" s="153">
        <f>ROUND(E33*U33,2)</f>
        <v>5.48</v>
      </c>
      <c r="W33" s="153"/>
      <c r="X33" s="153" t="s">
        <v>107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108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5">
      <c r="A34" s="151"/>
      <c r="B34" s="152"/>
      <c r="C34" s="372" t="s">
        <v>114</v>
      </c>
      <c r="D34" s="373"/>
      <c r="E34" s="373"/>
      <c r="F34" s="373"/>
      <c r="G34" s="37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44"/>
      <c r="Z34" s="144"/>
      <c r="AA34" s="144"/>
      <c r="AB34" s="144"/>
      <c r="AC34" s="144"/>
      <c r="AD34" s="144"/>
      <c r="AE34" s="144"/>
      <c r="AF34" s="144"/>
      <c r="AG34" s="144" t="s">
        <v>109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5">
      <c r="A35" s="151"/>
      <c r="B35" s="152"/>
      <c r="C35" s="374"/>
      <c r="D35" s="375"/>
      <c r="E35" s="375"/>
      <c r="F35" s="375"/>
      <c r="G35" s="375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44"/>
      <c r="Z35" s="144"/>
      <c r="AA35" s="144"/>
      <c r="AB35" s="144"/>
      <c r="AC35" s="144"/>
      <c r="AD35" s="144"/>
      <c r="AE35" s="144"/>
      <c r="AF35" s="144"/>
      <c r="AG35" s="144" t="s">
        <v>92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5">
      <c r="A36" s="161">
        <v>10</v>
      </c>
      <c r="B36" s="162" t="s">
        <v>165</v>
      </c>
      <c r="C36" s="172" t="s">
        <v>166</v>
      </c>
      <c r="D36" s="163" t="s">
        <v>113</v>
      </c>
      <c r="E36" s="201">
        <v>30</v>
      </c>
      <c r="F36" s="165"/>
      <c r="G36" s="166">
        <f>ROUND(E36*F36,2)</f>
        <v>0</v>
      </c>
      <c r="H36" s="165">
        <v>0</v>
      </c>
      <c r="I36" s="166">
        <f>ROUND(E36*H36,2)</f>
        <v>0</v>
      </c>
      <c r="J36" s="165">
        <v>1273</v>
      </c>
      <c r="K36" s="166">
        <f>ROUND(E36*J36,2)</f>
        <v>38190</v>
      </c>
      <c r="L36" s="166">
        <v>21</v>
      </c>
      <c r="M36" s="166">
        <f>G36*(1+L36/100)</f>
        <v>0</v>
      </c>
      <c r="N36" s="166">
        <v>0</v>
      </c>
      <c r="O36" s="166">
        <f>ROUND(E36*N36,2)</f>
        <v>0</v>
      </c>
      <c r="P36" s="166">
        <v>0</v>
      </c>
      <c r="Q36" s="166">
        <f>ROUND(E36*P36,2)</f>
        <v>0</v>
      </c>
      <c r="R36" s="166" t="s">
        <v>112</v>
      </c>
      <c r="S36" s="217" t="s">
        <v>199</v>
      </c>
      <c r="T36" s="217" t="s">
        <v>199</v>
      </c>
      <c r="U36" s="153"/>
      <c r="V36" s="153"/>
      <c r="W36" s="153"/>
      <c r="X36" s="153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5">
      <c r="A37" s="151"/>
      <c r="B37" s="152"/>
      <c r="C37" s="372" t="s">
        <v>167</v>
      </c>
      <c r="D37" s="373"/>
      <c r="E37" s="373"/>
      <c r="F37" s="373"/>
      <c r="G37" s="37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5">
      <c r="A38" s="151"/>
      <c r="B38" s="152"/>
      <c r="C38" s="186"/>
      <c r="D38" s="187"/>
      <c r="E38" s="187"/>
      <c r="F38" s="187"/>
      <c r="G38" s="187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5">
      <c r="A39" s="161">
        <v>11</v>
      </c>
      <c r="B39" s="162" t="s">
        <v>116</v>
      </c>
      <c r="C39" s="172" t="s">
        <v>117</v>
      </c>
      <c r="D39" s="163" t="s">
        <v>113</v>
      </c>
      <c r="E39" s="164">
        <f>E31+E36</f>
        <v>240</v>
      </c>
      <c r="F39" s="165"/>
      <c r="G39" s="166">
        <f>ROUND(E39*F39,2)</f>
        <v>0</v>
      </c>
      <c r="H39" s="165">
        <v>0</v>
      </c>
      <c r="I39" s="166">
        <f>ROUND(E39*H39,2)</f>
        <v>0</v>
      </c>
      <c r="J39" s="165">
        <v>259.5</v>
      </c>
      <c r="K39" s="166">
        <f>ROUND(E39*J39,2)</f>
        <v>62280</v>
      </c>
      <c r="L39" s="166">
        <v>21</v>
      </c>
      <c r="M39" s="166">
        <f>G39*(1+L39/100)</f>
        <v>0</v>
      </c>
      <c r="N39" s="166">
        <v>0</v>
      </c>
      <c r="O39" s="166">
        <f>ROUND(E39*N39,2)</f>
        <v>0</v>
      </c>
      <c r="P39" s="166">
        <v>0</v>
      </c>
      <c r="Q39" s="166">
        <f>ROUND(E39*P39,2)</f>
        <v>0</v>
      </c>
      <c r="R39" s="166" t="s">
        <v>112</v>
      </c>
      <c r="S39" s="217" t="s">
        <v>199</v>
      </c>
      <c r="T39" s="217" t="s">
        <v>199</v>
      </c>
      <c r="U39" s="153">
        <v>5.1999999999999998E-3</v>
      </c>
      <c r="V39" s="153">
        <f>ROUND(E39*U39,2)</f>
        <v>1.25</v>
      </c>
      <c r="W39" s="153"/>
      <c r="X39" s="153" t="s">
        <v>107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108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5">
      <c r="A40" s="151"/>
      <c r="B40" s="152"/>
      <c r="C40" s="372" t="s">
        <v>118</v>
      </c>
      <c r="D40" s="373"/>
      <c r="E40" s="373"/>
      <c r="F40" s="373"/>
      <c r="G40" s="37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44"/>
      <c r="Z40" s="144"/>
      <c r="AA40" s="144"/>
      <c r="AB40" s="144"/>
      <c r="AC40" s="144"/>
      <c r="AD40" s="144"/>
      <c r="AE40" s="144"/>
      <c r="AF40" s="144"/>
      <c r="AG40" s="144" t="s">
        <v>109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5">
      <c r="A41" s="151"/>
      <c r="B41" s="152"/>
      <c r="C41" s="374"/>
      <c r="D41" s="375"/>
      <c r="E41" s="375"/>
      <c r="F41" s="375"/>
      <c r="G41" s="375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44"/>
      <c r="Z41" s="144"/>
      <c r="AA41" s="144"/>
      <c r="AB41" s="144"/>
      <c r="AC41" s="144"/>
      <c r="AD41" s="144"/>
      <c r="AE41" s="144"/>
      <c r="AF41" s="144"/>
      <c r="AG41" s="144" t="s">
        <v>92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s="207" customFormat="1" ht="20.399999999999999" outlineLevel="1" x14ac:dyDescent="0.25">
      <c r="A42" s="212">
        <v>12</v>
      </c>
      <c r="B42" s="213" t="s">
        <v>191</v>
      </c>
      <c r="C42" s="219" t="s">
        <v>192</v>
      </c>
      <c r="D42" s="214" t="s">
        <v>113</v>
      </c>
      <c r="E42" s="215">
        <f>E39*8</f>
        <v>1920</v>
      </c>
      <c r="F42" s="216"/>
      <c r="G42" s="217">
        <f>ROUND(E42*F42,2)</f>
        <v>0</v>
      </c>
      <c r="H42" s="216">
        <v>0</v>
      </c>
      <c r="I42" s="217">
        <f>ROUND(E42*H42,2)</f>
        <v>0</v>
      </c>
      <c r="J42" s="216">
        <v>21</v>
      </c>
      <c r="K42" s="217">
        <f>ROUND(E42*J42,2)</f>
        <v>40320</v>
      </c>
      <c r="L42" s="217">
        <v>21</v>
      </c>
      <c r="M42" s="217">
        <f>G42*(1+L42/100)</f>
        <v>0</v>
      </c>
      <c r="N42" s="217">
        <v>0</v>
      </c>
      <c r="O42" s="217">
        <f>ROUND(E42*N42,2)</f>
        <v>0</v>
      </c>
      <c r="P42" s="217">
        <v>0</v>
      </c>
      <c r="Q42" s="217">
        <f>ROUND(E42*P42,2)</f>
        <v>0</v>
      </c>
      <c r="R42" s="217" t="s">
        <v>112</v>
      </c>
      <c r="S42" s="217" t="s">
        <v>199</v>
      </c>
      <c r="T42" s="217" t="s">
        <v>199</v>
      </c>
      <c r="U42" s="211"/>
      <c r="V42" s="211"/>
      <c r="W42" s="211"/>
      <c r="X42" s="211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s="207" customFormat="1" outlineLevel="1" x14ac:dyDescent="0.25">
      <c r="A43" s="209"/>
      <c r="B43" s="210"/>
      <c r="C43" s="372" t="s">
        <v>118</v>
      </c>
      <c r="D43" s="373"/>
      <c r="E43" s="373"/>
      <c r="F43" s="373"/>
      <c r="G43" s="373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08"/>
      <c r="Z43" s="208"/>
      <c r="AA43" s="208"/>
      <c r="AB43" s="208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s="207" customFormat="1" outlineLevel="1" x14ac:dyDescent="0.25">
      <c r="A44" s="209"/>
      <c r="B44" s="210"/>
      <c r="C44" s="228"/>
      <c r="D44" s="229"/>
      <c r="E44" s="229"/>
      <c r="F44" s="229"/>
      <c r="G44" s="229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5">
      <c r="A45" s="161">
        <v>13</v>
      </c>
      <c r="B45" s="162" t="s">
        <v>119</v>
      </c>
      <c r="C45" s="172" t="s">
        <v>155</v>
      </c>
      <c r="D45" s="163" t="s">
        <v>113</v>
      </c>
      <c r="E45" s="164">
        <f>E39</f>
        <v>240</v>
      </c>
      <c r="F45" s="165"/>
      <c r="G45" s="166">
        <f>ROUND(E45*F45,2)</f>
        <v>0</v>
      </c>
      <c r="H45" s="165">
        <v>0</v>
      </c>
      <c r="I45" s="166">
        <f>ROUND(E45*H45,2)</f>
        <v>0</v>
      </c>
      <c r="J45" s="165">
        <v>265</v>
      </c>
      <c r="K45" s="166">
        <f>ROUND(E45*J45,2)</f>
        <v>63600</v>
      </c>
      <c r="L45" s="166">
        <v>21</v>
      </c>
      <c r="M45" s="166">
        <f>G45*(1+L45/100)</f>
        <v>0</v>
      </c>
      <c r="N45" s="166">
        <v>0</v>
      </c>
      <c r="O45" s="166">
        <f>ROUND(E45*N45,2)</f>
        <v>0</v>
      </c>
      <c r="P45" s="166">
        <v>0</v>
      </c>
      <c r="Q45" s="166">
        <f>ROUND(E45*P45,2)</f>
        <v>0</v>
      </c>
      <c r="R45" s="166" t="s">
        <v>112</v>
      </c>
      <c r="S45" s="217" t="s">
        <v>199</v>
      </c>
      <c r="T45" s="217" t="s">
        <v>199</v>
      </c>
      <c r="U45" s="153">
        <v>0.65200000000000002</v>
      </c>
      <c r="V45" s="153">
        <f>ROUND(E45*U45,2)</f>
        <v>156.47999999999999</v>
      </c>
      <c r="W45" s="153"/>
      <c r="X45" s="153" t="s">
        <v>107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108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5">
      <c r="A46" s="151"/>
      <c r="B46" s="152"/>
      <c r="C46" s="376"/>
      <c r="D46" s="377"/>
      <c r="E46" s="377"/>
      <c r="F46" s="377"/>
      <c r="G46" s="377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44"/>
      <c r="Z46" s="144"/>
      <c r="AA46" s="144"/>
      <c r="AB46" s="144"/>
      <c r="AC46" s="144"/>
      <c r="AD46" s="144"/>
      <c r="AE46" s="144"/>
      <c r="AF46" s="144"/>
      <c r="AG46" s="144" t="s">
        <v>92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5">
      <c r="A47" s="161">
        <v>14</v>
      </c>
      <c r="B47" s="162" t="s">
        <v>120</v>
      </c>
      <c r="C47" s="172" t="s">
        <v>153</v>
      </c>
      <c r="D47" s="163" t="s">
        <v>95</v>
      </c>
      <c r="E47" s="201">
        <v>150</v>
      </c>
      <c r="F47" s="165"/>
      <c r="G47" s="166">
        <f>ROUND(E47*F47,2)</f>
        <v>0</v>
      </c>
      <c r="H47" s="165">
        <v>1.68</v>
      </c>
      <c r="I47" s="166">
        <f>ROUND(E47*H47,2)</f>
        <v>252</v>
      </c>
      <c r="J47" s="165">
        <v>22.42</v>
      </c>
      <c r="K47" s="166">
        <f>ROUND(E47*J47,2)</f>
        <v>3363</v>
      </c>
      <c r="L47" s="166">
        <v>21</v>
      </c>
      <c r="M47" s="166">
        <f>G47*(1+L47/100)</f>
        <v>0</v>
      </c>
      <c r="N47" s="166">
        <v>0</v>
      </c>
      <c r="O47" s="166">
        <f>ROUND(E47*N47,2)</f>
        <v>0</v>
      </c>
      <c r="P47" s="166">
        <v>0</v>
      </c>
      <c r="Q47" s="166">
        <f>ROUND(E47*P47,2)</f>
        <v>0</v>
      </c>
      <c r="R47" s="166" t="s">
        <v>121</v>
      </c>
      <c r="S47" s="217" t="s">
        <v>199</v>
      </c>
      <c r="T47" s="217" t="s">
        <v>199</v>
      </c>
      <c r="U47" s="153">
        <v>0.06</v>
      </c>
      <c r="V47" s="153">
        <f>ROUND(E47*U47,2)</f>
        <v>9</v>
      </c>
      <c r="W47" s="153"/>
      <c r="X47" s="153" t="s">
        <v>107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108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5">
      <c r="A48" s="151"/>
      <c r="B48" s="152"/>
      <c r="C48" s="372" t="s">
        <v>122</v>
      </c>
      <c r="D48" s="373"/>
      <c r="E48" s="373"/>
      <c r="F48" s="373"/>
      <c r="G48" s="37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44"/>
      <c r="Z48" s="144"/>
      <c r="AA48" s="144"/>
      <c r="AB48" s="144"/>
      <c r="AC48" s="144"/>
      <c r="AD48" s="144"/>
      <c r="AE48" s="144"/>
      <c r="AF48" s="144"/>
      <c r="AG48" s="144" t="s">
        <v>109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5">
      <c r="A49" s="151"/>
      <c r="B49" s="152"/>
      <c r="C49" s="374"/>
      <c r="D49" s="375"/>
      <c r="E49" s="375"/>
      <c r="F49" s="375"/>
      <c r="G49" s="375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44"/>
      <c r="Z49" s="144"/>
      <c r="AA49" s="144"/>
      <c r="AB49" s="144"/>
      <c r="AC49" s="144"/>
      <c r="AD49" s="144"/>
      <c r="AE49" s="144"/>
      <c r="AF49" s="144"/>
      <c r="AG49" s="144" t="s">
        <v>92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5">
      <c r="A50" s="161">
        <v>15</v>
      </c>
      <c r="B50" s="200" t="s">
        <v>178</v>
      </c>
      <c r="C50" s="172" t="s">
        <v>169</v>
      </c>
      <c r="D50" s="163" t="s">
        <v>95</v>
      </c>
      <c r="E50" s="164">
        <v>150</v>
      </c>
      <c r="F50" s="165"/>
      <c r="G50" s="166">
        <f>ROUND(E50*F50,2)</f>
        <v>0</v>
      </c>
      <c r="H50" s="165">
        <v>0</v>
      </c>
      <c r="I50" s="166">
        <f>ROUND(E50*H50,2)</f>
        <v>0</v>
      </c>
      <c r="J50" s="165">
        <v>17.399999999999999</v>
      </c>
      <c r="K50" s="166">
        <f>ROUND(E50*J50,2)</f>
        <v>2610</v>
      </c>
      <c r="L50" s="166">
        <v>21</v>
      </c>
      <c r="M50" s="166">
        <f>G50*(1+L50/100)</f>
        <v>0</v>
      </c>
      <c r="N50" s="166">
        <v>0</v>
      </c>
      <c r="O50" s="166">
        <f>ROUND(E50*N50,2)</f>
        <v>0</v>
      </c>
      <c r="P50" s="166">
        <v>0</v>
      </c>
      <c r="Q50" s="166">
        <f>ROUND(E50*P50,2)</f>
        <v>0</v>
      </c>
      <c r="R50" s="166" t="s">
        <v>168</v>
      </c>
      <c r="S50" s="217" t="s">
        <v>199</v>
      </c>
      <c r="T50" s="217" t="s">
        <v>199</v>
      </c>
      <c r="U50" s="153"/>
      <c r="V50" s="153"/>
      <c r="W50" s="153"/>
      <c r="X50" s="153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ht="13.2" customHeight="1" outlineLevel="1" x14ac:dyDescent="0.25">
      <c r="A51" s="151"/>
      <c r="B51" s="152"/>
      <c r="C51" s="372" t="s">
        <v>170</v>
      </c>
      <c r="D51" s="373"/>
      <c r="E51" s="373"/>
      <c r="F51" s="373"/>
      <c r="G51" s="373"/>
      <c r="H51" s="190"/>
      <c r="I51" s="153"/>
      <c r="J51" s="190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5">
      <c r="A52" s="151"/>
      <c r="B52" s="152"/>
      <c r="C52" s="186"/>
      <c r="D52" s="187"/>
      <c r="E52" s="187"/>
      <c r="F52" s="187"/>
      <c r="G52" s="187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5">
      <c r="A53" s="161">
        <v>16</v>
      </c>
      <c r="B53" s="162" t="s">
        <v>176</v>
      </c>
      <c r="C53" s="172" t="s">
        <v>177</v>
      </c>
      <c r="D53" s="163" t="s">
        <v>95</v>
      </c>
      <c r="E53" s="164">
        <v>1445</v>
      </c>
      <c r="F53" s="165"/>
      <c r="G53" s="166">
        <f>ROUND(E53*F53,2)</f>
        <v>0</v>
      </c>
      <c r="H53" s="165">
        <v>0</v>
      </c>
      <c r="I53" s="166">
        <f>ROUND(E53*H53,2)</f>
        <v>0</v>
      </c>
      <c r="J53" s="165">
        <v>13.3</v>
      </c>
      <c r="K53" s="166">
        <f>ROUND(E53*J53,2)</f>
        <v>19218.5</v>
      </c>
      <c r="L53" s="166">
        <v>21</v>
      </c>
      <c r="M53" s="166">
        <f>G53*(1+L53/100)</f>
        <v>0</v>
      </c>
      <c r="N53" s="166">
        <v>0</v>
      </c>
      <c r="O53" s="166">
        <f>ROUND(E53*N53,2)</f>
        <v>0</v>
      </c>
      <c r="P53" s="166">
        <v>0</v>
      </c>
      <c r="Q53" s="166">
        <f>ROUND(E53*P53,2)</f>
        <v>0</v>
      </c>
      <c r="R53" s="166" t="s">
        <v>112</v>
      </c>
      <c r="S53" s="217" t="s">
        <v>199</v>
      </c>
      <c r="T53" s="217" t="s">
        <v>199</v>
      </c>
      <c r="U53" s="153"/>
      <c r="V53" s="153"/>
      <c r="W53" s="153"/>
      <c r="X53" s="153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5">
      <c r="A54" s="151"/>
      <c r="B54" s="152"/>
      <c r="C54" s="188"/>
      <c r="D54" s="189"/>
      <c r="E54" s="189"/>
      <c r="F54" s="189"/>
      <c r="G54" s="189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5">
      <c r="A55" s="161">
        <v>17</v>
      </c>
      <c r="B55" s="162" t="s">
        <v>194</v>
      </c>
      <c r="C55" s="172" t="s">
        <v>123</v>
      </c>
      <c r="D55" s="163" t="s">
        <v>113</v>
      </c>
      <c r="E55" s="164">
        <f>E45</f>
        <v>240</v>
      </c>
      <c r="F55" s="165"/>
      <c r="G55" s="166">
        <f>ROUND(E55*F55,2)</f>
        <v>0</v>
      </c>
      <c r="H55" s="165">
        <v>0</v>
      </c>
      <c r="I55" s="166">
        <f>ROUND(E55*H55,2)</f>
        <v>0</v>
      </c>
      <c r="J55" s="165">
        <v>282.5</v>
      </c>
      <c r="K55" s="166">
        <f>ROUND(E55*J55,2)</f>
        <v>67800</v>
      </c>
      <c r="L55" s="166">
        <v>21</v>
      </c>
      <c r="M55" s="166">
        <f>G55*(1+L55/100)</f>
        <v>0</v>
      </c>
      <c r="N55" s="166">
        <v>0</v>
      </c>
      <c r="O55" s="166">
        <f>ROUND(E55*N55,2)</f>
        <v>0</v>
      </c>
      <c r="P55" s="166">
        <v>0</v>
      </c>
      <c r="Q55" s="166">
        <f>ROUND(E55*P55,2)</f>
        <v>0</v>
      </c>
      <c r="R55" s="166" t="s">
        <v>112</v>
      </c>
      <c r="S55" s="217" t="s">
        <v>199</v>
      </c>
      <c r="T55" s="217" t="s">
        <v>199</v>
      </c>
      <c r="U55" s="153">
        <v>0</v>
      </c>
      <c r="V55" s="153">
        <f>ROUND(E55*U55,2)</f>
        <v>0</v>
      </c>
      <c r="W55" s="153"/>
      <c r="X55" s="153" t="s">
        <v>107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108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5">
      <c r="A56" s="151"/>
      <c r="B56" s="152"/>
      <c r="C56" s="376"/>
      <c r="D56" s="377"/>
      <c r="E56" s="377"/>
      <c r="F56" s="377"/>
      <c r="G56" s="377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44"/>
      <c r="Z56" s="144"/>
      <c r="AA56" s="144"/>
      <c r="AB56" s="144"/>
      <c r="AC56" s="144"/>
      <c r="AD56" s="144"/>
      <c r="AE56" s="144"/>
      <c r="AF56" s="144"/>
      <c r="AG56" s="144" t="s">
        <v>92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x14ac:dyDescent="0.25">
      <c r="A57" s="155" t="s">
        <v>90</v>
      </c>
      <c r="B57" s="156" t="s">
        <v>53</v>
      </c>
      <c r="C57" s="171" t="s">
        <v>54</v>
      </c>
      <c r="D57" s="157"/>
      <c r="E57" s="158"/>
      <c r="F57" s="159"/>
      <c r="G57" s="159">
        <f>SUMIF(AG58:AG84,"&lt;&gt;NOR",G58:G84)</f>
        <v>0</v>
      </c>
      <c r="H57" s="159"/>
      <c r="I57" s="159">
        <f>SUM(I58:I82)</f>
        <v>453821.55000000005</v>
      </c>
      <c r="J57" s="159"/>
      <c r="K57" s="159">
        <f>SUM(K58:K82)</f>
        <v>405235.15</v>
      </c>
      <c r="L57" s="159"/>
      <c r="M57" s="159">
        <f>SUMIF(AM58:AM84,"&lt;&gt;NOR",M58:M84)</f>
        <v>0</v>
      </c>
      <c r="N57" s="159"/>
      <c r="O57" s="159">
        <f>SUM(O58:O82)</f>
        <v>1005.1900000000002</v>
      </c>
      <c r="P57" s="159"/>
      <c r="Q57" s="159">
        <f>SUM(Q58:Q82)</f>
        <v>0</v>
      </c>
      <c r="R57" s="159"/>
      <c r="S57" s="159"/>
      <c r="T57" s="160"/>
      <c r="U57" s="154"/>
      <c r="V57" s="154" t="e">
        <f>SUM(V58:V82)</f>
        <v>#VALUE!</v>
      </c>
      <c r="W57" s="154"/>
      <c r="X57" s="154"/>
      <c r="Y57" s="84"/>
      <c r="AG57" t="s">
        <v>91</v>
      </c>
    </row>
    <row r="58" spans="1:60" ht="20.399999999999999" outlineLevel="1" x14ac:dyDescent="0.25">
      <c r="A58" s="161">
        <v>18</v>
      </c>
      <c r="B58" s="213" t="s">
        <v>190</v>
      </c>
      <c r="C58" s="219" t="s">
        <v>179</v>
      </c>
      <c r="D58" s="163" t="s">
        <v>95</v>
      </c>
      <c r="E58" s="164">
        <v>852</v>
      </c>
      <c r="F58" s="165"/>
      <c r="G58" s="166">
        <f>ROUND(E58*F58,2)</f>
        <v>0</v>
      </c>
      <c r="H58" s="165">
        <v>164.95</v>
      </c>
      <c r="I58" s="166">
        <f>ROUND(E58*H58,2)</f>
        <v>140537.4</v>
      </c>
      <c r="J58" s="165">
        <v>26.05</v>
      </c>
      <c r="K58" s="166">
        <f>ROUND(E58*J58,2)</f>
        <v>22194.6</v>
      </c>
      <c r="L58" s="166">
        <v>21</v>
      </c>
      <c r="M58" s="166">
        <f>G58*(1+L58/100)</f>
        <v>0</v>
      </c>
      <c r="N58" s="166">
        <v>0.378</v>
      </c>
      <c r="O58" s="166">
        <f>ROUND(E58*N58,2)</f>
        <v>322.06</v>
      </c>
      <c r="P58" s="166">
        <v>0</v>
      </c>
      <c r="Q58" s="166">
        <f>ROUND(E58*P58,2)</f>
        <v>0</v>
      </c>
      <c r="R58" s="166" t="s">
        <v>106</v>
      </c>
      <c r="S58" s="217" t="s">
        <v>199</v>
      </c>
      <c r="T58" s="217" t="s">
        <v>199</v>
      </c>
      <c r="U58" s="217" t="s">
        <v>199</v>
      </c>
      <c r="V58" s="153" t="e">
        <f>ROUND(E58*U58,2)</f>
        <v>#VALUE!</v>
      </c>
      <c r="W58" s="153"/>
      <c r="X58" s="153" t="s">
        <v>107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108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5">
      <c r="A59" s="151"/>
      <c r="B59" s="152"/>
      <c r="C59" s="376"/>
      <c r="D59" s="377"/>
      <c r="E59" s="377"/>
      <c r="F59" s="377"/>
      <c r="G59" s="377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44"/>
      <c r="Z59" s="144"/>
      <c r="AA59" s="144"/>
      <c r="AB59" s="144"/>
      <c r="AC59" s="144"/>
      <c r="AD59" s="144"/>
      <c r="AE59" s="144"/>
      <c r="AF59" s="144"/>
      <c r="AG59" s="144" t="s">
        <v>92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s="207" customFormat="1" ht="20.399999999999999" outlineLevel="1" x14ac:dyDescent="0.25">
      <c r="A60" s="212">
        <v>19</v>
      </c>
      <c r="B60" s="213" t="s">
        <v>253</v>
      </c>
      <c r="C60" s="219" t="s">
        <v>254</v>
      </c>
      <c r="D60" s="214" t="s">
        <v>95</v>
      </c>
      <c r="E60" s="201">
        <v>593</v>
      </c>
      <c r="F60" s="216"/>
      <c r="G60" s="217">
        <f>ROUND(E60*F60,2)</f>
        <v>0</v>
      </c>
      <c r="H60" s="216">
        <v>164.95</v>
      </c>
      <c r="I60" s="217">
        <f>ROUND(E60*H60,2)</f>
        <v>97815.35</v>
      </c>
      <c r="J60" s="216">
        <v>26.05</v>
      </c>
      <c r="K60" s="217">
        <f>ROUND(E60*J60,2)</f>
        <v>15447.65</v>
      </c>
      <c r="L60" s="217">
        <v>21</v>
      </c>
      <c r="M60" s="217">
        <f>G60*(1+L60/100)</f>
        <v>0</v>
      </c>
      <c r="N60" s="217">
        <v>0.378</v>
      </c>
      <c r="O60" s="217">
        <f>ROUND(E60*N60,2)</f>
        <v>224.15</v>
      </c>
      <c r="P60" s="217">
        <v>0</v>
      </c>
      <c r="Q60" s="217">
        <f>ROUND(E60*P60,2)</f>
        <v>0</v>
      </c>
      <c r="R60" s="217" t="s">
        <v>106</v>
      </c>
      <c r="S60" s="217" t="s">
        <v>199</v>
      </c>
      <c r="T60" s="217" t="s">
        <v>199</v>
      </c>
      <c r="U60" s="211"/>
      <c r="V60" s="211"/>
      <c r="W60" s="211"/>
      <c r="X60" s="211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s="207" customFormat="1" outlineLevel="1" x14ac:dyDescent="0.25">
      <c r="A61" s="209"/>
      <c r="B61" s="210"/>
      <c r="C61" s="230"/>
      <c r="D61" s="231"/>
      <c r="E61" s="231"/>
      <c r="F61" s="231"/>
      <c r="G61" s="23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0.399999999999999" outlineLevel="1" x14ac:dyDescent="0.25">
      <c r="A62" s="161">
        <v>20</v>
      </c>
      <c r="B62" s="200" t="s">
        <v>320</v>
      </c>
      <c r="C62" s="172" t="s">
        <v>319</v>
      </c>
      <c r="D62" s="163" t="s">
        <v>95</v>
      </c>
      <c r="E62" s="201">
        <v>852</v>
      </c>
      <c r="F62" s="165"/>
      <c r="G62" s="166">
        <f>ROUND(E62*F62,2)</f>
        <v>0</v>
      </c>
      <c r="H62" s="165">
        <v>164.95</v>
      </c>
      <c r="I62" s="166">
        <f>ROUND(E62*H62,2)</f>
        <v>140537.4</v>
      </c>
      <c r="J62" s="165">
        <v>26.05</v>
      </c>
      <c r="K62" s="166">
        <f>ROUND(E62*J62,2)</f>
        <v>22194.6</v>
      </c>
      <c r="L62" s="166">
        <v>21</v>
      </c>
      <c r="M62" s="166">
        <f>G62*(1+L62/100)</f>
        <v>0</v>
      </c>
      <c r="N62" s="166">
        <v>0.378</v>
      </c>
      <c r="O62" s="166">
        <f>ROUND(E62*N62,2)</f>
        <v>322.06</v>
      </c>
      <c r="P62" s="166">
        <v>0</v>
      </c>
      <c r="Q62" s="166">
        <f>ROUND(E62*P62,2)</f>
        <v>0</v>
      </c>
      <c r="R62" s="166" t="s">
        <v>106</v>
      </c>
      <c r="S62" s="217" t="s">
        <v>199</v>
      </c>
      <c r="T62" s="217" t="s">
        <v>199</v>
      </c>
      <c r="U62" s="153"/>
      <c r="V62" s="153"/>
      <c r="W62" s="153"/>
      <c r="X62" s="153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5">
      <c r="A63" s="151"/>
      <c r="B63" s="152"/>
      <c r="C63" s="184"/>
      <c r="D63" s="185"/>
      <c r="E63" s="185"/>
      <c r="F63" s="185"/>
      <c r="G63" s="185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s="207" customFormat="1" ht="20.399999999999999" outlineLevel="1" x14ac:dyDescent="0.25">
      <c r="A64" s="212">
        <v>21</v>
      </c>
      <c r="B64" s="213" t="s">
        <v>255</v>
      </c>
      <c r="C64" s="219" t="s">
        <v>256</v>
      </c>
      <c r="D64" s="214" t="s">
        <v>95</v>
      </c>
      <c r="E64" s="215">
        <v>4</v>
      </c>
      <c r="F64" s="216"/>
      <c r="G64" s="217">
        <f>ROUND(E64*F64,2)</f>
        <v>0</v>
      </c>
      <c r="H64" s="216">
        <v>13.66</v>
      </c>
      <c r="I64" s="217">
        <f>ROUND(E64*H64,2)</f>
        <v>54.64</v>
      </c>
      <c r="J64" s="216">
        <v>1.1399999999999999</v>
      </c>
      <c r="K64" s="217">
        <f>ROUND(E64*J64,2)</f>
        <v>4.5599999999999996</v>
      </c>
      <c r="L64" s="217">
        <v>21</v>
      </c>
      <c r="M64" s="217">
        <f>G64*(1+L64/100)</f>
        <v>0</v>
      </c>
      <c r="N64" s="217">
        <v>6.0999999999999997E-4</v>
      </c>
      <c r="O64" s="217">
        <f>ROUND(E64*N64,2)</f>
        <v>0</v>
      </c>
      <c r="P64" s="217">
        <v>0</v>
      </c>
      <c r="Q64" s="217">
        <f>ROUND(E64*P64,2)</f>
        <v>0</v>
      </c>
      <c r="R64" s="217" t="s">
        <v>106</v>
      </c>
      <c r="S64" s="217" t="s">
        <v>199</v>
      </c>
      <c r="T64" s="217" t="s">
        <v>199</v>
      </c>
      <c r="U64" s="211"/>
      <c r="V64" s="211"/>
      <c r="W64" s="211"/>
      <c r="X64" s="211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s="207" customFormat="1" outlineLevel="1" x14ac:dyDescent="0.25">
      <c r="A65" s="209"/>
      <c r="B65" s="210"/>
      <c r="C65" s="261"/>
      <c r="D65" s="262"/>
      <c r="E65" s="262"/>
      <c r="F65" s="262"/>
      <c r="G65" s="262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s="207" customFormat="1" outlineLevel="1" x14ac:dyDescent="0.25">
      <c r="A66" s="212">
        <v>22</v>
      </c>
      <c r="B66" s="213" t="s">
        <v>322</v>
      </c>
      <c r="C66" s="219" t="s">
        <v>321</v>
      </c>
      <c r="D66" s="214" t="s">
        <v>95</v>
      </c>
      <c r="E66" s="215">
        <v>4</v>
      </c>
      <c r="F66" s="216"/>
      <c r="G66" s="217">
        <f>ROUND(E66*F66,2)</f>
        <v>0</v>
      </c>
      <c r="H66" s="216">
        <v>212.06</v>
      </c>
      <c r="I66" s="217">
        <f>ROUND(E66*H66,2)</f>
        <v>848.24</v>
      </c>
      <c r="J66" s="216">
        <v>128.94</v>
      </c>
      <c r="K66" s="217">
        <f>ROUND(E66*J66,2)</f>
        <v>515.76</v>
      </c>
      <c r="L66" s="217">
        <v>21</v>
      </c>
      <c r="M66" s="217">
        <f>G66*(1+L66/100)</f>
        <v>0</v>
      </c>
      <c r="N66" s="217">
        <v>0.10373</v>
      </c>
      <c r="O66" s="217">
        <f>ROUND(E66*N66,2)</f>
        <v>0.41</v>
      </c>
      <c r="P66" s="217">
        <v>0</v>
      </c>
      <c r="Q66" s="217">
        <f>ROUND(E66*P66,2)</f>
        <v>0</v>
      </c>
      <c r="R66" s="217" t="s">
        <v>106</v>
      </c>
      <c r="S66" s="217" t="s">
        <v>199</v>
      </c>
      <c r="T66" s="217" t="s">
        <v>199</v>
      </c>
      <c r="U66" s="211"/>
      <c r="V66" s="211"/>
      <c r="W66" s="211"/>
      <c r="X66" s="211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s="207" customFormat="1" outlineLevel="1" x14ac:dyDescent="0.25">
      <c r="A67" s="209"/>
      <c r="B67" s="210"/>
      <c r="C67" s="230"/>
      <c r="D67" s="231"/>
      <c r="E67" s="231"/>
      <c r="F67" s="231"/>
      <c r="G67" s="231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s="207" customFormat="1" outlineLevel="1" x14ac:dyDescent="0.25">
      <c r="A68" s="212">
        <v>23</v>
      </c>
      <c r="B68" s="213" t="s">
        <v>342</v>
      </c>
      <c r="C68" s="219" t="s">
        <v>341</v>
      </c>
      <c r="D68" s="214" t="s">
        <v>95</v>
      </c>
      <c r="E68" s="215">
        <v>2</v>
      </c>
      <c r="F68" s="216"/>
      <c r="G68" s="217">
        <f>ROUND(E68*F68,2)</f>
        <v>0</v>
      </c>
      <c r="H68" s="216">
        <v>51.16</v>
      </c>
      <c r="I68" s="217">
        <f>ROUND(E68*H68,2)</f>
        <v>102.32</v>
      </c>
      <c r="J68" s="216">
        <v>238.34</v>
      </c>
      <c r="K68" s="217">
        <f>ROUND(E68*J68,2)</f>
        <v>476.68</v>
      </c>
      <c r="L68" s="217">
        <v>21</v>
      </c>
      <c r="M68" s="217">
        <f>G68*(1+L68/100)</f>
        <v>0</v>
      </c>
      <c r="N68" s="217">
        <v>9.2799999999999994E-2</v>
      </c>
      <c r="O68" s="217">
        <f>ROUND(E68*N68,2)</f>
        <v>0.19</v>
      </c>
      <c r="P68" s="217">
        <v>0</v>
      </c>
      <c r="Q68" s="217">
        <f>ROUND(E68*P68,2)</f>
        <v>0</v>
      </c>
      <c r="R68" s="217" t="s">
        <v>106</v>
      </c>
      <c r="S68" s="217" t="s">
        <v>199</v>
      </c>
      <c r="T68" s="217" t="s">
        <v>199</v>
      </c>
      <c r="U68" s="211"/>
      <c r="V68" s="211"/>
      <c r="W68" s="211"/>
      <c r="X68" s="211"/>
      <c r="Y68" s="208"/>
      <c r="Z68" s="208"/>
      <c r="AA68" s="208"/>
      <c r="AB68" s="208"/>
      <c r="AC68" s="208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s="207" customFormat="1" ht="21.6" customHeight="1" outlineLevel="1" x14ac:dyDescent="0.25">
      <c r="A69" s="209"/>
      <c r="B69" s="210"/>
      <c r="C69" s="372" t="s">
        <v>125</v>
      </c>
      <c r="D69" s="373"/>
      <c r="E69" s="373"/>
      <c r="F69" s="373"/>
      <c r="G69" s="373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08"/>
      <c r="Z69" s="208"/>
      <c r="AA69" s="208"/>
      <c r="AB69" s="208"/>
      <c r="AC69" s="208"/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s="207" customFormat="1" outlineLevel="1" x14ac:dyDescent="0.25">
      <c r="A70" s="209"/>
      <c r="B70" s="210"/>
      <c r="C70" s="279"/>
      <c r="D70" s="280"/>
      <c r="E70" s="280"/>
      <c r="F70" s="280"/>
      <c r="G70" s="280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08"/>
      <c r="Z70" s="208"/>
      <c r="AA70" s="208"/>
      <c r="AB70" s="208"/>
      <c r="AC70" s="208"/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s="207" customFormat="1" outlineLevel="1" x14ac:dyDescent="0.25">
      <c r="A71" s="212">
        <v>24</v>
      </c>
      <c r="B71" s="213" t="s">
        <v>343</v>
      </c>
      <c r="C71" s="219" t="s">
        <v>252</v>
      </c>
      <c r="D71" s="214" t="s">
        <v>95</v>
      </c>
      <c r="E71" s="215">
        <v>2</v>
      </c>
      <c r="F71" s="216"/>
      <c r="G71" s="217">
        <f>ROUND(E71*F71,2)</f>
        <v>0</v>
      </c>
      <c r="H71" s="211"/>
      <c r="I71" s="211"/>
      <c r="J71" s="211"/>
      <c r="K71" s="211"/>
      <c r="L71" s="217">
        <v>21</v>
      </c>
      <c r="M71" s="217">
        <f>G71*(1+L71/100)</f>
        <v>0</v>
      </c>
      <c r="N71" s="217">
        <v>0.17599999999999999</v>
      </c>
      <c r="O71" s="217">
        <f>ROUND(E71*N71,2)</f>
        <v>0.35</v>
      </c>
      <c r="P71" s="217">
        <v>0</v>
      </c>
      <c r="Q71" s="217">
        <f>ROUND(E71*P71,2)</f>
        <v>0</v>
      </c>
      <c r="R71" s="217" t="s">
        <v>93</v>
      </c>
      <c r="S71" s="217" t="s">
        <v>199</v>
      </c>
      <c r="T71" s="217" t="s">
        <v>199</v>
      </c>
      <c r="U71" s="211"/>
      <c r="V71" s="211"/>
      <c r="W71" s="211"/>
      <c r="X71" s="211"/>
      <c r="Y71" s="208"/>
      <c r="Z71" s="208"/>
      <c r="AA71" s="208"/>
      <c r="AB71" s="208"/>
      <c r="AC71" s="208"/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s="207" customFormat="1" outlineLevel="1" x14ac:dyDescent="0.25">
      <c r="A72" s="209"/>
      <c r="B72" s="210"/>
      <c r="C72" s="277"/>
      <c r="D72" s="278"/>
      <c r="E72" s="278"/>
      <c r="F72" s="278"/>
      <c r="G72" s="278"/>
      <c r="H72" s="211"/>
      <c r="I72" s="211"/>
      <c r="J72" s="211"/>
      <c r="K72" s="211"/>
      <c r="L72" s="211"/>
      <c r="M72" s="211"/>
      <c r="N72" s="211"/>
      <c r="O72" s="211"/>
      <c r="P72" s="211"/>
      <c r="Q72" s="211"/>
      <c r="R72" s="211"/>
      <c r="S72" s="211"/>
      <c r="T72" s="211"/>
      <c r="U72" s="211"/>
      <c r="V72" s="211"/>
      <c r="W72" s="211"/>
      <c r="X72" s="211"/>
      <c r="Y72" s="208"/>
      <c r="Z72" s="208"/>
      <c r="AA72" s="208"/>
      <c r="AB72" s="208"/>
      <c r="AC72" s="208"/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s="207" customFormat="1" outlineLevel="1" x14ac:dyDescent="0.25">
      <c r="A73" s="212">
        <v>25</v>
      </c>
      <c r="B73" s="213" t="s">
        <v>250</v>
      </c>
      <c r="C73" s="219" t="s">
        <v>248</v>
      </c>
      <c r="D73" s="214" t="s">
        <v>95</v>
      </c>
      <c r="E73" s="201">
        <f>355+585</f>
        <v>940</v>
      </c>
      <c r="F73" s="216"/>
      <c r="G73" s="217">
        <f>ROUND(E73*F73,2)</f>
        <v>0</v>
      </c>
      <c r="H73" s="216">
        <v>51.16</v>
      </c>
      <c r="I73" s="217">
        <f>ROUND(E73*H73,2)</f>
        <v>48090.400000000001</v>
      </c>
      <c r="J73" s="216">
        <v>238.34</v>
      </c>
      <c r="K73" s="217">
        <f>ROUND(E73*J73,2)</f>
        <v>224039.6</v>
      </c>
      <c r="L73" s="217">
        <v>21</v>
      </c>
      <c r="M73" s="217">
        <f>G73*(1+L73/100)</f>
        <v>0</v>
      </c>
      <c r="N73" s="217">
        <v>9.2799999999999994E-2</v>
      </c>
      <c r="O73" s="217">
        <f>ROUND(E73*N73,2)</f>
        <v>87.23</v>
      </c>
      <c r="P73" s="217">
        <v>0</v>
      </c>
      <c r="Q73" s="217">
        <f>ROUND(E73*P73,2)</f>
        <v>0</v>
      </c>
      <c r="R73" s="217" t="s">
        <v>106</v>
      </c>
      <c r="S73" s="217" t="s">
        <v>199</v>
      </c>
      <c r="T73" s="217" t="s">
        <v>199</v>
      </c>
      <c r="U73" s="211"/>
      <c r="V73" s="211"/>
      <c r="W73" s="211"/>
      <c r="X73" s="211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s="207" customFormat="1" outlineLevel="1" x14ac:dyDescent="0.25">
      <c r="A74" s="209"/>
      <c r="B74" s="210"/>
      <c r="C74" s="372" t="s">
        <v>247</v>
      </c>
      <c r="D74" s="373"/>
      <c r="E74" s="373"/>
      <c r="F74" s="373"/>
      <c r="G74" s="373"/>
      <c r="H74" s="211"/>
      <c r="I74" s="211"/>
      <c r="J74" s="211"/>
      <c r="K74" s="211"/>
      <c r="L74" s="211"/>
      <c r="M74" s="211"/>
      <c r="N74" s="211"/>
      <c r="O74" s="211"/>
      <c r="P74" s="211"/>
      <c r="Q74" s="211"/>
      <c r="R74" s="211"/>
      <c r="S74" s="211"/>
      <c r="T74" s="211"/>
      <c r="U74" s="211"/>
      <c r="V74" s="211"/>
      <c r="W74" s="211"/>
      <c r="X74" s="211"/>
      <c r="Y74" s="208"/>
      <c r="Z74" s="208"/>
      <c r="AA74" s="208"/>
      <c r="AB74" s="208"/>
      <c r="AC74" s="208"/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s="207" customFormat="1" outlineLevel="1" x14ac:dyDescent="0.25">
      <c r="A75" s="209"/>
      <c r="B75" s="210"/>
      <c r="C75" s="261"/>
      <c r="D75" s="262"/>
      <c r="E75" s="262"/>
      <c r="F75" s="262"/>
      <c r="G75" s="262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08"/>
      <c r="Z75" s="208"/>
      <c r="AA75" s="208"/>
      <c r="AB75" s="208"/>
      <c r="AC75" s="208"/>
      <c r="AD75" s="208"/>
      <c r="AE75" s="208"/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s="207" customFormat="1" outlineLevel="1" x14ac:dyDescent="0.25">
      <c r="A76" s="212">
        <v>26</v>
      </c>
      <c r="B76" s="213" t="s">
        <v>251</v>
      </c>
      <c r="C76" s="219" t="s">
        <v>249</v>
      </c>
      <c r="D76" s="214" t="s">
        <v>124</v>
      </c>
      <c r="E76" s="215">
        <v>5</v>
      </c>
      <c r="F76" s="216"/>
      <c r="G76" s="217">
        <f>ROUND(E76*F76,2)</f>
        <v>0</v>
      </c>
      <c r="H76" s="211"/>
      <c r="I76" s="211"/>
      <c r="J76" s="211"/>
      <c r="K76" s="211"/>
      <c r="L76" s="217">
        <v>21</v>
      </c>
      <c r="M76" s="217">
        <f>G76*(1+L76/100)</f>
        <v>0</v>
      </c>
      <c r="N76" s="217">
        <v>0.188</v>
      </c>
      <c r="O76" s="217">
        <f>ROUND(E76*N76,2)</f>
        <v>0.94</v>
      </c>
      <c r="P76" s="217">
        <v>0</v>
      </c>
      <c r="Q76" s="217">
        <f>ROUND(E76*P76,2)</f>
        <v>0</v>
      </c>
      <c r="R76" s="217" t="s">
        <v>93</v>
      </c>
      <c r="S76" s="217" t="s">
        <v>199</v>
      </c>
      <c r="T76" s="218" t="s">
        <v>98</v>
      </c>
      <c r="U76" s="211"/>
      <c r="V76" s="211"/>
      <c r="W76" s="211"/>
      <c r="X76" s="211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s="207" customFormat="1" outlineLevel="1" x14ac:dyDescent="0.25">
      <c r="A77" s="209"/>
      <c r="B77" s="210"/>
      <c r="C77" s="372" t="s">
        <v>323</v>
      </c>
      <c r="D77" s="373"/>
      <c r="E77" s="373"/>
      <c r="F77" s="373"/>
      <c r="G77" s="373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s="207" customFormat="1" outlineLevel="1" x14ac:dyDescent="0.25">
      <c r="A78" s="209"/>
      <c r="B78" s="210"/>
      <c r="C78" s="261"/>
      <c r="D78" s="262"/>
      <c r="E78" s="262"/>
      <c r="F78" s="262"/>
      <c r="G78" s="262"/>
      <c r="H78" s="211"/>
      <c r="I78" s="211"/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s="203" customFormat="1" ht="12.75" customHeight="1" outlineLevel="1" x14ac:dyDescent="0.25">
      <c r="A79" s="212">
        <v>27</v>
      </c>
      <c r="B79" s="213" t="s">
        <v>326</v>
      </c>
      <c r="C79" s="219" t="s">
        <v>324</v>
      </c>
      <c r="D79" s="214" t="s">
        <v>95</v>
      </c>
      <c r="E79" s="201">
        <f>267+238</f>
        <v>505</v>
      </c>
      <c r="F79" s="216"/>
      <c r="G79" s="217">
        <f>ROUND(E79*F79,2)</f>
        <v>0</v>
      </c>
      <c r="H79" s="216">
        <v>51.16</v>
      </c>
      <c r="I79" s="217">
        <f>ROUND(E79*H79,2)</f>
        <v>25835.8</v>
      </c>
      <c r="J79" s="216">
        <v>238.34</v>
      </c>
      <c r="K79" s="217">
        <f>ROUND(E79*J79,2)</f>
        <v>120361.7</v>
      </c>
      <c r="L79" s="217">
        <v>21</v>
      </c>
      <c r="M79" s="217">
        <f>G79*(1+L79/100)</f>
        <v>0</v>
      </c>
      <c r="N79" s="217">
        <v>9.2799999999999994E-2</v>
      </c>
      <c r="O79" s="217">
        <f>ROUND(E79*N79,2)</f>
        <v>46.86</v>
      </c>
      <c r="P79" s="217">
        <v>0</v>
      </c>
      <c r="Q79" s="217">
        <f>ROUND(E79*P79,2)</f>
        <v>0</v>
      </c>
      <c r="R79" s="217" t="s">
        <v>106</v>
      </c>
      <c r="S79" s="217" t="s">
        <v>199</v>
      </c>
      <c r="T79" s="217" t="s">
        <v>199</v>
      </c>
      <c r="U79" s="205"/>
      <c r="V79" s="205"/>
      <c r="W79" s="205"/>
      <c r="X79" s="205"/>
      <c r="Y79" s="204"/>
      <c r="Z79" s="204"/>
      <c r="AA79" s="204"/>
      <c r="AB79" s="204"/>
      <c r="AC79" s="204"/>
      <c r="AD79" s="204"/>
      <c r="AE79" s="204"/>
      <c r="AF79" s="204"/>
      <c r="AG79" s="204"/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s="203" customFormat="1" ht="12.75" customHeight="1" outlineLevel="1" x14ac:dyDescent="0.25">
      <c r="A80" s="209"/>
      <c r="B80" s="210"/>
      <c r="C80" s="372" t="s">
        <v>247</v>
      </c>
      <c r="D80" s="373"/>
      <c r="E80" s="373"/>
      <c r="F80" s="373"/>
      <c r="G80" s="373"/>
      <c r="H80" s="211"/>
      <c r="I80" s="211"/>
      <c r="J80" s="211"/>
      <c r="K80" s="211"/>
      <c r="L80" s="211"/>
      <c r="M80" s="211"/>
      <c r="N80" s="211"/>
      <c r="O80" s="211"/>
      <c r="P80" s="211"/>
      <c r="Q80" s="211"/>
      <c r="R80" s="211"/>
      <c r="S80" s="211"/>
      <c r="T80" s="211"/>
      <c r="U80" s="205"/>
      <c r="V80" s="205"/>
      <c r="W80" s="205"/>
      <c r="X80" s="205"/>
      <c r="Y80" s="204"/>
      <c r="Z80" s="204"/>
      <c r="AA80" s="204"/>
      <c r="AB80" s="204"/>
      <c r="AC80" s="204"/>
      <c r="AD80" s="204"/>
      <c r="AE80" s="204"/>
      <c r="AF80" s="204"/>
      <c r="AG80" s="204"/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s="203" customFormat="1" ht="12.75" customHeight="1" outlineLevel="1" x14ac:dyDescent="0.25">
      <c r="A81" s="209"/>
      <c r="B81" s="210"/>
      <c r="C81" s="279"/>
      <c r="D81" s="280"/>
      <c r="E81" s="280"/>
      <c r="F81" s="280"/>
      <c r="G81" s="280"/>
      <c r="H81" s="211"/>
      <c r="I81" s="211"/>
      <c r="J81" s="211"/>
      <c r="K81" s="211"/>
      <c r="L81" s="211"/>
      <c r="M81" s="211"/>
      <c r="N81" s="211"/>
      <c r="O81" s="211"/>
      <c r="P81" s="211"/>
      <c r="Q81" s="211"/>
      <c r="R81" s="211"/>
      <c r="S81" s="211"/>
      <c r="T81" s="211"/>
      <c r="U81" s="205"/>
      <c r="V81" s="205"/>
      <c r="W81" s="205"/>
      <c r="X81" s="205"/>
      <c r="Y81" s="204"/>
      <c r="Z81" s="204"/>
      <c r="AA81" s="204"/>
      <c r="AB81" s="204"/>
      <c r="AC81" s="204"/>
      <c r="AD81" s="204"/>
      <c r="AE81" s="204"/>
      <c r="AF81" s="204"/>
      <c r="AG81" s="204"/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 x14ac:dyDescent="0.25">
      <c r="A82" s="212">
        <v>28</v>
      </c>
      <c r="B82" s="213" t="s">
        <v>327</v>
      </c>
      <c r="C82" s="219" t="s">
        <v>325</v>
      </c>
      <c r="D82" s="214" t="s">
        <v>124</v>
      </c>
      <c r="E82" s="215">
        <v>5</v>
      </c>
      <c r="F82" s="216"/>
      <c r="G82" s="217">
        <f>ROUND(E82*F82,2)</f>
        <v>0</v>
      </c>
      <c r="H82" s="211"/>
      <c r="I82" s="211"/>
      <c r="J82" s="211"/>
      <c r="K82" s="211"/>
      <c r="L82" s="217">
        <v>21</v>
      </c>
      <c r="M82" s="217">
        <f>G82*(1+L82/100)</f>
        <v>0</v>
      </c>
      <c r="N82" s="217">
        <v>0.188</v>
      </c>
      <c r="O82" s="217">
        <f>ROUND(E82*N82,2)</f>
        <v>0.94</v>
      </c>
      <c r="P82" s="217">
        <v>0</v>
      </c>
      <c r="Q82" s="217">
        <f>ROUND(E82*P82,2)</f>
        <v>0</v>
      </c>
      <c r="R82" s="217" t="s">
        <v>93</v>
      </c>
      <c r="S82" s="217" t="s">
        <v>199</v>
      </c>
      <c r="T82" s="218" t="s">
        <v>98</v>
      </c>
      <c r="U82" s="153"/>
      <c r="V82" s="153"/>
      <c r="W82" s="153"/>
      <c r="X82" s="153"/>
      <c r="Y82" s="144"/>
      <c r="Z82" s="144"/>
      <c r="AA82" s="144"/>
      <c r="AB82" s="144"/>
      <c r="AC82" s="144"/>
      <c r="AD82" s="144"/>
      <c r="AE82" s="144"/>
      <c r="AF82" s="144"/>
      <c r="AG82" s="144" t="s">
        <v>92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ht="13.2" customHeight="1" outlineLevel="1" x14ac:dyDescent="0.25">
      <c r="A83" s="209"/>
      <c r="B83" s="210"/>
      <c r="C83" s="372" t="s">
        <v>323</v>
      </c>
      <c r="D83" s="373"/>
      <c r="E83" s="373"/>
      <c r="F83" s="373"/>
      <c r="G83" s="373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153"/>
      <c r="V83" s="153"/>
      <c r="W83" s="153"/>
      <c r="X83" s="153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5">
      <c r="A84" s="209"/>
      <c r="B84" s="210"/>
      <c r="C84" s="279"/>
      <c r="D84" s="280"/>
      <c r="E84" s="280"/>
      <c r="F84" s="280"/>
      <c r="G84" s="280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153"/>
      <c r="V84" s="153"/>
      <c r="W84" s="153"/>
      <c r="X84" s="153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5">
      <c r="A85" s="155" t="s">
        <v>90</v>
      </c>
      <c r="B85" s="156" t="s">
        <v>55</v>
      </c>
      <c r="C85" s="171" t="s">
        <v>56</v>
      </c>
      <c r="D85" s="157"/>
      <c r="E85" s="158"/>
      <c r="F85" s="159"/>
      <c r="G85" s="159">
        <f>SUMIF(AG86:AG116,"&lt;&gt;NOR",G86:G116)</f>
        <v>0</v>
      </c>
      <c r="H85" s="159"/>
      <c r="I85" s="159">
        <f>SUM(I86:I102)</f>
        <v>108496.84</v>
      </c>
      <c r="J85" s="159"/>
      <c r="K85" s="159">
        <f>SUM(K86:K102)</f>
        <v>44050.659999999996</v>
      </c>
      <c r="L85" s="159"/>
      <c r="M85" s="159">
        <f>SUMIF(AM86:AM116,"&lt;&gt;NOR",M86:M116)</f>
        <v>0</v>
      </c>
      <c r="N85" s="159"/>
      <c r="O85" s="159">
        <f>SUM(O86:O102)</f>
        <v>87.27</v>
      </c>
      <c r="P85" s="159"/>
      <c r="Q85" s="159">
        <f>SUM(Q86:Q102)</f>
        <v>0</v>
      </c>
      <c r="R85" s="159"/>
      <c r="S85" s="159"/>
      <c r="T85" s="160"/>
      <c r="U85" s="154"/>
      <c r="V85" s="154">
        <f>SUM(V86:V102)</f>
        <v>80.78</v>
      </c>
      <c r="W85" s="154"/>
      <c r="X85" s="154"/>
      <c r="AG85" t="s">
        <v>91</v>
      </c>
    </row>
    <row r="86" spans="1:60" ht="20.399999999999999" outlineLevel="1" x14ac:dyDescent="0.25">
      <c r="A86" s="161">
        <v>29</v>
      </c>
      <c r="B86" s="162" t="s">
        <v>329</v>
      </c>
      <c r="C86" s="172" t="s">
        <v>328</v>
      </c>
      <c r="D86" s="163" t="s">
        <v>111</v>
      </c>
      <c r="E86" s="201">
        <f>257+17+23</f>
        <v>297</v>
      </c>
      <c r="F86" s="165"/>
      <c r="G86" s="166">
        <f>ROUND(E86*F86,2)</f>
        <v>0</v>
      </c>
      <c r="H86" s="165">
        <v>320.33</v>
      </c>
      <c r="I86" s="166">
        <f>ROUND(E86*H86,2)</f>
        <v>95138.01</v>
      </c>
      <c r="J86" s="165">
        <v>128.16999999999999</v>
      </c>
      <c r="K86" s="166">
        <f>ROUND(E86*J86,2)</f>
        <v>38066.49</v>
      </c>
      <c r="L86" s="166">
        <v>21</v>
      </c>
      <c r="M86" s="166">
        <f>G86*(1+L86/100)</f>
        <v>0</v>
      </c>
      <c r="N86" s="166">
        <v>0.26980999999999999</v>
      </c>
      <c r="O86" s="166">
        <f>ROUND(E86*N86,2)</f>
        <v>80.13</v>
      </c>
      <c r="P86" s="166">
        <v>0</v>
      </c>
      <c r="Q86" s="166">
        <f>ROUND(E86*P86,2)</f>
        <v>0</v>
      </c>
      <c r="R86" s="166" t="s">
        <v>106</v>
      </c>
      <c r="S86" s="217" t="s">
        <v>199</v>
      </c>
      <c r="T86" s="217" t="s">
        <v>199</v>
      </c>
      <c r="U86" s="153">
        <v>0.27200000000000002</v>
      </c>
      <c r="V86" s="153">
        <f>ROUND(E86*U86,2)</f>
        <v>80.78</v>
      </c>
      <c r="W86" s="153"/>
      <c r="X86" s="153" t="s">
        <v>107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108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5">
      <c r="A87" s="151"/>
      <c r="B87" s="152"/>
      <c r="C87" s="372" t="s">
        <v>156</v>
      </c>
      <c r="D87" s="373"/>
      <c r="E87" s="373"/>
      <c r="F87" s="373"/>
      <c r="G87" s="37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44"/>
      <c r="Z87" s="144"/>
      <c r="AA87" s="144"/>
      <c r="AB87" s="144"/>
      <c r="AC87" s="144"/>
      <c r="AD87" s="144"/>
      <c r="AE87" s="144"/>
      <c r="AF87" s="144"/>
      <c r="AG87" s="144" t="s">
        <v>109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5">
      <c r="A88" s="151"/>
      <c r="B88" s="152"/>
      <c r="C88" s="374"/>
      <c r="D88" s="375"/>
      <c r="E88" s="375"/>
      <c r="F88" s="375"/>
      <c r="G88" s="375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s="207" customFormat="1" outlineLevel="1" x14ac:dyDescent="0.25">
      <c r="A89" s="212">
        <v>30</v>
      </c>
      <c r="B89" s="213" t="s">
        <v>330</v>
      </c>
      <c r="C89" s="219" t="s">
        <v>331</v>
      </c>
      <c r="D89" s="214" t="s">
        <v>111</v>
      </c>
      <c r="E89" s="215">
        <v>30</v>
      </c>
      <c r="F89" s="216"/>
      <c r="G89" s="217">
        <f>ROUND(E89*F89,2)</f>
        <v>0</v>
      </c>
      <c r="H89" s="216">
        <v>143</v>
      </c>
      <c r="I89" s="217">
        <f>ROUND(E89*H89,2)</f>
        <v>4290</v>
      </c>
      <c r="J89" s="216">
        <v>0</v>
      </c>
      <c r="K89" s="217">
        <f>ROUND(E89*J89,2)</f>
        <v>0</v>
      </c>
      <c r="L89" s="217">
        <v>21</v>
      </c>
      <c r="M89" s="217">
        <f>G89*(1+L89/100)</f>
        <v>0</v>
      </c>
      <c r="N89" s="217">
        <v>5.4170000000000003E-2</v>
      </c>
      <c r="O89" s="217">
        <f>ROUND(E89*N89,2)</f>
        <v>1.63</v>
      </c>
      <c r="P89" s="217">
        <v>0</v>
      </c>
      <c r="Q89" s="217">
        <f>ROUND(E89*P89,2)</f>
        <v>0</v>
      </c>
      <c r="R89" s="217" t="s">
        <v>93</v>
      </c>
      <c r="S89" s="217" t="s">
        <v>199</v>
      </c>
      <c r="T89" s="217" t="s">
        <v>98</v>
      </c>
      <c r="U89" s="211"/>
      <c r="V89" s="211"/>
      <c r="W89" s="211"/>
      <c r="X89" s="211"/>
      <c r="Y89" s="208"/>
      <c r="Z89" s="208"/>
      <c r="AA89" s="208"/>
      <c r="AB89" s="208"/>
      <c r="AC89" s="208"/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s="207" customFormat="1" outlineLevel="1" x14ac:dyDescent="0.25">
      <c r="A90" s="209"/>
      <c r="B90" s="210"/>
      <c r="C90" s="261"/>
      <c r="D90" s="262"/>
      <c r="E90" s="262"/>
      <c r="F90" s="262"/>
      <c r="G90" s="262"/>
      <c r="H90" s="211"/>
      <c r="I90" s="211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08"/>
      <c r="Z90" s="208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5">
      <c r="A91" s="161">
        <v>31</v>
      </c>
      <c r="B91" s="213" t="s">
        <v>330</v>
      </c>
      <c r="C91" s="219" t="s">
        <v>332</v>
      </c>
      <c r="D91" s="214" t="s">
        <v>111</v>
      </c>
      <c r="E91" s="215">
        <v>23</v>
      </c>
      <c r="F91" s="216"/>
      <c r="G91" s="217">
        <f>ROUND(E91*F91,2)</f>
        <v>0</v>
      </c>
      <c r="H91" s="216">
        <v>143</v>
      </c>
      <c r="I91" s="217">
        <f>ROUND(E91*H91,2)</f>
        <v>3289</v>
      </c>
      <c r="J91" s="216">
        <v>0</v>
      </c>
      <c r="K91" s="217">
        <f>ROUND(E91*J91,2)</f>
        <v>0</v>
      </c>
      <c r="L91" s="217">
        <v>21</v>
      </c>
      <c r="M91" s="217">
        <f>G91*(1+L91/100)</f>
        <v>0</v>
      </c>
      <c r="N91" s="217">
        <v>5.4170000000000003E-2</v>
      </c>
      <c r="O91" s="217">
        <f>ROUND(E91*N91,2)</f>
        <v>1.25</v>
      </c>
      <c r="P91" s="217">
        <v>0</v>
      </c>
      <c r="Q91" s="217">
        <f>ROUND(E91*P91,2)</f>
        <v>0</v>
      </c>
      <c r="R91" s="217" t="s">
        <v>93</v>
      </c>
      <c r="S91" s="217" t="s">
        <v>199</v>
      </c>
      <c r="T91" s="217" t="s">
        <v>98</v>
      </c>
      <c r="U91" s="153"/>
      <c r="V91" s="153"/>
      <c r="W91" s="153"/>
      <c r="X91" s="153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5">
      <c r="A92" s="151"/>
      <c r="B92" s="152"/>
      <c r="C92" s="374"/>
      <c r="D92" s="375"/>
      <c r="E92" s="375"/>
      <c r="F92" s="375"/>
      <c r="G92" s="375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s="207" customFormat="1" outlineLevel="1" x14ac:dyDescent="0.25">
      <c r="A93" s="212">
        <v>32</v>
      </c>
      <c r="B93" s="200" t="s">
        <v>333</v>
      </c>
      <c r="C93" s="219" t="s">
        <v>335</v>
      </c>
      <c r="D93" s="214" t="s">
        <v>111</v>
      </c>
      <c r="E93" s="215">
        <v>11</v>
      </c>
      <c r="F93" s="216"/>
      <c r="G93" s="217">
        <f>ROUND(E93*F93,2)</f>
        <v>0</v>
      </c>
      <c r="H93" s="216">
        <v>339.99</v>
      </c>
      <c r="I93" s="217">
        <f>ROUND(E93*H93,2)</f>
        <v>3739.89</v>
      </c>
      <c r="J93" s="216">
        <v>352.01</v>
      </c>
      <c r="K93" s="217">
        <f>ROUND(E93*J93,2)</f>
        <v>3872.11</v>
      </c>
      <c r="L93" s="217">
        <v>21</v>
      </c>
      <c r="M93" s="217">
        <f>G93*(1+L93/100)</f>
        <v>0</v>
      </c>
      <c r="N93" s="217">
        <v>0.25080000000000002</v>
      </c>
      <c r="O93" s="217">
        <f>ROUND(E93*N93,2)</f>
        <v>2.76</v>
      </c>
      <c r="P93" s="217">
        <v>0</v>
      </c>
      <c r="Q93" s="217">
        <f>ROUND(E93*P93,2)</f>
        <v>0</v>
      </c>
      <c r="R93" s="217" t="s">
        <v>106</v>
      </c>
      <c r="S93" s="217" t="s">
        <v>199</v>
      </c>
      <c r="T93" s="217" t="s">
        <v>199</v>
      </c>
      <c r="U93" s="211"/>
      <c r="V93" s="211"/>
      <c r="W93" s="211"/>
      <c r="X93" s="211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s="207" customFormat="1" outlineLevel="1" x14ac:dyDescent="0.25">
      <c r="A94" s="209"/>
      <c r="B94" s="210"/>
      <c r="C94" s="191" t="s">
        <v>208</v>
      </c>
      <c r="D94" s="246"/>
      <c r="E94" s="247"/>
      <c r="F94" s="244"/>
      <c r="G94" s="211"/>
      <c r="H94" s="190"/>
      <c r="I94" s="211"/>
      <c r="J94" s="190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08"/>
      <c r="Z94" s="208"/>
      <c r="AA94" s="208"/>
      <c r="AB94" s="208"/>
      <c r="AC94" s="208"/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s="207" customFormat="1" outlineLevel="1" x14ac:dyDescent="0.25">
      <c r="A95" s="209"/>
      <c r="B95" s="210"/>
      <c r="C95" s="374"/>
      <c r="D95" s="375"/>
      <c r="E95" s="375"/>
      <c r="F95" s="375"/>
      <c r="G95" s="375"/>
      <c r="H95" s="211"/>
      <c r="I95" s="211"/>
      <c r="J95" s="211"/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08"/>
      <c r="Z95" s="208"/>
      <c r="AA95" s="208"/>
      <c r="AB95" s="208"/>
      <c r="AC95" s="208"/>
      <c r="AD95" s="208"/>
      <c r="AE95" s="208"/>
      <c r="AF95" s="208"/>
      <c r="AG95" s="208"/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s="207" customFormat="1" outlineLevel="1" x14ac:dyDescent="0.25">
      <c r="A96" s="212">
        <v>33</v>
      </c>
      <c r="B96" s="200" t="s">
        <v>334</v>
      </c>
      <c r="C96" s="219" t="s">
        <v>206</v>
      </c>
      <c r="D96" s="214" t="s">
        <v>94</v>
      </c>
      <c r="E96" s="215">
        <v>3</v>
      </c>
      <c r="F96" s="216"/>
      <c r="G96" s="217">
        <f>ROUND(E96*F96,2)</f>
        <v>0</v>
      </c>
      <c r="H96" s="216">
        <v>339.99</v>
      </c>
      <c r="I96" s="217">
        <f>ROUND(E96*H96,2)</f>
        <v>1019.97</v>
      </c>
      <c r="J96" s="216">
        <v>352.01</v>
      </c>
      <c r="K96" s="217">
        <f>ROUND(E96*J96,2)</f>
        <v>1056.03</v>
      </c>
      <c r="L96" s="217">
        <v>21</v>
      </c>
      <c r="M96" s="217">
        <f>G96*(1+L96/100)</f>
        <v>0</v>
      </c>
      <c r="N96" s="217">
        <v>0.25080000000000002</v>
      </c>
      <c r="O96" s="217">
        <f>ROUND(E96*N96,2)</f>
        <v>0.75</v>
      </c>
      <c r="P96" s="217">
        <v>0</v>
      </c>
      <c r="Q96" s="217">
        <f>ROUND(E96*P96,2)</f>
        <v>0</v>
      </c>
      <c r="R96" s="217" t="s">
        <v>106</v>
      </c>
      <c r="S96" s="217" t="s">
        <v>199</v>
      </c>
      <c r="T96" s="217" t="s">
        <v>199</v>
      </c>
      <c r="U96" s="211"/>
      <c r="V96" s="211"/>
      <c r="W96" s="211"/>
      <c r="X96" s="211"/>
      <c r="Y96" s="208"/>
      <c r="Z96" s="208"/>
      <c r="AA96" s="208"/>
      <c r="AB96" s="208"/>
      <c r="AC96" s="208"/>
      <c r="AD96" s="208"/>
      <c r="AE96" s="208"/>
      <c r="AF96" s="208"/>
      <c r="AG96" s="208"/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s="207" customFormat="1" outlineLevel="1" x14ac:dyDescent="0.25">
      <c r="A97" s="209"/>
      <c r="B97" s="210"/>
      <c r="C97" s="191" t="s">
        <v>207</v>
      </c>
      <c r="D97" s="192"/>
      <c r="E97" s="193"/>
      <c r="F97" s="206"/>
      <c r="G97" s="194"/>
      <c r="H97" s="190"/>
      <c r="I97" s="211"/>
      <c r="J97" s="190"/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08"/>
      <c r="Z97" s="208"/>
      <c r="AA97" s="208"/>
      <c r="AB97" s="208"/>
      <c r="AC97" s="208"/>
      <c r="AD97" s="208"/>
      <c r="AE97" s="208"/>
      <c r="AF97" s="208"/>
      <c r="AG97" s="208"/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5">
      <c r="A98" s="209"/>
      <c r="B98" s="210"/>
      <c r="C98" s="374"/>
      <c r="D98" s="375"/>
      <c r="E98" s="375"/>
      <c r="F98" s="375"/>
      <c r="G98" s="375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153"/>
      <c r="V98" s="153"/>
      <c r="W98" s="153"/>
      <c r="X98" s="153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s="207" customFormat="1" outlineLevel="1" x14ac:dyDescent="0.25">
      <c r="A99" s="212">
        <v>34</v>
      </c>
      <c r="B99" s="200" t="s">
        <v>339</v>
      </c>
      <c r="C99" s="219" t="s">
        <v>340</v>
      </c>
      <c r="D99" s="214" t="s">
        <v>94</v>
      </c>
      <c r="E99" s="215">
        <v>1</v>
      </c>
      <c r="F99" s="216"/>
      <c r="G99" s="217">
        <f>ROUND(E99*F99,2)</f>
        <v>0</v>
      </c>
      <c r="H99" s="216">
        <v>339.99</v>
      </c>
      <c r="I99" s="217">
        <f>ROUND(E99*H99,2)</f>
        <v>339.99</v>
      </c>
      <c r="J99" s="216">
        <v>352.01</v>
      </c>
      <c r="K99" s="217">
        <f>ROUND(E99*J99,2)</f>
        <v>352.01</v>
      </c>
      <c r="L99" s="217">
        <v>21</v>
      </c>
      <c r="M99" s="217">
        <f>G99*(1+L99/100)</f>
        <v>0</v>
      </c>
      <c r="N99" s="217">
        <v>0.25080000000000002</v>
      </c>
      <c r="O99" s="217">
        <f>ROUND(E99*N99,2)</f>
        <v>0.25</v>
      </c>
      <c r="P99" s="217">
        <v>0</v>
      </c>
      <c r="Q99" s="217">
        <f>ROUND(E99*P99,2)</f>
        <v>0</v>
      </c>
      <c r="R99" s="217" t="s">
        <v>106</v>
      </c>
      <c r="S99" s="217" t="s">
        <v>199</v>
      </c>
      <c r="T99" s="217" t="s">
        <v>199</v>
      </c>
      <c r="U99" s="211"/>
      <c r="V99" s="211"/>
      <c r="W99" s="211"/>
      <c r="X99" s="211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s="207" customFormat="1" outlineLevel="1" x14ac:dyDescent="0.25">
      <c r="A100" s="209"/>
      <c r="B100" s="210"/>
      <c r="C100" s="279"/>
      <c r="D100" s="280"/>
      <c r="E100" s="280"/>
      <c r="F100" s="280"/>
      <c r="G100" s="280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11"/>
      <c r="S100" s="211"/>
      <c r="T100" s="211"/>
      <c r="U100" s="211"/>
      <c r="V100" s="211"/>
      <c r="W100" s="211"/>
      <c r="X100" s="211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5">
      <c r="A101" s="223">
        <v>35</v>
      </c>
      <c r="B101" s="200" t="s">
        <v>337</v>
      </c>
      <c r="C101" s="224" t="s">
        <v>336</v>
      </c>
      <c r="D101" s="225" t="s">
        <v>94</v>
      </c>
      <c r="E101" s="201">
        <v>2</v>
      </c>
      <c r="F101" s="216"/>
      <c r="G101" s="226">
        <f>ROUND(E101*F101,2)</f>
        <v>0</v>
      </c>
      <c r="H101" s="227">
        <v>339.99</v>
      </c>
      <c r="I101" s="226">
        <f>ROUND(E101*H101,2)</f>
        <v>679.98</v>
      </c>
      <c r="J101" s="227">
        <v>352.01</v>
      </c>
      <c r="K101" s="226">
        <f>ROUND(E101*J101,2)</f>
        <v>704.02</v>
      </c>
      <c r="L101" s="226">
        <v>21</v>
      </c>
      <c r="M101" s="226">
        <f>G101*(1+L101/100)</f>
        <v>0</v>
      </c>
      <c r="N101" s="226">
        <v>0.25080000000000002</v>
      </c>
      <c r="O101" s="226">
        <f>ROUND(E101*N101,2)</f>
        <v>0.5</v>
      </c>
      <c r="P101" s="226">
        <v>0</v>
      </c>
      <c r="Q101" s="226">
        <f>ROUND(E101*P101,2)</f>
        <v>0</v>
      </c>
      <c r="R101" s="226" t="s">
        <v>106</v>
      </c>
      <c r="S101" s="217" t="s">
        <v>199</v>
      </c>
      <c r="T101" s="217" t="s">
        <v>199</v>
      </c>
      <c r="U101" s="153"/>
      <c r="V101" s="153"/>
      <c r="W101" s="153"/>
      <c r="X101" s="153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5">
      <c r="A102" s="209"/>
      <c r="B102" s="210"/>
      <c r="C102" s="279"/>
      <c r="D102" s="280"/>
      <c r="E102" s="280"/>
      <c r="F102" s="280"/>
      <c r="G102" s="280"/>
      <c r="H102" s="211"/>
      <c r="I102" s="211"/>
      <c r="J102" s="211"/>
      <c r="K102" s="211"/>
      <c r="L102" s="211"/>
      <c r="M102" s="211"/>
      <c r="N102" s="211"/>
      <c r="O102" s="211"/>
      <c r="P102" s="211"/>
      <c r="Q102" s="211"/>
      <c r="R102" s="211"/>
      <c r="S102" s="211"/>
      <c r="T102" s="211"/>
      <c r="U102" s="153"/>
      <c r="V102" s="153"/>
      <c r="W102" s="153"/>
      <c r="X102" s="153"/>
      <c r="Y102" s="144"/>
      <c r="Z102" s="144"/>
      <c r="AA102" s="144"/>
      <c r="AB102" s="144"/>
      <c r="AC102" s="144"/>
      <c r="AD102" s="144"/>
      <c r="AE102" s="144"/>
      <c r="AF102" s="144"/>
      <c r="AG102" s="144" t="s">
        <v>109</v>
      </c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s="207" customFormat="1" ht="20.399999999999999" outlineLevel="1" x14ac:dyDescent="0.25">
      <c r="A103" s="223">
        <v>36</v>
      </c>
      <c r="B103" s="200" t="s">
        <v>351</v>
      </c>
      <c r="C103" s="224" t="s">
        <v>350</v>
      </c>
      <c r="D103" s="225" t="s">
        <v>94</v>
      </c>
      <c r="E103" s="201">
        <v>7</v>
      </c>
      <c r="F103" s="216"/>
      <c r="G103" s="226">
        <f>ROUND(E103*F103,2)</f>
        <v>0</v>
      </c>
      <c r="H103" s="227">
        <v>339.99</v>
      </c>
      <c r="I103" s="226">
        <f>ROUND(E103*H103,2)</f>
        <v>2379.9299999999998</v>
      </c>
      <c r="J103" s="227">
        <v>352.01</v>
      </c>
      <c r="K103" s="226">
        <f>ROUND(E103*J103,2)</f>
        <v>2464.0700000000002</v>
      </c>
      <c r="L103" s="226">
        <v>21</v>
      </c>
      <c r="M103" s="226">
        <f>G103*(1+L103/100)</f>
        <v>0</v>
      </c>
      <c r="N103" s="226">
        <v>0.25080000000000002</v>
      </c>
      <c r="O103" s="226">
        <f>ROUND(E103*N103,2)</f>
        <v>1.76</v>
      </c>
      <c r="P103" s="226">
        <v>0</v>
      </c>
      <c r="Q103" s="226">
        <f>ROUND(E103*P103,2)</f>
        <v>0</v>
      </c>
      <c r="R103" s="226" t="s">
        <v>106</v>
      </c>
      <c r="S103" s="217" t="s">
        <v>199</v>
      </c>
      <c r="T103" s="218" t="s">
        <v>98</v>
      </c>
      <c r="U103" s="211"/>
      <c r="V103" s="211"/>
      <c r="W103" s="211"/>
      <c r="X103" s="211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s="207" customFormat="1" outlineLevel="1" x14ac:dyDescent="0.25">
      <c r="A104" s="209"/>
      <c r="B104" s="210"/>
      <c r="C104" s="279"/>
      <c r="D104" s="280"/>
      <c r="E104" s="280"/>
      <c r="F104" s="280"/>
      <c r="G104" s="280"/>
      <c r="H104" s="211"/>
      <c r="I104" s="211"/>
      <c r="J104" s="211"/>
      <c r="K104" s="211"/>
      <c r="L104" s="21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s="207" customFormat="1" outlineLevel="1" x14ac:dyDescent="0.25">
      <c r="A105" s="223">
        <v>37</v>
      </c>
      <c r="B105" s="200" t="s">
        <v>352</v>
      </c>
      <c r="C105" s="224" t="s">
        <v>258</v>
      </c>
      <c r="D105" s="225" t="s">
        <v>94</v>
      </c>
      <c r="E105" s="201">
        <v>3</v>
      </c>
      <c r="F105" s="216"/>
      <c r="G105" s="226">
        <f>ROUND(E105*F105,2)</f>
        <v>0</v>
      </c>
      <c r="H105" s="227">
        <v>339.99</v>
      </c>
      <c r="I105" s="226">
        <f>ROUND(E105*H105,2)</f>
        <v>1019.97</v>
      </c>
      <c r="J105" s="227">
        <v>352.01</v>
      </c>
      <c r="K105" s="226">
        <f>ROUND(E105*J105,2)</f>
        <v>1056.03</v>
      </c>
      <c r="L105" s="226">
        <v>21</v>
      </c>
      <c r="M105" s="226">
        <f>G105*(1+L105/100)</f>
        <v>0</v>
      </c>
      <c r="N105" s="226">
        <v>0.25080000000000002</v>
      </c>
      <c r="O105" s="226">
        <f>ROUND(E105*N105,2)</f>
        <v>0.75</v>
      </c>
      <c r="P105" s="226">
        <v>0</v>
      </c>
      <c r="Q105" s="226">
        <f>ROUND(E105*P105,2)</f>
        <v>0</v>
      </c>
      <c r="R105" s="226" t="s">
        <v>106</v>
      </c>
      <c r="S105" s="217" t="s">
        <v>199</v>
      </c>
      <c r="T105" s="218" t="s">
        <v>98</v>
      </c>
      <c r="U105" s="211"/>
      <c r="V105" s="211"/>
      <c r="W105" s="211"/>
      <c r="X105" s="211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s="207" customFormat="1" outlineLevel="1" x14ac:dyDescent="0.25">
      <c r="A106" s="209"/>
      <c r="B106" s="210"/>
      <c r="C106" s="279"/>
      <c r="D106" s="280"/>
      <c r="E106" s="280"/>
      <c r="F106" s="280"/>
      <c r="G106" s="280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s="207" customFormat="1" outlineLevel="1" x14ac:dyDescent="0.25">
      <c r="A107" s="223">
        <v>38</v>
      </c>
      <c r="B107" s="200" t="s">
        <v>357</v>
      </c>
      <c r="C107" s="224" t="s">
        <v>353</v>
      </c>
      <c r="D107" s="225" t="s">
        <v>111</v>
      </c>
      <c r="E107" s="201">
        <v>15</v>
      </c>
      <c r="F107" s="216"/>
      <c r="G107" s="226">
        <f>ROUND(E107*F107,2)</f>
        <v>0</v>
      </c>
      <c r="H107" s="227">
        <v>339.99</v>
      </c>
      <c r="I107" s="226">
        <f>ROUND(E107*H107,2)</f>
        <v>5099.8500000000004</v>
      </c>
      <c r="J107" s="227">
        <v>352.01</v>
      </c>
      <c r="K107" s="226">
        <f>ROUND(E107*J107,2)</f>
        <v>5280.15</v>
      </c>
      <c r="L107" s="226">
        <v>21</v>
      </c>
      <c r="M107" s="226">
        <f>G107*(1+L107/100)</f>
        <v>0</v>
      </c>
      <c r="N107" s="226">
        <v>0.25080000000000002</v>
      </c>
      <c r="O107" s="226">
        <f>ROUND(E107*N107,2)</f>
        <v>3.76</v>
      </c>
      <c r="P107" s="226">
        <v>0</v>
      </c>
      <c r="Q107" s="226">
        <f>ROUND(E107*P107,2)</f>
        <v>0</v>
      </c>
      <c r="R107" s="226" t="s">
        <v>106</v>
      </c>
      <c r="S107" s="217" t="s">
        <v>199</v>
      </c>
      <c r="T107" s="218" t="s">
        <v>98</v>
      </c>
      <c r="U107" s="211"/>
      <c r="V107" s="211"/>
      <c r="W107" s="211"/>
      <c r="X107" s="211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s="207" customFormat="1" outlineLevel="1" x14ac:dyDescent="0.25">
      <c r="A108" s="209"/>
      <c r="B108" s="210"/>
      <c r="C108" s="191" t="s">
        <v>354</v>
      </c>
      <c r="D108" s="285"/>
      <c r="E108" s="285"/>
      <c r="F108" s="285"/>
      <c r="G108" s="285"/>
      <c r="H108" s="211"/>
      <c r="I108" s="211"/>
      <c r="J108" s="211"/>
      <c r="K108" s="211"/>
      <c r="L108" s="211"/>
      <c r="M108" s="211"/>
      <c r="N108" s="211"/>
      <c r="O108" s="211"/>
      <c r="P108" s="211"/>
      <c r="Q108" s="211"/>
      <c r="R108" s="211"/>
      <c r="S108" s="211"/>
      <c r="T108" s="211"/>
      <c r="U108" s="211"/>
      <c r="V108" s="211"/>
      <c r="W108" s="211"/>
      <c r="X108" s="211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s="207" customFormat="1" outlineLevel="1" x14ac:dyDescent="0.25">
      <c r="A109" s="209"/>
      <c r="B109" s="210"/>
      <c r="C109" s="279"/>
      <c r="D109" s="280"/>
      <c r="E109" s="280"/>
      <c r="F109" s="280"/>
      <c r="G109" s="280"/>
      <c r="H109" s="211"/>
      <c r="I109" s="211"/>
      <c r="J109" s="211"/>
      <c r="K109" s="211"/>
      <c r="L109" s="211"/>
      <c r="M109" s="211"/>
      <c r="N109" s="211"/>
      <c r="O109" s="211"/>
      <c r="P109" s="211"/>
      <c r="Q109" s="211"/>
      <c r="R109" s="211"/>
      <c r="S109" s="211"/>
      <c r="T109" s="211"/>
      <c r="U109" s="211"/>
      <c r="V109" s="211"/>
      <c r="W109" s="211"/>
      <c r="X109" s="211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s="207" customFormat="1" outlineLevel="1" x14ac:dyDescent="0.25">
      <c r="A110" s="223">
        <v>39</v>
      </c>
      <c r="B110" s="200" t="s">
        <v>359</v>
      </c>
      <c r="C110" s="224" t="s">
        <v>355</v>
      </c>
      <c r="D110" s="225" t="s">
        <v>111</v>
      </c>
      <c r="E110" s="201">
        <v>4</v>
      </c>
      <c r="F110" s="216"/>
      <c r="G110" s="226">
        <f>ROUND(E110*F110,2)</f>
        <v>0</v>
      </c>
      <c r="H110" s="227">
        <v>339.99</v>
      </c>
      <c r="I110" s="226">
        <f>ROUND(E110*H110,2)</f>
        <v>1359.96</v>
      </c>
      <c r="J110" s="227">
        <v>352.01</v>
      </c>
      <c r="K110" s="226">
        <f>ROUND(E110*J110,2)</f>
        <v>1408.04</v>
      </c>
      <c r="L110" s="226">
        <v>21</v>
      </c>
      <c r="M110" s="226">
        <f>G110*(1+L110/100)</f>
        <v>0</v>
      </c>
      <c r="N110" s="226">
        <v>0.25080000000000002</v>
      </c>
      <c r="O110" s="226">
        <f>ROUND(E110*N110,2)</f>
        <v>1</v>
      </c>
      <c r="P110" s="226">
        <v>0</v>
      </c>
      <c r="Q110" s="226">
        <f>ROUND(E110*P110,2)</f>
        <v>0</v>
      </c>
      <c r="R110" s="226" t="s">
        <v>106</v>
      </c>
      <c r="S110" s="217" t="s">
        <v>199</v>
      </c>
      <c r="T110" s="218" t="s">
        <v>98</v>
      </c>
      <c r="U110" s="211"/>
      <c r="V110" s="211"/>
      <c r="W110" s="211"/>
      <c r="X110" s="211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s="207" customFormat="1" outlineLevel="1" x14ac:dyDescent="0.25">
      <c r="A111" s="209"/>
      <c r="B111" s="210"/>
      <c r="C111" s="191" t="s">
        <v>356</v>
      </c>
      <c r="D111" s="285"/>
      <c r="E111" s="285"/>
      <c r="F111" s="285"/>
      <c r="G111" s="285"/>
      <c r="H111" s="211"/>
      <c r="I111" s="211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s="207" customFormat="1" outlineLevel="1" x14ac:dyDescent="0.25">
      <c r="A112" s="209"/>
      <c r="B112" s="210"/>
      <c r="C112" s="279"/>
      <c r="D112" s="280"/>
      <c r="E112" s="280"/>
      <c r="F112" s="280"/>
      <c r="G112" s="280"/>
      <c r="H112" s="211"/>
      <c r="I112" s="211"/>
      <c r="J112" s="211"/>
      <c r="K112" s="211"/>
      <c r="L112" s="211"/>
      <c r="M112" s="211"/>
      <c r="N112" s="211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s="207" customFormat="1" outlineLevel="1" x14ac:dyDescent="0.25">
      <c r="A113" s="223">
        <v>40</v>
      </c>
      <c r="B113" s="200" t="s">
        <v>360</v>
      </c>
      <c r="C113" s="224" t="s">
        <v>358</v>
      </c>
      <c r="D113" s="225" t="s">
        <v>94</v>
      </c>
      <c r="E113" s="201">
        <v>4</v>
      </c>
      <c r="F113" s="216"/>
      <c r="G113" s="226">
        <f>ROUND(E113*F113,2)</f>
        <v>0</v>
      </c>
      <c r="H113" s="227">
        <v>339.99</v>
      </c>
      <c r="I113" s="226">
        <f>ROUND(E113*H113,2)</f>
        <v>1359.96</v>
      </c>
      <c r="J113" s="227">
        <v>352.01</v>
      </c>
      <c r="K113" s="226">
        <f>ROUND(E113*J113,2)</f>
        <v>1408.04</v>
      </c>
      <c r="L113" s="226">
        <v>21</v>
      </c>
      <c r="M113" s="226">
        <f>G113*(1+L113/100)</f>
        <v>0</v>
      </c>
      <c r="N113" s="226">
        <v>0.25080000000000002</v>
      </c>
      <c r="O113" s="226">
        <f>ROUND(E113*N113,2)</f>
        <v>1</v>
      </c>
      <c r="P113" s="226">
        <v>0</v>
      </c>
      <c r="Q113" s="226">
        <f>ROUND(E113*P113,2)</f>
        <v>0</v>
      </c>
      <c r="R113" s="226" t="s">
        <v>106</v>
      </c>
      <c r="S113" s="217" t="s">
        <v>199</v>
      </c>
      <c r="T113" s="218" t="s">
        <v>98</v>
      </c>
      <c r="U113" s="211"/>
      <c r="V113" s="211"/>
      <c r="W113" s="211"/>
      <c r="X113" s="211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s="207" customFormat="1" outlineLevel="1" x14ac:dyDescent="0.25">
      <c r="A114" s="209"/>
      <c r="B114" s="210"/>
      <c r="C114" s="279"/>
      <c r="D114" s="280"/>
      <c r="E114" s="280"/>
      <c r="F114" s="280"/>
      <c r="G114" s="280"/>
      <c r="H114" s="211"/>
      <c r="I114" s="211"/>
      <c r="J114" s="211"/>
      <c r="K114" s="211"/>
      <c r="L114" s="211"/>
      <c r="M114" s="211"/>
      <c r="N114" s="211"/>
      <c r="O114" s="211"/>
      <c r="P114" s="211"/>
      <c r="Q114" s="211"/>
      <c r="R114" s="211"/>
      <c r="S114" s="211"/>
      <c r="T114" s="211"/>
      <c r="U114" s="211"/>
      <c r="V114" s="211"/>
      <c r="W114" s="211"/>
      <c r="X114" s="211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s="207" customFormat="1" outlineLevel="1" x14ac:dyDescent="0.25">
      <c r="A115" s="212">
        <v>41</v>
      </c>
      <c r="B115" s="213" t="s">
        <v>200</v>
      </c>
      <c r="C115" s="219" t="s">
        <v>338</v>
      </c>
      <c r="D115" s="214" t="s">
        <v>111</v>
      </c>
      <c r="E115" s="215">
        <v>8</v>
      </c>
      <c r="F115" s="216"/>
      <c r="G115" s="217">
        <f>ROUND(E115*F115,2)</f>
        <v>0</v>
      </c>
      <c r="H115" s="216">
        <v>7.28</v>
      </c>
      <c r="I115" s="217">
        <f>ROUND(E115*H115,2)</f>
        <v>58.24</v>
      </c>
      <c r="J115" s="216">
        <v>19.62</v>
      </c>
      <c r="K115" s="217">
        <f>ROUND(E115*J115,2)</f>
        <v>156.96</v>
      </c>
      <c r="L115" s="217">
        <v>21</v>
      </c>
      <c r="M115" s="217">
        <f>G115*(1+L115/100)</f>
        <v>0</v>
      </c>
      <c r="N115" s="217">
        <v>2.0000000000000002E-5</v>
      </c>
      <c r="O115" s="217">
        <f>ROUND(E115*N115,2)</f>
        <v>0</v>
      </c>
      <c r="P115" s="217">
        <v>0</v>
      </c>
      <c r="Q115" s="217">
        <f>ROUND(E115*P115,2)</f>
        <v>0</v>
      </c>
      <c r="R115" s="217" t="s">
        <v>106</v>
      </c>
      <c r="S115" s="217" t="s">
        <v>199</v>
      </c>
      <c r="T115" s="217" t="s">
        <v>199</v>
      </c>
      <c r="U115" s="211"/>
      <c r="V115" s="211"/>
      <c r="W115" s="211"/>
      <c r="X115" s="211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s="207" customFormat="1" outlineLevel="1" x14ac:dyDescent="0.25">
      <c r="A116" s="209"/>
      <c r="B116" s="210"/>
      <c r="C116" s="228"/>
      <c r="D116" s="229"/>
      <c r="E116" s="229"/>
      <c r="F116" s="229"/>
      <c r="G116" s="229"/>
      <c r="H116" s="211"/>
      <c r="I116" s="211"/>
      <c r="J116" s="211"/>
      <c r="K116" s="211"/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11"/>
      <c r="X116" s="211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s="207" customFormat="1" outlineLevel="1" x14ac:dyDescent="0.25">
      <c r="A117" s="155" t="s">
        <v>90</v>
      </c>
      <c r="B117" s="156" t="s">
        <v>171</v>
      </c>
      <c r="C117" s="171" t="s">
        <v>172</v>
      </c>
      <c r="D117" s="157"/>
      <c r="E117" s="158"/>
      <c r="F117" s="159"/>
      <c r="G117" s="159">
        <f>G118+G121</f>
        <v>0</v>
      </c>
      <c r="H117" s="159"/>
      <c r="I117" s="159" t="e">
        <f>SUM(#REF!)</f>
        <v>#REF!</v>
      </c>
      <c r="J117" s="159"/>
      <c r="K117" s="159" t="e">
        <f>SUM(#REF!)</f>
        <v>#REF!</v>
      </c>
      <c r="L117" s="159"/>
      <c r="M117" s="159">
        <f>M118+M121</f>
        <v>0</v>
      </c>
      <c r="N117" s="159"/>
      <c r="O117" s="159" t="e">
        <f>SUM(#REF!)</f>
        <v>#REF!</v>
      </c>
      <c r="P117" s="159"/>
      <c r="Q117" s="159" t="e">
        <f>SUM(#REF!)</f>
        <v>#REF!</v>
      </c>
      <c r="R117" s="159"/>
      <c r="S117" s="159"/>
      <c r="T117" s="160"/>
      <c r="U117" s="211"/>
      <c r="V117" s="211"/>
      <c r="W117" s="211"/>
      <c r="X117" s="211"/>
      <c r="Y117" s="208"/>
      <c r="Z117" s="208"/>
      <c r="AA117" s="208"/>
      <c r="AB117" s="208"/>
      <c r="AC117" s="208"/>
      <c r="AD117" s="208"/>
      <c r="AE117" s="208"/>
      <c r="AF117" s="208"/>
      <c r="AG117" s="208"/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s="207" customFormat="1" outlineLevel="1" x14ac:dyDescent="0.25">
      <c r="A118" s="212">
        <v>42</v>
      </c>
      <c r="B118" s="200" t="s">
        <v>202</v>
      </c>
      <c r="C118" s="219" t="s">
        <v>203</v>
      </c>
      <c r="D118" s="214" t="s">
        <v>94</v>
      </c>
      <c r="E118" s="201">
        <v>34</v>
      </c>
      <c r="F118" s="216"/>
      <c r="G118" s="217">
        <f>ROUND(E118*F118,2)</f>
        <v>0</v>
      </c>
      <c r="H118" s="216">
        <v>585.16999999999996</v>
      </c>
      <c r="I118" s="217">
        <f>ROUND(E118*H118,2)</f>
        <v>19895.78</v>
      </c>
      <c r="J118" s="216">
        <v>672.83</v>
      </c>
      <c r="K118" s="217">
        <f>ROUND(E118*J118,2)</f>
        <v>22876.22</v>
      </c>
      <c r="L118" s="217">
        <v>21</v>
      </c>
      <c r="M118" s="217">
        <f>G118*(1+L118/100)</f>
        <v>0</v>
      </c>
      <c r="N118" s="217">
        <v>0.31590000000000001</v>
      </c>
      <c r="O118" s="217">
        <f>ROUND(E118*N118,2)</f>
        <v>10.74</v>
      </c>
      <c r="P118" s="217">
        <v>0</v>
      </c>
      <c r="Q118" s="217">
        <f>ROUND(E118*P118,2)</f>
        <v>0</v>
      </c>
      <c r="R118" s="217" t="s">
        <v>106</v>
      </c>
      <c r="S118" s="217" t="s">
        <v>199</v>
      </c>
      <c r="T118" s="217" t="s">
        <v>199</v>
      </c>
      <c r="U118" s="211"/>
      <c r="V118" s="211"/>
      <c r="W118" s="211"/>
      <c r="X118" s="211"/>
      <c r="Y118" s="208"/>
      <c r="Z118" s="208"/>
      <c r="AA118" s="208"/>
      <c r="AB118" s="208"/>
      <c r="AC118" s="208"/>
      <c r="AD118" s="208"/>
      <c r="AE118" s="208"/>
      <c r="AF118" s="208"/>
      <c r="AG118" s="208"/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s="207" customFormat="1" ht="33" customHeight="1" outlineLevel="1" x14ac:dyDescent="0.25">
      <c r="A119" s="209"/>
      <c r="B119" s="210"/>
      <c r="C119" s="372" t="s">
        <v>201</v>
      </c>
      <c r="D119" s="373"/>
      <c r="E119" s="373"/>
      <c r="F119" s="373"/>
      <c r="G119" s="373"/>
      <c r="H119" s="211"/>
      <c r="I119" s="211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08"/>
      <c r="Z119" s="208"/>
      <c r="AA119" s="208"/>
      <c r="AB119" s="208"/>
      <c r="AC119" s="208"/>
      <c r="AD119" s="208"/>
      <c r="AE119" s="208"/>
      <c r="AF119" s="208"/>
      <c r="AG119" s="208"/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s="207" customFormat="1" ht="13.8" customHeight="1" outlineLevel="1" x14ac:dyDescent="0.25">
      <c r="A120" s="209"/>
      <c r="B120" s="210"/>
      <c r="C120" s="279"/>
      <c r="D120" s="279"/>
      <c r="E120" s="279"/>
      <c r="F120" s="279"/>
      <c r="G120" s="279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s="207" customFormat="1" ht="14.4" customHeight="1" outlineLevel="1" x14ac:dyDescent="0.25">
      <c r="A121" s="212">
        <v>43</v>
      </c>
      <c r="B121" s="213" t="s">
        <v>193</v>
      </c>
      <c r="C121" s="219" t="s">
        <v>361</v>
      </c>
      <c r="D121" s="214" t="s">
        <v>94</v>
      </c>
      <c r="E121" s="215">
        <v>4</v>
      </c>
      <c r="F121" s="216"/>
      <c r="G121" s="217">
        <f>ROUND(E121*F121,2)</f>
        <v>0</v>
      </c>
      <c r="H121" s="216">
        <v>5.52</v>
      </c>
      <c r="I121" s="217">
        <f>ROUND(E121*H121,2)</f>
        <v>22.08</v>
      </c>
      <c r="J121" s="216">
        <v>183.48</v>
      </c>
      <c r="K121" s="217">
        <f>ROUND(E121*J121,2)</f>
        <v>733.92</v>
      </c>
      <c r="L121" s="217">
        <v>21</v>
      </c>
      <c r="M121" s="217">
        <f>G121*(1+L121/100)</f>
        <v>0</v>
      </c>
      <c r="N121" s="217">
        <v>4.6800000000000001E-3</v>
      </c>
      <c r="O121" s="217">
        <f>ROUND(E121*N121,2)</f>
        <v>0.02</v>
      </c>
      <c r="P121" s="217">
        <v>0</v>
      </c>
      <c r="Q121" s="217">
        <f>ROUND(E121*P121,2)</f>
        <v>0</v>
      </c>
      <c r="R121" s="217" t="s">
        <v>173</v>
      </c>
      <c r="S121" s="217" t="s">
        <v>199</v>
      </c>
      <c r="T121" s="217" t="s">
        <v>199</v>
      </c>
      <c r="U121" s="211"/>
      <c r="V121" s="211"/>
      <c r="W121" s="211"/>
      <c r="X121" s="211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s="207" customFormat="1" ht="14.4" customHeight="1" outlineLevel="1" x14ac:dyDescent="0.25">
      <c r="A122" s="209"/>
      <c r="B122" s="210"/>
      <c r="C122" s="191" t="s">
        <v>257</v>
      </c>
      <c r="D122" s="192"/>
      <c r="E122" s="193"/>
      <c r="F122" s="206"/>
      <c r="G122" s="194"/>
      <c r="H122" s="190"/>
      <c r="I122" s="211"/>
      <c r="J122" s="190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s="207" customFormat="1" outlineLevel="1" x14ac:dyDescent="0.25">
      <c r="A123" s="209"/>
      <c r="B123" s="210"/>
      <c r="C123" s="261"/>
      <c r="D123" s="261"/>
      <c r="E123" s="261"/>
      <c r="F123" s="261"/>
      <c r="G123" s="261"/>
      <c r="H123" s="211"/>
      <c r="I123" s="211"/>
      <c r="J123" s="211"/>
      <c r="K123" s="211"/>
      <c r="L123" s="211"/>
      <c r="M123" s="211"/>
      <c r="N123" s="211"/>
      <c r="O123" s="211"/>
      <c r="P123" s="211"/>
      <c r="Q123" s="211"/>
      <c r="R123" s="211"/>
      <c r="S123" s="211"/>
      <c r="T123" s="211"/>
      <c r="U123" s="211"/>
      <c r="V123" s="211"/>
      <c r="W123" s="211"/>
      <c r="X123" s="211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5">
      <c r="A124" s="155" t="s">
        <v>90</v>
      </c>
      <c r="B124" s="156" t="s">
        <v>162</v>
      </c>
      <c r="C124" s="171" t="s">
        <v>161</v>
      </c>
      <c r="D124" s="157"/>
      <c r="E124" s="158"/>
      <c r="F124" s="159"/>
      <c r="G124" s="159">
        <f>G125+G127+G129</f>
        <v>0</v>
      </c>
      <c r="H124" s="159"/>
      <c r="I124" s="159" t="e">
        <f>SUM(#REF!)</f>
        <v>#REF!</v>
      </c>
      <c r="J124" s="159"/>
      <c r="K124" s="159" t="e">
        <f>SUM(#REF!)</f>
        <v>#REF!</v>
      </c>
      <c r="L124" s="159"/>
      <c r="M124" s="159">
        <f>M125+M127+M129</f>
        <v>0</v>
      </c>
      <c r="N124" s="159"/>
      <c r="O124" s="159" t="e">
        <f>SUM(#REF!)</f>
        <v>#REF!</v>
      </c>
      <c r="P124" s="159"/>
      <c r="Q124" s="159" t="e">
        <f>SUM(#REF!)</f>
        <v>#REF!</v>
      </c>
      <c r="R124" s="159"/>
      <c r="S124" s="159"/>
      <c r="T124" s="160"/>
      <c r="U124" s="153"/>
      <c r="V124" s="153"/>
      <c r="W124" s="153"/>
      <c r="X124" s="153"/>
      <c r="Y124" s="144"/>
      <c r="Z124" s="144"/>
      <c r="AA124" s="144"/>
      <c r="AB124" s="144"/>
      <c r="AC124" s="144"/>
      <c r="AD124" s="144"/>
      <c r="AE124" s="144"/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s="207" customFormat="1" outlineLevel="1" x14ac:dyDescent="0.25">
      <c r="A125" s="212">
        <v>44</v>
      </c>
      <c r="B125" s="213" t="s">
        <v>345</v>
      </c>
      <c r="C125" s="219" t="s">
        <v>344</v>
      </c>
      <c r="D125" s="214" t="s">
        <v>113</v>
      </c>
      <c r="E125" s="215">
        <v>5</v>
      </c>
      <c r="F125" s="216"/>
      <c r="G125" s="217">
        <f>ROUND(E125*F125,2)</f>
        <v>0</v>
      </c>
      <c r="H125" s="216">
        <v>0</v>
      </c>
      <c r="I125" s="217">
        <f>ROUND(E125*H125,2)</f>
        <v>0</v>
      </c>
      <c r="J125" s="216">
        <v>322</v>
      </c>
      <c r="K125" s="217">
        <f>ROUND(E125*J125,2)</f>
        <v>1610</v>
      </c>
      <c r="L125" s="217">
        <v>21</v>
      </c>
      <c r="M125" s="217">
        <f>G125*(1+L125/100)</f>
        <v>0</v>
      </c>
      <c r="N125" s="217">
        <v>0</v>
      </c>
      <c r="O125" s="217">
        <f>ROUND(E125*N125,2)</f>
        <v>0</v>
      </c>
      <c r="P125" s="217">
        <v>8.2000000000000003E-2</v>
      </c>
      <c r="Q125" s="217">
        <f>ROUND(E125*P125,2)</f>
        <v>0.41</v>
      </c>
      <c r="R125" s="217" t="s">
        <v>106</v>
      </c>
      <c r="S125" s="217" t="s">
        <v>199</v>
      </c>
      <c r="T125" s="217" t="s">
        <v>199</v>
      </c>
      <c r="U125" s="211"/>
      <c r="V125" s="211"/>
      <c r="W125" s="211"/>
      <c r="X125" s="211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s="207" customFormat="1" outlineLevel="1" x14ac:dyDescent="0.25">
      <c r="A126" s="283"/>
      <c r="B126" s="284"/>
      <c r="C126" s="376"/>
      <c r="D126" s="377"/>
      <c r="E126" s="377"/>
      <c r="F126" s="377"/>
      <c r="G126" s="377"/>
      <c r="H126" s="282"/>
      <c r="I126" s="194"/>
      <c r="J126" s="282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211"/>
      <c r="V126" s="211"/>
      <c r="W126" s="211"/>
      <c r="X126" s="211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s="207" customFormat="1" outlineLevel="1" x14ac:dyDescent="0.25">
      <c r="A127" s="212">
        <v>45</v>
      </c>
      <c r="B127" s="213" t="s">
        <v>346</v>
      </c>
      <c r="C127" s="219" t="s">
        <v>349</v>
      </c>
      <c r="D127" s="214" t="s">
        <v>204</v>
      </c>
      <c r="E127" s="215">
        <v>1</v>
      </c>
      <c r="F127" s="216"/>
      <c r="G127" s="217">
        <f>ROUND(E127*F127,2)</f>
        <v>0</v>
      </c>
      <c r="H127" s="216">
        <v>0</v>
      </c>
      <c r="I127" s="217">
        <f>ROUND(E127*H127,2)</f>
        <v>0</v>
      </c>
      <c r="J127" s="216">
        <v>322</v>
      </c>
      <c r="K127" s="217">
        <f>ROUND(E127*J127,2)</f>
        <v>322</v>
      </c>
      <c r="L127" s="217">
        <v>21</v>
      </c>
      <c r="M127" s="217">
        <f>G127*(1+L127/100)</f>
        <v>0</v>
      </c>
      <c r="N127" s="217">
        <v>0</v>
      </c>
      <c r="O127" s="217">
        <f>ROUND(E127*N127,2)</f>
        <v>0</v>
      </c>
      <c r="P127" s="217">
        <v>8.2000000000000003E-2</v>
      </c>
      <c r="Q127" s="217">
        <f>ROUND(E127*P127,2)</f>
        <v>0.08</v>
      </c>
      <c r="R127" s="217" t="s">
        <v>106</v>
      </c>
      <c r="S127" s="217" t="s">
        <v>199</v>
      </c>
      <c r="T127" s="217" t="s">
        <v>199</v>
      </c>
      <c r="U127" s="211"/>
      <c r="V127" s="211"/>
      <c r="W127" s="211"/>
      <c r="X127" s="211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s="207" customFormat="1" outlineLevel="1" x14ac:dyDescent="0.25">
      <c r="A128" s="283"/>
      <c r="B128" s="284"/>
      <c r="C128" s="376"/>
      <c r="D128" s="377"/>
      <c r="E128" s="377"/>
      <c r="F128" s="377"/>
      <c r="G128" s="377"/>
      <c r="H128" s="282"/>
      <c r="I128" s="194"/>
      <c r="J128" s="282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211"/>
      <c r="V128" s="211"/>
      <c r="W128" s="211"/>
      <c r="X128" s="211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s="207" customFormat="1" outlineLevel="1" x14ac:dyDescent="0.25">
      <c r="A129" s="212">
        <v>46</v>
      </c>
      <c r="B129" s="213" t="s">
        <v>347</v>
      </c>
      <c r="C129" s="219" t="s">
        <v>348</v>
      </c>
      <c r="D129" s="214" t="s">
        <v>111</v>
      </c>
      <c r="E129" s="215">
        <v>10</v>
      </c>
      <c r="F129" s="216"/>
      <c r="G129" s="217">
        <f>ROUND(E129*F129,2)</f>
        <v>0</v>
      </c>
      <c r="H129" s="216">
        <v>0</v>
      </c>
      <c r="I129" s="217">
        <f>ROUND(E129*H129,2)</f>
        <v>0</v>
      </c>
      <c r="J129" s="216">
        <v>322</v>
      </c>
      <c r="K129" s="217">
        <f>ROUND(E129*J129,2)</f>
        <v>3220</v>
      </c>
      <c r="L129" s="217">
        <v>21</v>
      </c>
      <c r="M129" s="217">
        <f>G129*(1+L129/100)</f>
        <v>0</v>
      </c>
      <c r="N129" s="217">
        <v>0</v>
      </c>
      <c r="O129" s="217">
        <f>ROUND(E129*N129,2)</f>
        <v>0</v>
      </c>
      <c r="P129" s="217">
        <v>8.2000000000000003E-2</v>
      </c>
      <c r="Q129" s="217">
        <f>ROUND(E129*P129,2)</f>
        <v>0.82</v>
      </c>
      <c r="R129" s="217" t="s">
        <v>106</v>
      </c>
      <c r="S129" s="217" t="s">
        <v>199</v>
      </c>
      <c r="T129" s="217" t="s">
        <v>199</v>
      </c>
      <c r="U129" s="211"/>
      <c r="V129" s="211"/>
      <c r="W129" s="211"/>
      <c r="X129" s="211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s="207" customFormat="1" outlineLevel="1" x14ac:dyDescent="0.25">
      <c r="A130" s="233"/>
      <c r="B130" s="234"/>
      <c r="C130" s="374"/>
      <c r="D130" s="375"/>
      <c r="E130" s="375"/>
      <c r="F130" s="375"/>
      <c r="G130" s="375"/>
      <c r="H130" s="154"/>
      <c r="I130" s="154"/>
      <c r="J130" s="154"/>
      <c r="K130" s="154"/>
      <c r="L130" s="235"/>
      <c r="M130" s="235"/>
      <c r="N130" s="235"/>
      <c r="O130" s="235"/>
      <c r="P130" s="235"/>
      <c r="Q130" s="235"/>
      <c r="R130" s="235"/>
      <c r="S130" s="236"/>
      <c r="T130" s="236"/>
      <c r="U130" s="211"/>
      <c r="V130" s="211"/>
      <c r="W130" s="211"/>
      <c r="X130" s="211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x14ac:dyDescent="0.25">
      <c r="A131" s="155" t="s">
        <v>90</v>
      </c>
      <c r="B131" s="156" t="s">
        <v>57</v>
      </c>
      <c r="C131" s="171" t="s">
        <v>58</v>
      </c>
      <c r="D131" s="157"/>
      <c r="E131" s="158"/>
      <c r="F131" s="159"/>
      <c r="G131" s="159">
        <f>G132+G134+G13+G136</f>
        <v>0</v>
      </c>
      <c r="H131" s="159"/>
      <c r="I131" s="159">
        <f>SUM(I132:I137)</f>
        <v>0</v>
      </c>
      <c r="J131" s="159"/>
      <c r="K131" s="159">
        <f>SUM(K132:K137)</f>
        <v>58260.409999999996</v>
      </c>
      <c r="L131" s="159"/>
      <c r="M131" s="159">
        <f>M132+M134+M136</f>
        <v>0</v>
      </c>
      <c r="N131" s="159"/>
      <c r="O131" s="159">
        <f>SUM(O132:O137)</f>
        <v>0</v>
      </c>
      <c r="P131" s="159"/>
      <c r="Q131" s="159">
        <f>SUM(Q132:Q137)</f>
        <v>0</v>
      </c>
      <c r="R131" s="159"/>
      <c r="S131" s="159"/>
      <c r="T131" s="160"/>
      <c r="U131" s="154"/>
      <c r="V131" s="154">
        <f>SUM(V132:V137)</f>
        <v>3.9099999999999997</v>
      </c>
      <c r="W131" s="154"/>
      <c r="X131" s="154"/>
      <c r="AG131" t="s">
        <v>91</v>
      </c>
    </row>
    <row r="132" spans="1:60" outlineLevel="1" x14ac:dyDescent="0.25">
      <c r="A132" s="161">
        <v>47</v>
      </c>
      <c r="B132" s="162" t="s">
        <v>146</v>
      </c>
      <c r="C132" s="172" t="s">
        <v>128</v>
      </c>
      <c r="D132" s="163" t="s">
        <v>124</v>
      </c>
      <c r="E132" s="164">
        <v>10</v>
      </c>
      <c r="F132" s="165"/>
      <c r="G132" s="166">
        <f>ROUND(E132*F132,2)</f>
        <v>0</v>
      </c>
      <c r="H132" s="165">
        <v>0</v>
      </c>
      <c r="I132" s="166">
        <f>ROUND(E132*H132,2)</f>
        <v>0</v>
      </c>
      <c r="J132" s="165">
        <v>225.5</v>
      </c>
      <c r="K132" s="166">
        <f>ROUND(E132*J132,2)</f>
        <v>2255</v>
      </c>
      <c r="L132" s="166">
        <v>21</v>
      </c>
      <c r="M132" s="166">
        <f>G132*(1+L132/100)</f>
        <v>0</v>
      </c>
      <c r="N132" s="166">
        <v>0</v>
      </c>
      <c r="O132" s="166">
        <f>ROUND(E132*N132,2)</f>
        <v>0</v>
      </c>
      <c r="P132" s="166">
        <v>0</v>
      </c>
      <c r="Q132" s="166">
        <f>ROUND(E132*P132,2)</f>
        <v>0</v>
      </c>
      <c r="R132" s="166" t="s">
        <v>106</v>
      </c>
      <c r="S132" s="217" t="s">
        <v>199</v>
      </c>
      <c r="T132" s="217" t="s">
        <v>199</v>
      </c>
      <c r="U132" s="153">
        <v>0.39</v>
      </c>
      <c r="V132" s="153">
        <f>ROUND(E132*U132,2)</f>
        <v>3.9</v>
      </c>
      <c r="W132" s="153"/>
      <c r="X132" s="153" t="s">
        <v>126</v>
      </c>
      <c r="Y132" s="144"/>
      <c r="Z132" s="144"/>
      <c r="AA132" s="144"/>
      <c r="AB132" s="144"/>
      <c r="AC132" s="144"/>
      <c r="AD132" s="144"/>
      <c r="AE132" s="144"/>
      <c r="AF132" s="144"/>
      <c r="AG132" s="144" t="s">
        <v>127</v>
      </c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outlineLevel="1" x14ac:dyDescent="0.25">
      <c r="A133" s="151"/>
      <c r="B133" s="152"/>
      <c r="C133" s="374"/>
      <c r="D133" s="375"/>
      <c r="E133" s="375"/>
      <c r="F133" s="375"/>
      <c r="G133" s="375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44"/>
      <c r="Z133" s="144"/>
      <c r="AA133" s="144"/>
      <c r="AB133" s="144"/>
      <c r="AC133" s="144"/>
      <c r="AD133" s="144"/>
      <c r="AE133" s="144"/>
      <c r="AF133" s="144"/>
      <c r="AG133" s="144" t="s">
        <v>92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outlineLevel="1" x14ac:dyDescent="0.25">
      <c r="A134" s="161">
        <v>48</v>
      </c>
      <c r="B134" s="162" t="s">
        <v>174</v>
      </c>
      <c r="C134" s="172" t="s">
        <v>175</v>
      </c>
      <c r="D134" s="163" t="s">
        <v>124</v>
      </c>
      <c r="E134" s="164">
        <f>E58*0.15*2+E60*0.16*2+E62*0.2*2</f>
        <v>786.16000000000008</v>
      </c>
      <c r="F134" s="165"/>
      <c r="G134" s="166">
        <f>ROUND(E134*F134,2)</f>
        <v>0</v>
      </c>
      <c r="H134" s="165">
        <v>0</v>
      </c>
      <c r="I134" s="166">
        <f>ROUND(E134*H134,2)</f>
        <v>0</v>
      </c>
      <c r="J134" s="165">
        <v>71.2</v>
      </c>
      <c r="K134" s="166">
        <f>ROUND(E134*J134,2)</f>
        <v>55974.59</v>
      </c>
      <c r="L134" s="166">
        <v>21</v>
      </c>
      <c r="M134" s="166">
        <f>G134*(1+L134/100)</f>
        <v>0</v>
      </c>
      <c r="N134" s="166">
        <v>0</v>
      </c>
      <c r="O134" s="166">
        <f>ROUND(E134*N134,2)</f>
        <v>0</v>
      </c>
      <c r="P134" s="166">
        <v>0</v>
      </c>
      <c r="Q134" s="166">
        <f>ROUND(E134*P134,2)</f>
        <v>0</v>
      </c>
      <c r="R134" s="166" t="s">
        <v>106</v>
      </c>
      <c r="S134" s="217" t="s">
        <v>199</v>
      </c>
      <c r="T134" s="217" t="s">
        <v>199</v>
      </c>
      <c r="U134" s="153"/>
      <c r="V134" s="153"/>
      <c r="W134" s="153"/>
      <c r="X134" s="153"/>
      <c r="Y134" s="144"/>
      <c r="Z134" s="144"/>
      <c r="AA134" s="144"/>
      <c r="AB134" s="144"/>
      <c r="AC134" s="144"/>
      <c r="AD134" s="144"/>
      <c r="AE134" s="144"/>
      <c r="AF134" s="144"/>
      <c r="AG134" s="144"/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outlineLevel="1" x14ac:dyDescent="0.25">
      <c r="A135" s="151"/>
      <c r="B135" s="152"/>
      <c r="C135" s="374"/>
      <c r="D135" s="375"/>
      <c r="E135" s="375"/>
      <c r="F135" s="375"/>
      <c r="G135" s="375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44"/>
      <c r="Z135" s="144"/>
      <c r="AA135" s="144"/>
      <c r="AB135" s="144"/>
      <c r="AC135" s="144"/>
      <c r="AD135" s="144"/>
      <c r="AE135" s="144"/>
      <c r="AF135" s="144"/>
      <c r="AG135" s="144"/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outlineLevel="1" x14ac:dyDescent="0.25">
      <c r="A136" s="161">
        <v>49</v>
      </c>
      <c r="B136" s="162" t="s">
        <v>147</v>
      </c>
      <c r="C136" s="172" t="s">
        <v>145</v>
      </c>
      <c r="D136" s="163" t="s">
        <v>124</v>
      </c>
      <c r="E136" s="164">
        <f>4*0.05*2.53</f>
        <v>0.50600000000000001</v>
      </c>
      <c r="F136" s="165"/>
      <c r="G136" s="166">
        <f>ROUND(E136*F136,2)</f>
        <v>0</v>
      </c>
      <c r="H136" s="165">
        <v>0</v>
      </c>
      <c r="I136" s="166">
        <f>ROUND(E136*H136,2)</f>
        <v>0</v>
      </c>
      <c r="J136" s="165">
        <v>60.9</v>
      </c>
      <c r="K136" s="166">
        <f>ROUND(E136*J136,2)</f>
        <v>30.82</v>
      </c>
      <c r="L136" s="166">
        <v>21</v>
      </c>
      <c r="M136" s="166">
        <f>G136*(1+L136/100)</f>
        <v>0</v>
      </c>
      <c r="N136" s="166">
        <v>0</v>
      </c>
      <c r="O136" s="166">
        <f>ROUND(E136*N136,2)</f>
        <v>0</v>
      </c>
      <c r="P136" s="166">
        <v>0</v>
      </c>
      <c r="Q136" s="166">
        <f>ROUND(E136*P136,2)</f>
        <v>0</v>
      </c>
      <c r="R136" s="166" t="s">
        <v>106</v>
      </c>
      <c r="S136" s="217" t="s">
        <v>199</v>
      </c>
      <c r="T136" s="217" t="s">
        <v>199</v>
      </c>
      <c r="U136" s="153">
        <v>1.6E-2</v>
      </c>
      <c r="V136" s="153">
        <f>ROUND(E136*U136,2)</f>
        <v>0.01</v>
      </c>
      <c r="W136" s="153"/>
      <c r="X136" s="153" t="s">
        <v>126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127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outlineLevel="1" x14ac:dyDescent="0.25">
      <c r="A137" s="151"/>
      <c r="B137" s="152"/>
      <c r="C137" s="374"/>
      <c r="D137" s="375"/>
      <c r="E137" s="375"/>
      <c r="F137" s="375"/>
      <c r="G137" s="375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44"/>
      <c r="Z137" s="144"/>
      <c r="AA137" s="144"/>
      <c r="AB137" s="144"/>
      <c r="AC137" s="144"/>
      <c r="AD137" s="144"/>
      <c r="AE137" s="144"/>
      <c r="AF137" s="144"/>
      <c r="AG137" s="144" t="s">
        <v>92</v>
      </c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x14ac:dyDescent="0.25">
      <c r="A138" s="155" t="s">
        <v>90</v>
      </c>
      <c r="B138" s="156" t="s">
        <v>59</v>
      </c>
      <c r="C138" s="171" t="s">
        <v>60</v>
      </c>
      <c r="D138" s="157"/>
      <c r="E138" s="158"/>
      <c r="F138" s="159"/>
      <c r="G138" s="159">
        <f>G139+G141+G143</f>
        <v>0</v>
      </c>
      <c r="H138" s="159"/>
      <c r="I138" s="159">
        <f>SUM(I139:I144)</f>
        <v>0</v>
      </c>
      <c r="J138" s="159"/>
      <c r="K138" s="159">
        <f>SUM(K139:K144)</f>
        <v>1375788</v>
      </c>
      <c r="L138" s="159"/>
      <c r="M138" s="159">
        <f>M139+M141+M143</f>
        <v>0</v>
      </c>
      <c r="N138" s="159"/>
      <c r="O138" s="159">
        <f>SUM(O139:O144)</f>
        <v>0</v>
      </c>
      <c r="P138" s="159"/>
      <c r="Q138" s="159">
        <f>SUM(Q139:Q144)</f>
        <v>0</v>
      </c>
      <c r="R138" s="159"/>
      <c r="S138" s="159"/>
      <c r="T138" s="160"/>
      <c r="U138" s="154"/>
      <c r="V138" s="154">
        <f>SUM(V139:V144)</f>
        <v>0</v>
      </c>
      <c r="W138" s="154"/>
      <c r="X138" s="154"/>
      <c r="Z138" s="84"/>
      <c r="AG138" t="s">
        <v>91</v>
      </c>
    </row>
    <row r="139" spans="1:60" s="207" customFormat="1" ht="20.399999999999999" outlineLevel="1" x14ac:dyDescent="0.25">
      <c r="A139" s="212">
        <v>50</v>
      </c>
      <c r="B139" s="213" t="s">
        <v>195</v>
      </c>
      <c r="C139" s="219" t="s">
        <v>196</v>
      </c>
      <c r="D139" s="214" t="s">
        <v>124</v>
      </c>
      <c r="E139" s="215">
        <f>E9*0.05*2+E12*0.1*2+E15*2+E25*0.4*0.4+E125*2+E22*0.05*2</f>
        <v>1248</v>
      </c>
      <c r="F139" s="216"/>
      <c r="G139" s="217">
        <f>ROUND(E139*F139,2)</f>
        <v>0</v>
      </c>
      <c r="H139" s="216">
        <v>0</v>
      </c>
      <c r="I139" s="217">
        <f>ROUND(E139*H139,2)</f>
        <v>0</v>
      </c>
      <c r="J139" s="216">
        <v>740</v>
      </c>
      <c r="K139" s="217">
        <f>ROUND(E139*J139,2)</f>
        <v>923520</v>
      </c>
      <c r="L139" s="217">
        <v>21</v>
      </c>
      <c r="M139" s="217">
        <f>G139*(1+L139/100)</f>
        <v>0</v>
      </c>
      <c r="N139" s="217">
        <v>0</v>
      </c>
      <c r="O139" s="217">
        <f>ROUND(E139*N139,2)</f>
        <v>0</v>
      </c>
      <c r="P139" s="217">
        <v>0</v>
      </c>
      <c r="Q139" s="217">
        <f>ROUND(E139*P139,2)</f>
        <v>0</v>
      </c>
      <c r="R139" s="217" t="s">
        <v>106</v>
      </c>
      <c r="S139" s="217" t="s">
        <v>199</v>
      </c>
      <c r="T139" s="217" t="s">
        <v>199</v>
      </c>
      <c r="U139" s="211"/>
      <c r="V139" s="211"/>
      <c r="W139" s="211"/>
      <c r="X139" s="211"/>
      <c r="Y139" s="208"/>
      <c r="Z139" s="208"/>
      <c r="AA139" s="208"/>
      <c r="AB139" s="208"/>
      <c r="AC139" s="208"/>
      <c r="AD139" s="208"/>
      <c r="AE139" s="208"/>
      <c r="AF139" s="208"/>
      <c r="AG139" s="208"/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s="207" customFormat="1" outlineLevel="1" x14ac:dyDescent="0.25">
      <c r="A140" s="209"/>
      <c r="B140" s="210"/>
      <c r="C140" s="376"/>
      <c r="D140" s="377"/>
      <c r="E140" s="377"/>
      <c r="F140" s="377"/>
      <c r="G140" s="377"/>
      <c r="H140" s="211"/>
      <c r="I140" s="211"/>
      <c r="J140" s="211"/>
      <c r="K140" s="211"/>
      <c r="L140" s="211"/>
      <c r="M140" s="211"/>
      <c r="N140" s="211"/>
      <c r="O140" s="211"/>
      <c r="P140" s="211"/>
      <c r="Q140" s="211"/>
      <c r="R140" s="211"/>
      <c r="S140" s="211"/>
      <c r="T140" s="211"/>
      <c r="U140" s="211"/>
      <c r="V140" s="211"/>
      <c r="W140" s="211"/>
      <c r="X140" s="211"/>
      <c r="Y140" s="208"/>
      <c r="Z140" s="208"/>
      <c r="AA140" s="208"/>
      <c r="AB140" s="208"/>
      <c r="AC140" s="208"/>
      <c r="AD140" s="208"/>
      <c r="AE140" s="208"/>
      <c r="AF140" s="208"/>
      <c r="AG140" s="208"/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s="207" customFormat="1" ht="20.399999999999999" outlineLevel="1" x14ac:dyDescent="0.25">
      <c r="A141" s="212">
        <v>51</v>
      </c>
      <c r="B141" s="213" t="s">
        <v>197</v>
      </c>
      <c r="C141" s="219" t="s">
        <v>198</v>
      </c>
      <c r="D141" s="214" t="s">
        <v>124</v>
      </c>
      <c r="E141" s="215">
        <f>E139*4</f>
        <v>4992</v>
      </c>
      <c r="F141" s="216"/>
      <c r="G141" s="217">
        <f>ROUND(E141*F141,2)</f>
        <v>0</v>
      </c>
      <c r="H141" s="216">
        <v>0</v>
      </c>
      <c r="I141" s="217">
        <f>ROUND(E141*H141,2)</f>
        <v>0</v>
      </c>
      <c r="J141" s="216">
        <v>29</v>
      </c>
      <c r="K141" s="217">
        <f>ROUND(E141*J141,2)</f>
        <v>144768</v>
      </c>
      <c r="L141" s="217">
        <v>21</v>
      </c>
      <c r="M141" s="217">
        <f>G141*(1+L141/100)</f>
        <v>0</v>
      </c>
      <c r="N141" s="217">
        <v>0</v>
      </c>
      <c r="O141" s="217">
        <f>ROUND(E141*N141,2)</f>
        <v>0</v>
      </c>
      <c r="P141" s="217">
        <v>0</v>
      </c>
      <c r="Q141" s="217">
        <f>ROUND(E141*P141,2)</f>
        <v>0</v>
      </c>
      <c r="R141" s="217" t="s">
        <v>106</v>
      </c>
      <c r="S141" s="217" t="s">
        <v>199</v>
      </c>
      <c r="T141" s="217" t="s">
        <v>199</v>
      </c>
      <c r="U141" s="211"/>
      <c r="V141" s="211"/>
      <c r="W141" s="211"/>
      <c r="X141" s="211"/>
      <c r="Y141" s="208"/>
      <c r="Z141" s="208"/>
      <c r="AA141" s="208"/>
      <c r="AB141" s="208"/>
      <c r="AC141" s="208"/>
      <c r="AD141" s="208"/>
      <c r="AE141" s="208"/>
      <c r="AF141" s="208"/>
      <c r="AG141" s="208"/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s="207" customFormat="1" outlineLevel="1" x14ac:dyDescent="0.25">
      <c r="A142" s="209"/>
      <c r="B142" s="210"/>
      <c r="C142" s="376"/>
      <c r="D142" s="377"/>
      <c r="E142" s="377"/>
      <c r="F142" s="377"/>
      <c r="G142" s="377"/>
      <c r="H142" s="211"/>
      <c r="I142" s="211"/>
      <c r="J142" s="211"/>
      <c r="K142" s="211"/>
      <c r="L142" s="211"/>
      <c r="M142" s="211"/>
      <c r="N142" s="211"/>
      <c r="O142" s="211"/>
      <c r="P142" s="211"/>
      <c r="Q142" s="211"/>
      <c r="R142" s="211"/>
      <c r="S142" s="211"/>
      <c r="T142" s="211"/>
      <c r="U142" s="211"/>
      <c r="V142" s="211"/>
      <c r="W142" s="211"/>
      <c r="X142" s="211"/>
      <c r="Y142" s="208"/>
      <c r="Z142" s="208"/>
      <c r="AA142" s="208"/>
      <c r="AB142" s="208"/>
      <c r="AC142" s="208"/>
      <c r="AD142" s="208"/>
      <c r="AE142" s="208"/>
      <c r="AF142" s="208"/>
      <c r="AG142" s="208"/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5">
      <c r="A143" s="161">
        <v>52</v>
      </c>
      <c r="B143" s="162" t="s">
        <v>149</v>
      </c>
      <c r="C143" s="172" t="s">
        <v>148</v>
      </c>
      <c r="D143" s="163" t="s">
        <v>124</v>
      </c>
      <c r="E143" s="164">
        <f>E125*2+E9*0.05*2+E15*2+E25*0.2*0.4*2</f>
        <v>1025</v>
      </c>
      <c r="F143" s="216"/>
      <c r="G143" s="166">
        <f>ROUND(E143*F143,2)</f>
        <v>0</v>
      </c>
      <c r="H143" s="165">
        <v>0</v>
      </c>
      <c r="I143" s="166">
        <f>ROUND(E143*H143,2)</f>
        <v>0</v>
      </c>
      <c r="J143" s="165">
        <v>300</v>
      </c>
      <c r="K143" s="166">
        <f>ROUND(E143*J143,2)</f>
        <v>307500</v>
      </c>
      <c r="L143" s="166">
        <v>21</v>
      </c>
      <c r="M143" s="166">
        <f>G143*(1+L143/100)</f>
        <v>0</v>
      </c>
      <c r="N143" s="166">
        <v>0</v>
      </c>
      <c r="O143" s="166">
        <f>ROUND(E143*N143,2)</f>
        <v>0</v>
      </c>
      <c r="P143" s="166">
        <v>0</v>
      </c>
      <c r="Q143" s="166">
        <f>ROUND(E143*P143,2)</f>
        <v>0</v>
      </c>
      <c r="R143" s="166" t="s">
        <v>131</v>
      </c>
      <c r="S143" s="217" t="s">
        <v>199</v>
      </c>
      <c r="T143" s="217" t="s">
        <v>199</v>
      </c>
      <c r="U143" s="153">
        <v>0</v>
      </c>
      <c r="V143" s="153">
        <f>ROUND(E143*U143,2)</f>
        <v>0</v>
      </c>
      <c r="W143" s="153"/>
      <c r="X143" s="153" t="s">
        <v>129</v>
      </c>
      <c r="Y143" s="144"/>
      <c r="Z143" s="144"/>
      <c r="AA143" s="144"/>
      <c r="AB143" s="144"/>
      <c r="AC143" s="144"/>
      <c r="AD143" s="144"/>
      <c r="AE143" s="144"/>
      <c r="AF143" s="144"/>
      <c r="AG143" s="144" t="s">
        <v>130</v>
      </c>
      <c r="AH143" s="144"/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</row>
    <row r="144" spans="1:60" outlineLevel="1" x14ac:dyDescent="0.25">
      <c r="A144" s="151"/>
      <c r="B144" s="152"/>
      <c r="C144" s="376"/>
      <c r="D144" s="377"/>
      <c r="E144" s="377"/>
      <c r="F144" s="377"/>
      <c r="G144" s="377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  <c r="U144" s="153"/>
      <c r="V144" s="153"/>
      <c r="W144" s="153"/>
      <c r="X144" s="153"/>
      <c r="Y144" s="144"/>
      <c r="Z144" s="144"/>
      <c r="AA144" s="144"/>
      <c r="AB144" s="144"/>
      <c r="AC144" s="144"/>
      <c r="AD144" s="144"/>
      <c r="AE144" s="144"/>
      <c r="AF144" s="144"/>
      <c r="AG144" s="144" t="s">
        <v>92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x14ac:dyDescent="0.25">
      <c r="A145" s="155" t="s">
        <v>90</v>
      </c>
      <c r="B145" s="156" t="s">
        <v>62</v>
      </c>
      <c r="C145" s="171" t="s">
        <v>26</v>
      </c>
      <c r="D145" s="157"/>
      <c r="E145" s="158"/>
      <c r="F145" s="159"/>
      <c r="G145" s="159">
        <f>G146+G149+G152+G154</f>
        <v>0</v>
      </c>
      <c r="H145" s="159"/>
      <c r="I145" s="159">
        <f>SUM(I149:I151)</f>
        <v>0</v>
      </c>
      <c r="J145" s="159"/>
      <c r="K145" s="159">
        <f>SUM(K149:K151)</f>
        <v>0</v>
      </c>
      <c r="L145" s="159"/>
      <c r="M145" s="159">
        <f>M146+M149+M152+M154</f>
        <v>0</v>
      </c>
      <c r="N145" s="159"/>
      <c r="O145" s="159">
        <f>SUM(O149:O151)</f>
        <v>0</v>
      </c>
      <c r="P145" s="159"/>
      <c r="Q145" s="159">
        <f>SUM(Q149:Q151)</f>
        <v>0</v>
      </c>
      <c r="R145" s="159"/>
      <c r="S145" s="159"/>
      <c r="T145" s="160"/>
      <c r="U145" s="154"/>
      <c r="V145" s="154">
        <f>SUM(V149:V151)</f>
        <v>0</v>
      </c>
      <c r="W145" s="154"/>
      <c r="X145" s="154"/>
      <c r="Z145" s="84"/>
      <c r="AG145" t="s">
        <v>91</v>
      </c>
    </row>
    <row r="146" spans="1:60" x14ac:dyDescent="0.25">
      <c r="A146" s="161">
        <v>53</v>
      </c>
      <c r="B146" s="162" t="s">
        <v>154</v>
      </c>
      <c r="C146" s="172" t="s">
        <v>101</v>
      </c>
      <c r="D146" s="163" t="s">
        <v>97</v>
      </c>
      <c r="E146" s="164">
        <v>1</v>
      </c>
      <c r="F146" s="165"/>
      <c r="G146" s="166">
        <f>ROUND(E146*F146,2)</f>
        <v>0</v>
      </c>
      <c r="H146" s="165">
        <v>0</v>
      </c>
      <c r="I146" s="166">
        <f>ROUND(E146*H146,2)</f>
        <v>0</v>
      </c>
      <c r="J146" s="165">
        <v>0</v>
      </c>
      <c r="K146" s="166">
        <f>ROUND(E146*J146,2)</f>
        <v>0</v>
      </c>
      <c r="L146" s="166">
        <v>21</v>
      </c>
      <c r="M146" s="166">
        <f>G146*(1+L146/100)</f>
        <v>0</v>
      </c>
      <c r="N146" s="166">
        <v>0</v>
      </c>
      <c r="O146" s="166">
        <f>ROUND(E146*N146,2)</f>
        <v>0</v>
      </c>
      <c r="P146" s="166">
        <v>0</v>
      </c>
      <c r="Q146" s="166">
        <f>ROUND(E146*P146,2)</f>
        <v>0</v>
      </c>
      <c r="R146" s="166"/>
      <c r="S146" s="217" t="s">
        <v>199</v>
      </c>
      <c r="T146" s="218" t="s">
        <v>98</v>
      </c>
      <c r="U146" s="154"/>
      <c r="V146" s="154"/>
      <c r="W146" s="154"/>
      <c r="X146" s="154"/>
    </row>
    <row r="147" spans="1:60" s="207" customFormat="1" x14ac:dyDescent="0.25">
      <c r="A147" s="283"/>
      <c r="B147" s="284"/>
      <c r="C147" s="378" t="s">
        <v>363</v>
      </c>
      <c r="D147" s="379"/>
      <c r="E147" s="379"/>
      <c r="F147" s="379"/>
      <c r="G147" s="379"/>
      <c r="H147" s="282"/>
      <c r="I147" s="194"/>
      <c r="J147" s="282"/>
      <c r="K147" s="194"/>
      <c r="L147" s="194"/>
      <c r="M147" s="194"/>
      <c r="N147" s="194"/>
      <c r="O147" s="194"/>
      <c r="P147" s="194"/>
      <c r="Q147" s="194"/>
      <c r="R147" s="194"/>
      <c r="S147" s="194"/>
      <c r="T147" s="194"/>
      <c r="U147" s="154"/>
      <c r="V147" s="154"/>
      <c r="W147" s="154"/>
      <c r="X147" s="154"/>
    </row>
    <row r="148" spans="1:60" x14ac:dyDescent="0.25">
      <c r="A148" s="233"/>
      <c r="B148" s="286"/>
      <c r="C148" s="374"/>
      <c r="D148" s="375"/>
      <c r="E148" s="375"/>
      <c r="F148" s="375"/>
      <c r="G148" s="375"/>
      <c r="H148" s="236"/>
      <c r="I148" s="236"/>
      <c r="J148" s="236"/>
      <c r="K148" s="236"/>
      <c r="L148" s="236"/>
      <c r="M148" s="236"/>
      <c r="N148" s="236"/>
      <c r="O148" s="236"/>
      <c r="P148" s="236"/>
      <c r="Q148" s="236"/>
      <c r="R148" s="236"/>
      <c r="S148" s="236"/>
      <c r="T148" s="236"/>
      <c r="U148" s="154"/>
      <c r="V148" s="154"/>
      <c r="W148" s="154"/>
      <c r="X148" s="154"/>
    </row>
    <row r="149" spans="1:60" outlineLevel="1" x14ac:dyDescent="0.25">
      <c r="A149" s="161">
        <v>54</v>
      </c>
      <c r="B149" s="162" t="s">
        <v>132</v>
      </c>
      <c r="C149" s="172" t="s">
        <v>133</v>
      </c>
      <c r="D149" s="163" t="s">
        <v>97</v>
      </c>
      <c r="E149" s="164">
        <v>1</v>
      </c>
      <c r="F149" s="165"/>
      <c r="G149" s="166">
        <f>ROUND(E149*F149,2)</f>
        <v>0</v>
      </c>
      <c r="H149" s="165">
        <v>0</v>
      </c>
      <c r="I149" s="166">
        <f>ROUND(E149*H149,2)</f>
        <v>0</v>
      </c>
      <c r="J149" s="165">
        <v>0</v>
      </c>
      <c r="K149" s="166">
        <f>ROUND(E149*J149,2)</f>
        <v>0</v>
      </c>
      <c r="L149" s="166">
        <v>21</v>
      </c>
      <c r="M149" s="166">
        <f>G149*(1+L149/100)</f>
        <v>0</v>
      </c>
      <c r="N149" s="166">
        <v>0</v>
      </c>
      <c r="O149" s="166">
        <f>ROUND(E149*N149,2)</f>
        <v>0</v>
      </c>
      <c r="P149" s="166">
        <v>0</v>
      </c>
      <c r="Q149" s="166">
        <f>ROUND(E149*P149,2)</f>
        <v>0</v>
      </c>
      <c r="R149" s="166"/>
      <c r="S149" s="217" t="s">
        <v>199</v>
      </c>
      <c r="T149" s="167" t="s">
        <v>98</v>
      </c>
      <c r="U149" s="153">
        <v>0</v>
      </c>
      <c r="V149" s="153">
        <f>ROUND(E149*U149,2)</f>
        <v>0</v>
      </c>
      <c r="W149" s="153"/>
      <c r="X149" s="153" t="s">
        <v>99</v>
      </c>
      <c r="Y149" s="144"/>
      <c r="Z149" s="144"/>
      <c r="AA149" s="144"/>
      <c r="AB149" s="144"/>
      <c r="AC149" s="144"/>
      <c r="AD149" s="144"/>
      <c r="AE149" s="144"/>
      <c r="AF149" s="144"/>
      <c r="AG149" s="144" t="s">
        <v>100</v>
      </c>
      <c r="AH149" s="144"/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  <c r="BG149" s="144"/>
      <c r="BH149" s="144"/>
    </row>
    <row r="150" spans="1:60" ht="21" outlineLevel="1" x14ac:dyDescent="0.25">
      <c r="A150" s="151"/>
      <c r="B150" s="152"/>
      <c r="C150" s="378" t="s">
        <v>134</v>
      </c>
      <c r="D150" s="379"/>
      <c r="E150" s="379"/>
      <c r="F150" s="379"/>
      <c r="G150" s="379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44"/>
      <c r="Z150" s="144"/>
      <c r="AA150" s="144"/>
      <c r="AB150" s="144"/>
      <c r="AC150" s="144"/>
      <c r="AD150" s="144"/>
      <c r="AE150" s="144"/>
      <c r="AF150" s="144"/>
      <c r="AG150" s="144" t="s">
        <v>102</v>
      </c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69" t="str">
        <f>C150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0" s="144"/>
      <c r="BC150" s="144"/>
      <c r="BD150" s="144"/>
      <c r="BE150" s="144"/>
      <c r="BF150" s="144"/>
      <c r="BG150" s="144"/>
      <c r="BH150" s="144"/>
    </row>
    <row r="151" spans="1:60" outlineLevel="1" x14ac:dyDescent="0.25">
      <c r="A151" s="151"/>
      <c r="B151" s="152"/>
      <c r="C151" s="374"/>
      <c r="D151" s="375"/>
      <c r="E151" s="375"/>
      <c r="F151" s="375"/>
      <c r="G151" s="375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  <c r="X151" s="153"/>
      <c r="Y151" s="144"/>
      <c r="Z151" s="144"/>
      <c r="AA151" s="144"/>
      <c r="AB151" s="144"/>
      <c r="AC151" s="144"/>
      <c r="AD151" s="144"/>
      <c r="AE151" s="144"/>
      <c r="AF151" s="144"/>
      <c r="AG151" s="144" t="s">
        <v>92</v>
      </c>
      <c r="AH151" s="144"/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  <c r="BG151" s="144"/>
      <c r="BH151" s="144"/>
    </row>
    <row r="152" spans="1:60" outlineLevel="1" x14ac:dyDescent="0.25">
      <c r="A152" s="161">
        <v>55</v>
      </c>
      <c r="B152" s="162" t="s">
        <v>150</v>
      </c>
      <c r="C152" s="172" t="s">
        <v>96</v>
      </c>
      <c r="D152" s="163" t="s">
        <v>97</v>
      </c>
      <c r="E152" s="164">
        <v>1</v>
      </c>
      <c r="F152" s="165"/>
      <c r="G152" s="166">
        <f>ROUND(E152*F152,2)</f>
        <v>0</v>
      </c>
      <c r="H152" s="165">
        <v>0</v>
      </c>
      <c r="I152" s="166">
        <f>ROUND(E152*H152,2)</f>
        <v>0</v>
      </c>
      <c r="J152" s="165">
        <v>0</v>
      </c>
      <c r="K152" s="166">
        <f>ROUND(E152*J152,2)</f>
        <v>0</v>
      </c>
      <c r="L152" s="166">
        <v>21</v>
      </c>
      <c r="M152" s="166">
        <f>G152*(1+L152/100)</f>
        <v>0</v>
      </c>
      <c r="N152" s="166">
        <v>0</v>
      </c>
      <c r="O152" s="166">
        <f>ROUND(E152*N152,2)</f>
        <v>0</v>
      </c>
      <c r="P152" s="166">
        <v>0</v>
      </c>
      <c r="Q152" s="166">
        <f>ROUND(E152*P152,2)</f>
        <v>0</v>
      </c>
      <c r="R152" s="166"/>
      <c r="S152" s="217" t="s">
        <v>199</v>
      </c>
      <c r="T152" s="167" t="s">
        <v>98</v>
      </c>
      <c r="U152" s="153"/>
      <c r="V152" s="153"/>
      <c r="W152" s="153"/>
      <c r="X152" s="153"/>
      <c r="Y152" s="144"/>
      <c r="Z152" s="144"/>
      <c r="AA152" s="144"/>
      <c r="AB152" s="144"/>
      <c r="AC152" s="144"/>
      <c r="AD152" s="144"/>
      <c r="AE152" s="144"/>
      <c r="AF152" s="144"/>
      <c r="AG152" s="144"/>
      <c r="AH152" s="144"/>
      <c r="AI152" s="144"/>
      <c r="AJ152" s="144"/>
      <c r="AK152" s="144"/>
      <c r="AL152" s="144"/>
      <c r="AM152" s="144"/>
      <c r="AN152" s="144"/>
      <c r="AO152" s="144"/>
      <c r="AP152" s="144"/>
      <c r="AQ152" s="144"/>
      <c r="AR152" s="144"/>
      <c r="AS152" s="144"/>
      <c r="AT152" s="144"/>
      <c r="AU152" s="144"/>
      <c r="AV152" s="144"/>
      <c r="AW152" s="144"/>
      <c r="AX152" s="144"/>
      <c r="AY152" s="144"/>
      <c r="AZ152" s="144"/>
      <c r="BA152" s="144"/>
      <c r="BB152" s="144"/>
      <c r="BC152" s="144"/>
      <c r="BD152" s="144"/>
      <c r="BE152" s="144"/>
      <c r="BF152" s="144"/>
      <c r="BG152" s="144"/>
      <c r="BH152" s="144"/>
    </row>
    <row r="153" spans="1:60" outlineLevel="1" x14ac:dyDescent="0.25">
      <c r="A153" s="151"/>
      <c r="B153" s="152"/>
      <c r="C153" s="376"/>
      <c r="D153" s="377"/>
      <c r="E153" s="377"/>
      <c r="F153" s="377"/>
      <c r="G153" s="377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44"/>
      <c r="Z153" s="144"/>
      <c r="AA153" s="144"/>
      <c r="AB153" s="144"/>
      <c r="AC153" s="144"/>
      <c r="AD153" s="144"/>
      <c r="AE153" s="144"/>
      <c r="AF153" s="144"/>
      <c r="AG153" s="144"/>
      <c r="AH153" s="144"/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  <c r="BG153" s="144"/>
      <c r="BH153" s="144"/>
    </row>
    <row r="154" spans="1:60" outlineLevel="1" x14ac:dyDescent="0.25">
      <c r="A154" s="161">
        <v>56</v>
      </c>
      <c r="B154" s="162" t="s">
        <v>103</v>
      </c>
      <c r="C154" s="172" t="s">
        <v>104</v>
      </c>
      <c r="D154" s="163" t="s">
        <v>97</v>
      </c>
      <c r="E154" s="164">
        <v>1</v>
      </c>
      <c r="F154" s="165"/>
      <c r="G154" s="166">
        <f>ROUND(E154*F154,2)</f>
        <v>0</v>
      </c>
      <c r="H154" s="165">
        <v>0</v>
      </c>
      <c r="I154" s="166">
        <f>ROUND(E154*H154,2)</f>
        <v>0</v>
      </c>
      <c r="J154" s="165">
        <v>0</v>
      </c>
      <c r="K154" s="166">
        <f>ROUND(E154*J154,2)</f>
        <v>0</v>
      </c>
      <c r="L154" s="166">
        <v>21</v>
      </c>
      <c r="M154" s="166">
        <f>G154*(1+L154/100)</f>
        <v>0</v>
      </c>
      <c r="N154" s="166">
        <v>0</v>
      </c>
      <c r="O154" s="166">
        <f>ROUND(E154*N154,2)</f>
        <v>0</v>
      </c>
      <c r="P154" s="166">
        <v>0</v>
      </c>
      <c r="Q154" s="166">
        <f>ROUND(E154*P154,2)</f>
        <v>0</v>
      </c>
      <c r="R154" s="166"/>
      <c r="S154" s="217" t="s">
        <v>199</v>
      </c>
      <c r="T154" s="167" t="s">
        <v>98</v>
      </c>
      <c r="U154" s="153"/>
      <c r="V154" s="153"/>
      <c r="W154" s="153"/>
      <c r="X154" s="153"/>
      <c r="Y154" s="144"/>
      <c r="Z154" s="144"/>
      <c r="AA154" s="144"/>
      <c r="AB154" s="144"/>
      <c r="AC154" s="144"/>
      <c r="AD154" s="144"/>
      <c r="AE154" s="144"/>
      <c r="AF154" s="144"/>
      <c r="AG154" s="144"/>
      <c r="AH154" s="144"/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  <c r="BG154" s="144"/>
      <c r="BH154" s="144"/>
    </row>
    <row r="155" spans="1:60" ht="22.5" customHeight="1" outlineLevel="1" x14ac:dyDescent="0.25">
      <c r="A155" s="151"/>
      <c r="B155" s="152"/>
      <c r="C155" s="378" t="s">
        <v>105</v>
      </c>
      <c r="D155" s="379"/>
      <c r="E155" s="379"/>
      <c r="F155" s="379"/>
      <c r="G155" s="379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3"/>
      <c r="T155" s="153"/>
      <c r="U155" s="153"/>
      <c r="V155" s="153"/>
      <c r="W155" s="153"/>
      <c r="X155" s="153"/>
      <c r="Y155" s="144"/>
      <c r="Z155" s="144"/>
      <c r="AA155" s="144"/>
      <c r="AB155" s="144"/>
      <c r="AC155" s="144"/>
      <c r="AD155" s="144"/>
      <c r="AE155" s="144"/>
      <c r="AF155" s="144"/>
      <c r="AG155" s="144"/>
      <c r="AH155" s="144"/>
      <c r="AI155" s="144"/>
      <c r="AJ155" s="144"/>
      <c r="AK155" s="144"/>
      <c r="AL155" s="144"/>
      <c r="AM155" s="144"/>
      <c r="AN155" s="144"/>
      <c r="AO155" s="144"/>
      <c r="AP155" s="144"/>
      <c r="AQ155" s="144"/>
      <c r="AR155" s="144"/>
      <c r="AS155" s="144"/>
      <c r="AT155" s="144"/>
      <c r="AU155" s="144"/>
      <c r="AV155" s="144"/>
      <c r="AW155" s="144"/>
      <c r="AX155" s="144"/>
      <c r="AY155" s="144"/>
      <c r="AZ155" s="144"/>
      <c r="BA155" s="144"/>
      <c r="BB155" s="144"/>
      <c r="BC155" s="144"/>
      <c r="BD155" s="144"/>
      <c r="BE155" s="144"/>
      <c r="BF155" s="144"/>
      <c r="BG155" s="144"/>
      <c r="BH155" s="144"/>
    </row>
    <row r="156" spans="1:60" outlineLevel="1" x14ac:dyDescent="0.25">
      <c r="A156" s="151"/>
      <c r="B156" s="152"/>
      <c r="C156" s="173"/>
      <c r="D156" s="168"/>
      <c r="E156" s="168"/>
      <c r="F156" s="168"/>
      <c r="G156" s="168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44"/>
      <c r="Z156" s="144"/>
      <c r="AA156" s="144"/>
      <c r="AB156" s="144"/>
      <c r="AC156" s="144"/>
      <c r="AD156" s="144"/>
      <c r="AE156" s="144"/>
      <c r="AF156" s="144"/>
      <c r="AG156" s="144"/>
      <c r="AH156" s="144"/>
      <c r="AI156" s="144"/>
      <c r="AJ156" s="144"/>
      <c r="AK156" s="144"/>
      <c r="AL156" s="144"/>
      <c r="AM156" s="144"/>
      <c r="AN156" s="144"/>
      <c r="AO156" s="144"/>
      <c r="AP156" s="144"/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/>
      <c r="BE156" s="144"/>
      <c r="BF156" s="144"/>
      <c r="BG156" s="144"/>
      <c r="BH156" s="144"/>
    </row>
    <row r="157" spans="1:60" x14ac:dyDescent="0.25">
      <c r="A157" s="155" t="s">
        <v>90</v>
      </c>
      <c r="B157" s="156" t="s">
        <v>63</v>
      </c>
      <c r="C157" s="171" t="s">
        <v>27</v>
      </c>
      <c r="D157" s="157"/>
      <c r="E157" s="158"/>
      <c r="F157" s="159"/>
      <c r="G157" s="159">
        <f>SUMIF(AG158:AG166,"&lt;&gt;NOR",G158:G166)</f>
        <v>0</v>
      </c>
      <c r="H157" s="159"/>
      <c r="I157" s="159">
        <f>SUM(I158:I166)</f>
        <v>0</v>
      </c>
      <c r="J157" s="159"/>
      <c r="K157" s="159">
        <f>SUM(K158:K166)</f>
        <v>0</v>
      </c>
      <c r="L157" s="159"/>
      <c r="M157" s="159">
        <f>SUM(M158:M166)</f>
        <v>0</v>
      </c>
      <c r="N157" s="159"/>
      <c r="O157" s="159">
        <f>SUM(O158:O166)</f>
        <v>0</v>
      </c>
      <c r="P157" s="159"/>
      <c r="Q157" s="159">
        <f>SUM(Q158:Q166)</f>
        <v>0</v>
      </c>
      <c r="R157" s="159"/>
      <c r="S157" s="159"/>
      <c r="T157" s="160"/>
      <c r="U157" s="154"/>
      <c r="V157" s="154">
        <f>SUM(V158:V166)</f>
        <v>0</v>
      </c>
      <c r="W157" s="154"/>
      <c r="X157" s="154"/>
      <c r="AG157" t="s">
        <v>91</v>
      </c>
    </row>
    <row r="158" spans="1:60" outlineLevel="1" x14ac:dyDescent="0.25">
      <c r="A158" s="161">
        <v>57</v>
      </c>
      <c r="B158" s="162" t="s">
        <v>135</v>
      </c>
      <c r="C158" s="172" t="s">
        <v>136</v>
      </c>
      <c r="D158" s="163" t="s">
        <v>97</v>
      </c>
      <c r="E158" s="164">
        <v>1</v>
      </c>
      <c r="F158" s="165"/>
      <c r="G158" s="166">
        <f>ROUND(E158*F158,2)</f>
        <v>0</v>
      </c>
      <c r="H158" s="165">
        <v>0</v>
      </c>
      <c r="I158" s="166">
        <f>ROUND(E158*H158,2)</f>
        <v>0</v>
      </c>
      <c r="J158" s="165">
        <v>0</v>
      </c>
      <c r="K158" s="166">
        <f>ROUND(E158*J158,2)</f>
        <v>0</v>
      </c>
      <c r="L158" s="166">
        <v>21</v>
      </c>
      <c r="M158" s="166">
        <f>G158*(1+L158/100)</f>
        <v>0</v>
      </c>
      <c r="N158" s="166">
        <v>0</v>
      </c>
      <c r="O158" s="166">
        <f>ROUND(E158*N158,2)</f>
        <v>0</v>
      </c>
      <c r="P158" s="166">
        <v>0</v>
      </c>
      <c r="Q158" s="166">
        <f>ROUND(E158*P158,2)</f>
        <v>0</v>
      </c>
      <c r="R158" s="166"/>
      <c r="S158" s="217" t="s">
        <v>199</v>
      </c>
      <c r="T158" s="167" t="s">
        <v>98</v>
      </c>
      <c r="U158" s="153">
        <v>0</v>
      </c>
      <c r="V158" s="153">
        <f>ROUND(E158*U158,2)</f>
        <v>0</v>
      </c>
      <c r="W158" s="153"/>
      <c r="X158" s="153" t="s">
        <v>99</v>
      </c>
      <c r="Y158" s="180"/>
      <c r="Z158" s="144"/>
      <c r="AA158" s="144"/>
      <c r="AB158" s="144"/>
      <c r="AC158" s="144"/>
      <c r="AD158" s="144"/>
      <c r="AE158" s="144"/>
      <c r="AF158" s="144"/>
      <c r="AG158" s="144" t="s">
        <v>100</v>
      </c>
      <c r="AH158" s="144"/>
      <c r="AI158" s="144"/>
      <c r="AJ158" s="144"/>
      <c r="AK158" s="144"/>
      <c r="AL158" s="144"/>
      <c r="AM158" s="144"/>
      <c r="AN158" s="144"/>
      <c r="AO158" s="144"/>
      <c r="AP158" s="144"/>
      <c r="AQ158" s="144"/>
      <c r="AR158" s="144"/>
      <c r="AS158" s="144"/>
      <c r="AT158" s="144"/>
      <c r="AU158" s="144"/>
      <c r="AV158" s="144"/>
      <c r="AW158" s="144"/>
      <c r="AX158" s="144"/>
      <c r="AY158" s="144"/>
      <c r="AZ158" s="144"/>
      <c r="BA158" s="144"/>
      <c r="BB158" s="144"/>
      <c r="BC158" s="144"/>
      <c r="BD158" s="144"/>
      <c r="BE158" s="144"/>
      <c r="BF158" s="144"/>
      <c r="BG158" s="144"/>
      <c r="BH158" s="144"/>
    </row>
    <row r="159" spans="1:60" ht="33.75" customHeight="1" outlineLevel="1" x14ac:dyDescent="0.25">
      <c r="A159" s="151"/>
      <c r="B159" s="152"/>
      <c r="C159" s="378" t="s">
        <v>151</v>
      </c>
      <c r="D159" s="379"/>
      <c r="E159" s="379"/>
      <c r="F159" s="379"/>
      <c r="G159" s="379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3"/>
      <c r="Y159" s="144"/>
      <c r="Z159" s="144"/>
      <c r="AA159" s="144"/>
      <c r="AB159" s="144"/>
      <c r="AC159" s="144"/>
      <c r="AD159" s="144"/>
      <c r="AE159" s="144"/>
      <c r="AF159" s="144"/>
      <c r="AG159" s="144" t="s">
        <v>102</v>
      </c>
      <c r="AH159" s="144"/>
      <c r="AI159" s="144"/>
      <c r="AJ159" s="144"/>
      <c r="AK159" s="144"/>
      <c r="AL159" s="144"/>
      <c r="AM159" s="144"/>
      <c r="AN159" s="144"/>
      <c r="AO159" s="144"/>
      <c r="AP159" s="144"/>
      <c r="AQ159" s="144"/>
      <c r="AR159" s="144"/>
      <c r="AS159" s="144"/>
      <c r="AT159" s="144"/>
      <c r="AU159" s="144"/>
      <c r="AV159" s="144"/>
      <c r="AW159" s="144"/>
      <c r="AX159" s="144"/>
      <c r="AY159" s="144"/>
      <c r="AZ159" s="144"/>
      <c r="BA159" s="169" t="str">
        <f>C159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159" s="144"/>
      <c r="BC159" s="144"/>
      <c r="BD159" s="144"/>
      <c r="BE159" s="144"/>
      <c r="BF159" s="144"/>
      <c r="BG159" s="144"/>
      <c r="BH159" s="144"/>
    </row>
    <row r="160" spans="1:60" outlineLevel="1" x14ac:dyDescent="0.25">
      <c r="A160" s="151"/>
      <c r="B160" s="152"/>
      <c r="C160" s="374"/>
      <c r="D160" s="375"/>
      <c r="E160" s="375"/>
      <c r="F160" s="375"/>
      <c r="G160" s="375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  <c r="T160" s="153"/>
      <c r="U160" s="153"/>
      <c r="V160" s="153"/>
      <c r="W160" s="153"/>
      <c r="X160" s="153"/>
      <c r="Y160" s="144"/>
      <c r="Z160" s="144"/>
      <c r="AA160" s="144"/>
      <c r="AB160" s="144"/>
      <c r="AC160" s="144"/>
      <c r="AD160" s="144"/>
      <c r="AE160" s="144"/>
      <c r="AF160" s="144"/>
      <c r="AG160" s="144" t="s">
        <v>92</v>
      </c>
      <c r="AH160" s="144"/>
      <c r="AI160" s="144"/>
      <c r="AJ160" s="144"/>
      <c r="AK160" s="144"/>
      <c r="AL160" s="144"/>
      <c r="AM160" s="144"/>
      <c r="AN160" s="144"/>
      <c r="AO160" s="144"/>
      <c r="AP160" s="144"/>
      <c r="AQ160" s="144"/>
      <c r="AR160" s="144"/>
      <c r="AS160" s="144"/>
      <c r="AT160" s="144"/>
      <c r="AU160" s="144"/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</row>
    <row r="161" spans="1:60" outlineLevel="1" x14ac:dyDescent="0.25">
      <c r="A161" s="161">
        <v>58</v>
      </c>
      <c r="B161" s="162" t="s">
        <v>137</v>
      </c>
      <c r="C161" s="172" t="s">
        <v>138</v>
      </c>
      <c r="D161" s="163" t="s">
        <v>97</v>
      </c>
      <c r="E161" s="164">
        <v>1</v>
      </c>
      <c r="F161" s="165"/>
      <c r="G161" s="166">
        <f>ROUND(E161*F161,2)</f>
        <v>0</v>
      </c>
      <c r="H161" s="165">
        <v>0</v>
      </c>
      <c r="I161" s="166">
        <f>ROUND(E161*H161,2)</f>
        <v>0</v>
      </c>
      <c r="J161" s="165">
        <v>0</v>
      </c>
      <c r="K161" s="166">
        <f>ROUND(E161*J161,2)</f>
        <v>0</v>
      </c>
      <c r="L161" s="166">
        <v>21</v>
      </c>
      <c r="M161" s="166">
        <f>G161*(1+L161/100)</f>
        <v>0</v>
      </c>
      <c r="N161" s="166">
        <v>0</v>
      </c>
      <c r="O161" s="166">
        <f>ROUND(E161*N161,2)</f>
        <v>0</v>
      </c>
      <c r="P161" s="166">
        <v>0</v>
      </c>
      <c r="Q161" s="166">
        <f>ROUND(E161*P161,2)</f>
        <v>0</v>
      </c>
      <c r="R161" s="166"/>
      <c r="S161" s="217" t="s">
        <v>199</v>
      </c>
      <c r="T161" s="167" t="s">
        <v>98</v>
      </c>
      <c r="U161" s="153">
        <v>0</v>
      </c>
      <c r="V161" s="153">
        <f>ROUND(E161*U161,2)</f>
        <v>0</v>
      </c>
      <c r="W161" s="153"/>
      <c r="X161" s="153" t="s">
        <v>99</v>
      </c>
      <c r="Y161" s="144"/>
      <c r="Z161" s="144"/>
      <c r="AA161" s="144"/>
      <c r="AB161" s="144"/>
      <c r="AC161" s="144"/>
      <c r="AD161" s="144"/>
      <c r="AE161" s="144"/>
      <c r="AF161" s="144"/>
      <c r="AG161" s="144" t="s">
        <v>100</v>
      </c>
      <c r="AH161" s="144"/>
      <c r="AI161" s="144"/>
      <c r="AJ161" s="144"/>
      <c r="AK161" s="144"/>
      <c r="AL161" s="144"/>
      <c r="AM161" s="144"/>
      <c r="AN161" s="144"/>
      <c r="AO161" s="144"/>
      <c r="AP161" s="144"/>
      <c r="AQ161" s="144"/>
      <c r="AR161" s="144"/>
      <c r="AS161" s="144"/>
      <c r="AT161" s="144"/>
      <c r="AU161" s="144"/>
      <c r="AV161" s="144"/>
      <c r="AW161" s="144"/>
      <c r="AX161" s="144"/>
      <c r="AY161" s="144"/>
      <c r="AZ161" s="144"/>
      <c r="BA161" s="144"/>
      <c r="BB161" s="144"/>
      <c r="BC161" s="144"/>
      <c r="BD161" s="144"/>
      <c r="BE161" s="144"/>
      <c r="BF161" s="144"/>
      <c r="BG161" s="144"/>
      <c r="BH161" s="144"/>
    </row>
    <row r="162" spans="1:60" outlineLevel="1" x14ac:dyDescent="0.25">
      <c r="A162" s="151"/>
      <c r="B162" s="152"/>
      <c r="C162" s="378" t="s">
        <v>139</v>
      </c>
      <c r="D162" s="379"/>
      <c r="E162" s="379"/>
      <c r="F162" s="379"/>
      <c r="G162" s="379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44"/>
      <c r="Z162" s="144"/>
      <c r="AA162" s="144"/>
      <c r="AB162" s="144"/>
      <c r="AC162" s="144"/>
      <c r="AD162" s="144"/>
      <c r="AE162" s="144"/>
      <c r="AF162" s="144"/>
      <c r="AG162" s="144" t="s">
        <v>102</v>
      </c>
      <c r="AH162" s="144"/>
      <c r="AI162" s="144"/>
      <c r="AJ162" s="144"/>
      <c r="AK162" s="144"/>
      <c r="AL162" s="144"/>
      <c r="AM162" s="144"/>
      <c r="AN162" s="144"/>
      <c r="AO162" s="144"/>
      <c r="AP162" s="144"/>
      <c r="AQ162" s="144"/>
      <c r="AR162" s="144"/>
      <c r="AS162" s="144"/>
      <c r="AT162" s="144"/>
      <c r="AU162" s="144"/>
      <c r="AV162" s="144"/>
      <c r="AW162" s="144"/>
      <c r="AX162" s="144"/>
      <c r="AY162" s="144"/>
      <c r="AZ162" s="144"/>
      <c r="BA162" s="169" t="str">
        <f>C162</f>
        <v>Náklady na vyhotovení dokumentace skutečného provedení stavby a její předání objednateli v požadované formě a požadovaném počtu.</v>
      </c>
      <c r="BB162" s="144"/>
      <c r="BC162" s="144"/>
      <c r="BD162" s="144"/>
      <c r="BE162" s="144"/>
      <c r="BF162" s="144"/>
      <c r="BG162" s="144"/>
      <c r="BH162" s="144"/>
    </row>
    <row r="163" spans="1:60" outlineLevel="1" x14ac:dyDescent="0.25">
      <c r="A163" s="151"/>
      <c r="B163" s="152"/>
      <c r="C163" s="374"/>
      <c r="D163" s="375"/>
      <c r="E163" s="375"/>
      <c r="F163" s="375"/>
      <c r="G163" s="375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  <c r="T163" s="153"/>
      <c r="U163" s="153"/>
      <c r="V163" s="153"/>
      <c r="W163" s="153"/>
      <c r="X163" s="153"/>
      <c r="Y163" s="144"/>
      <c r="Z163" s="144"/>
      <c r="AA163" s="144"/>
      <c r="AB163" s="144"/>
      <c r="AC163" s="144"/>
      <c r="AD163" s="144"/>
      <c r="AE163" s="144"/>
      <c r="AF163" s="144"/>
      <c r="AG163" s="144" t="s">
        <v>92</v>
      </c>
      <c r="AH163" s="144"/>
      <c r="AI163" s="144"/>
      <c r="AJ163" s="144"/>
      <c r="AK163" s="144"/>
      <c r="AL163" s="144"/>
      <c r="AM163" s="144"/>
      <c r="AN163" s="144"/>
      <c r="AO163" s="144"/>
      <c r="AP163" s="144"/>
      <c r="AQ163" s="144"/>
      <c r="AR163" s="144"/>
      <c r="AS163" s="144"/>
      <c r="AT163" s="144"/>
      <c r="AU163" s="144"/>
      <c r="AV163" s="144"/>
      <c r="AW163" s="144"/>
      <c r="AX163" s="144"/>
      <c r="AY163" s="144"/>
      <c r="AZ163" s="144"/>
      <c r="BA163" s="144"/>
      <c r="BB163" s="144"/>
      <c r="BC163" s="144"/>
      <c r="BD163" s="144"/>
      <c r="BE163" s="144"/>
      <c r="BF163" s="144"/>
      <c r="BG163" s="144"/>
      <c r="BH163" s="144"/>
    </row>
    <row r="164" spans="1:60" outlineLevel="1" x14ac:dyDescent="0.25">
      <c r="A164" s="161">
        <v>59</v>
      </c>
      <c r="B164" s="162" t="s">
        <v>140</v>
      </c>
      <c r="C164" s="172" t="s">
        <v>141</v>
      </c>
      <c r="D164" s="163" t="s">
        <v>97</v>
      </c>
      <c r="E164" s="164">
        <v>1</v>
      </c>
      <c r="F164" s="165"/>
      <c r="G164" s="166">
        <f>ROUND(E164*F164,2)</f>
        <v>0</v>
      </c>
      <c r="H164" s="165">
        <v>0</v>
      </c>
      <c r="I164" s="166">
        <f>ROUND(E164*H164,2)</f>
        <v>0</v>
      </c>
      <c r="J164" s="165">
        <v>0</v>
      </c>
      <c r="K164" s="166">
        <f>ROUND(E164*J164,2)</f>
        <v>0</v>
      </c>
      <c r="L164" s="166">
        <v>21</v>
      </c>
      <c r="M164" s="166">
        <f>G164*(1+L164/100)</f>
        <v>0</v>
      </c>
      <c r="N164" s="166">
        <v>0</v>
      </c>
      <c r="O164" s="166">
        <f>ROUND(E164*N164,2)</f>
        <v>0</v>
      </c>
      <c r="P164" s="166">
        <v>0</v>
      </c>
      <c r="Q164" s="166">
        <f>ROUND(E164*P164,2)</f>
        <v>0</v>
      </c>
      <c r="R164" s="166"/>
      <c r="S164" s="217" t="s">
        <v>199</v>
      </c>
      <c r="T164" s="167" t="s">
        <v>98</v>
      </c>
      <c r="U164" s="153">
        <v>0</v>
      </c>
      <c r="V164" s="153">
        <f>ROUND(E164*U164,2)</f>
        <v>0</v>
      </c>
      <c r="W164" s="153"/>
      <c r="X164" s="153" t="s">
        <v>99</v>
      </c>
      <c r="Y164" s="144"/>
      <c r="Z164" s="144"/>
      <c r="AA164" s="144"/>
      <c r="AB164" s="144"/>
      <c r="AC164" s="144"/>
      <c r="AD164" s="144"/>
      <c r="AE164" s="144"/>
      <c r="AF164" s="144"/>
      <c r="AG164" s="144" t="s">
        <v>100</v>
      </c>
      <c r="AH164" s="144"/>
      <c r="AI164" s="144"/>
      <c r="AJ164" s="144"/>
      <c r="AK164" s="144"/>
      <c r="AL164" s="144"/>
      <c r="AM164" s="144"/>
      <c r="AN164" s="144"/>
      <c r="AO164" s="144"/>
      <c r="AP164" s="144"/>
      <c r="AQ164" s="144"/>
      <c r="AR164" s="144"/>
      <c r="AS164" s="144"/>
      <c r="AT164" s="144"/>
      <c r="AU164" s="144"/>
      <c r="AV164" s="144"/>
      <c r="AW164" s="144"/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</row>
    <row r="165" spans="1:60" ht="13.95" customHeight="1" outlineLevel="1" x14ac:dyDescent="0.25">
      <c r="A165" s="151"/>
      <c r="B165" s="152"/>
      <c r="C165" s="378" t="s">
        <v>152</v>
      </c>
      <c r="D165" s="379"/>
      <c r="E165" s="379"/>
      <c r="F165" s="379"/>
      <c r="G165" s="379"/>
      <c r="H165" s="153"/>
      <c r="I165" s="153"/>
      <c r="J165" s="153"/>
      <c r="K165" s="153"/>
      <c r="L165" s="153"/>
      <c r="M165" s="153"/>
      <c r="N165" s="153"/>
      <c r="O165" s="153"/>
      <c r="P165" s="153"/>
      <c r="Q165" s="153"/>
      <c r="R165" s="153"/>
      <c r="S165" s="153"/>
      <c r="T165" s="153"/>
      <c r="U165" s="153"/>
      <c r="V165" s="153"/>
      <c r="W165" s="153"/>
      <c r="X165" s="153"/>
      <c r="Y165" s="144"/>
      <c r="Z165" s="144"/>
      <c r="AA165" s="144"/>
      <c r="AB165" s="144"/>
      <c r="AC165" s="144"/>
      <c r="AD165" s="144"/>
      <c r="AE165" s="144"/>
      <c r="AF165" s="144"/>
      <c r="AG165" s="144" t="s">
        <v>102</v>
      </c>
      <c r="AH165" s="144"/>
      <c r="AI165" s="144"/>
      <c r="AJ165" s="144"/>
      <c r="AK165" s="144"/>
      <c r="AL165" s="144"/>
      <c r="AM165" s="144"/>
      <c r="AN165" s="144"/>
      <c r="AO165" s="144"/>
      <c r="AP165" s="144"/>
      <c r="AQ165" s="144"/>
      <c r="AR165" s="144"/>
      <c r="AS165" s="144"/>
      <c r="AT165" s="144"/>
      <c r="AU165" s="144"/>
      <c r="AV165" s="144"/>
      <c r="AW165" s="144"/>
      <c r="AX165" s="144"/>
      <c r="AY165" s="144"/>
      <c r="AZ165" s="144"/>
      <c r="BA165" s="169" t="str">
        <f>C165</f>
        <v>Náklady spojené s povinnou publicitou. Zahrnuje zejména náklady na propagační a informační billboardy, tabule, internetovou propagaci, tiskoviny apod.</v>
      </c>
      <c r="BB165" s="144"/>
      <c r="BC165" s="144"/>
      <c r="BD165" s="144"/>
      <c r="BE165" s="144"/>
      <c r="BF165" s="144"/>
      <c r="BG165" s="144"/>
      <c r="BH165" s="144"/>
    </row>
    <row r="166" spans="1:60" outlineLevel="1" x14ac:dyDescent="0.25">
      <c r="A166" s="151"/>
      <c r="B166" s="152"/>
      <c r="C166" s="374"/>
      <c r="D166" s="375"/>
      <c r="E166" s="375"/>
      <c r="F166" s="375"/>
      <c r="G166" s="375"/>
      <c r="H166" s="153"/>
      <c r="I166" s="153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  <c r="T166" s="153"/>
      <c r="U166" s="153"/>
      <c r="V166" s="153"/>
      <c r="W166" s="153"/>
      <c r="X166" s="153"/>
      <c r="Y166" s="144"/>
      <c r="Z166" s="144"/>
      <c r="AA166" s="144"/>
      <c r="AB166" s="144"/>
      <c r="AC166" s="144"/>
      <c r="AD166" s="144"/>
      <c r="AE166" s="144"/>
      <c r="AF166" s="144"/>
      <c r="AG166" s="144" t="s">
        <v>92</v>
      </c>
      <c r="AH166" s="144"/>
      <c r="AI166" s="144"/>
      <c r="AJ166" s="144"/>
      <c r="AK166" s="144"/>
      <c r="AL166" s="144"/>
      <c r="AM166" s="144"/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  <c r="BE166" s="144"/>
      <c r="BF166" s="144"/>
      <c r="BG166" s="144"/>
      <c r="BH166" s="144"/>
    </row>
    <row r="167" spans="1:60" x14ac:dyDescent="0.25">
      <c r="A167" s="3"/>
      <c r="B167" s="4"/>
      <c r="C167" s="174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v>15</v>
      </c>
      <c r="AF167">
        <v>21</v>
      </c>
      <c r="AG167" t="s">
        <v>77</v>
      </c>
    </row>
    <row r="168" spans="1:60" x14ac:dyDescent="0.25">
      <c r="A168" s="147"/>
      <c r="B168" s="148" t="s">
        <v>28</v>
      </c>
      <c r="C168" s="175"/>
      <c r="D168" s="149"/>
      <c r="E168" s="150"/>
      <c r="F168" s="150"/>
      <c r="G168" s="170">
        <f>G8+G57+G85+G117+G124+G131+G138+G145+G157</f>
        <v>0</v>
      </c>
      <c r="H168" s="3"/>
      <c r="I168" s="3"/>
      <c r="J168" s="3"/>
      <c r="K168" s="3"/>
      <c r="L168" s="146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f>SUMIF(L7:L166,AE167,G7:G166)</f>
        <v>0</v>
      </c>
      <c r="AF168">
        <f>SUMIF(L7:L166,AF167,G7:G166)</f>
        <v>0</v>
      </c>
      <c r="AG168" t="s">
        <v>142</v>
      </c>
    </row>
    <row r="169" spans="1:60" x14ac:dyDescent="0.25">
      <c r="C169" s="176"/>
      <c r="D169" s="10"/>
      <c r="AG169" t="s">
        <v>143</v>
      </c>
    </row>
    <row r="170" spans="1:60" x14ac:dyDescent="0.25">
      <c r="D170" s="10"/>
    </row>
    <row r="171" spans="1:60" x14ac:dyDescent="0.25">
      <c r="D171" s="10"/>
    </row>
    <row r="172" spans="1:60" x14ac:dyDescent="0.25">
      <c r="D172" s="10"/>
    </row>
    <row r="173" spans="1:60" x14ac:dyDescent="0.25">
      <c r="D173" s="10"/>
    </row>
    <row r="174" spans="1:60" x14ac:dyDescent="0.25">
      <c r="D174" s="10"/>
    </row>
    <row r="175" spans="1:60" x14ac:dyDescent="0.25">
      <c r="D175" s="10"/>
    </row>
    <row r="176" spans="1:60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</sheetData>
  <sheetProtection password="EA7D" sheet="1" objects="1" scenarios="1"/>
  <mergeCells count="56">
    <mergeCell ref="C83:G83"/>
    <mergeCell ref="C69:G69"/>
    <mergeCell ref="A1:G1"/>
    <mergeCell ref="C3:G3"/>
    <mergeCell ref="C35:G35"/>
    <mergeCell ref="C18:G18"/>
    <mergeCell ref="C24:G24"/>
    <mergeCell ref="C34:G34"/>
    <mergeCell ref="C26:G26"/>
    <mergeCell ref="C10:G10"/>
    <mergeCell ref="C2:H2"/>
    <mergeCell ref="C4:H4"/>
    <mergeCell ref="C32:G32"/>
    <mergeCell ref="C29:G29"/>
    <mergeCell ref="C13:G13"/>
    <mergeCell ref="C20:G20"/>
    <mergeCell ref="C165:G165"/>
    <mergeCell ref="C166:G166"/>
    <mergeCell ref="C144:G144"/>
    <mergeCell ref="C150:G150"/>
    <mergeCell ref="C151:G151"/>
    <mergeCell ref="C148:G148"/>
    <mergeCell ref="C153:G153"/>
    <mergeCell ref="C155:G155"/>
    <mergeCell ref="C159:G159"/>
    <mergeCell ref="C163:G163"/>
    <mergeCell ref="C160:G160"/>
    <mergeCell ref="C162:G162"/>
    <mergeCell ref="C147:G147"/>
    <mergeCell ref="C140:G140"/>
    <mergeCell ref="C142:G142"/>
    <mergeCell ref="C133:G133"/>
    <mergeCell ref="C37:G37"/>
    <mergeCell ref="C59:G59"/>
    <mergeCell ref="C46:G46"/>
    <mergeCell ref="C43:G43"/>
    <mergeCell ref="C80:G80"/>
    <mergeCell ref="C48:G48"/>
    <mergeCell ref="C49:G49"/>
    <mergeCell ref="C51:G51"/>
    <mergeCell ref="C40:G40"/>
    <mergeCell ref="C41:G41"/>
    <mergeCell ref="C56:G56"/>
    <mergeCell ref="C74:G74"/>
    <mergeCell ref="C77:G77"/>
    <mergeCell ref="C87:G87"/>
    <mergeCell ref="C88:G88"/>
    <mergeCell ref="C137:G137"/>
    <mergeCell ref="C130:G130"/>
    <mergeCell ref="C92:G92"/>
    <mergeCell ref="C95:G95"/>
    <mergeCell ref="C98:G98"/>
    <mergeCell ref="C119:G119"/>
    <mergeCell ref="C135:G135"/>
    <mergeCell ref="C126:G126"/>
    <mergeCell ref="C128:G128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12"/>
  <sheetViews>
    <sheetView workbookViewId="0">
      <pane ySplit="7" topLeftCell="A8" activePane="bottomLeft" state="frozen"/>
      <selection pane="bottomLeft" activeCell="F9" sqref="F9"/>
    </sheetView>
  </sheetViews>
  <sheetFormatPr defaultColWidth="9.109375" defaultRowHeight="13.2" outlineLevelRow="1" x14ac:dyDescent="0.25"/>
  <cols>
    <col min="1" max="1" width="3.44140625" style="207" customWidth="1"/>
    <col min="2" max="2" width="12.5546875" style="123" customWidth="1"/>
    <col min="3" max="3" width="63.33203125" style="123" customWidth="1"/>
    <col min="4" max="4" width="4.88671875" style="207" customWidth="1"/>
    <col min="5" max="5" width="10.5546875" style="207" customWidth="1"/>
    <col min="6" max="6" width="9.88671875" style="207" customWidth="1"/>
    <col min="7" max="7" width="12.6640625" style="207" customWidth="1"/>
    <col min="8" max="11" width="0" style="207" hidden="1" customWidth="1"/>
    <col min="12" max="12" width="11.6640625" style="207" bestFit="1" customWidth="1"/>
    <col min="13" max="13" width="11.6640625" style="207" customWidth="1"/>
    <col min="14" max="17" width="0" style="207" hidden="1" customWidth="1"/>
    <col min="18" max="18" width="6.88671875" style="207" customWidth="1"/>
    <col min="19" max="19" width="9.109375" style="207"/>
    <col min="20" max="20" width="8.44140625" style="207" customWidth="1"/>
    <col min="21" max="24" width="0" style="207" hidden="1" customWidth="1"/>
    <col min="25" max="25" width="10.109375" style="207" bestFit="1" customWidth="1"/>
    <col min="26" max="26" width="11.6640625" style="207" bestFit="1" customWidth="1"/>
    <col min="27" max="28" width="9.109375" style="207"/>
    <col min="29" max="29" width="0" style="207" hidden="1" customWidth="1"/>
    <col min="30" max="30" width="9.109375" style="207"/>
    <col min="31" max="41" width="0" style="207" hidden="1" customWidth="1"/>
    <col min="42" max="52" width="9.109375" style="207"/>
    <col min="53" max="53" width="98.6640625" style="207" customWidth="1"/>
    <col min="54" max="16384" width="9.109375" style="207"/>
  </cols>
  <sheetData>
    <row r="1" spans="1:60" ht="15.75" customHeight="1" x14ac:dyDescent="0.3">
      <c r="A1" s="380" t="s">
        <v>64</v>
      </c>
      <c r="B1" s="381"/>
      <c r="C1" s="381"/>
      <c r="D1" s="381"/>
      <c r="E1" s="381"/>
      <c r="F1" s="381"/>
      <c r="G1" s="381"/>
      <c r="H1" s="195"/>
      <c r="L1" s="199"/>
      <c r="AG1" s="207" t="s">
        <v>65</v>
      </c>
    </row>
    <row r="2" spans="1:60" ht="40.5" customHeight="1" x14ac:dyDescent="0.25">
      <c r="A2" s="196" t="s">
        <v>7</v>
      </c>
      <c r="B2" s="281" t="s">
        <v>296</v>
      </c>
      <c r="C2" s="385" t="s">
        <v>297</v>
      </c>
      <c r="D2" s="386"/>
      <c r="E2" s="386"/>
      <c r="F2" s="386"/>
      <c r="G2" s="386"/>
      <c r="H2" s="387"/>
      <c r="L2" s="199"/>
      <c r="AG2" s="207" t="s">
        <v>66</v>
      </c>
    </row>
    <row r="3" spans="1:60" ht="24.9" customHeight="1" x14ac:dyDescent="0.25">
      <c r="A3" s="196" t="s">
        <v>8</v>
      </c>
      <c r="B3" s="281" t="s">
        <v>398</v>
      </c>
      <c r="C3" s="382" t="s">
        <v>364</v>
      </c>
      <c r="D3" s="383"/>
      <c r="E3" s="383"/>
      <c r="F3" s="383"/>
      <c r="G3" s="384"/>
      <c r="H3" s="197"/>
      <c r="L3" s="199"/>
      <c r="AC3" s="123" t="s">
        <v>66</v>
      </c>
      <c r="AG3" s="207" t="s">
        <v>67</v>
      </c>
    </row>
    <row r="4" spans="1:60" ht="24.9" customHeight="1" x14ac:dyDescent="0.25">
      <c r="A4" s="198" t="s">
        <v>9</v>
      </c>
      <c r="B4" s="237" t="s">
        <v>296</v>
      </c>
      <c r="C4" s="341" t="s">
        <v>298</v>
      </c>
      <c r="D4" s="342"/>
      <c r="E4" s="342"/>
      <c r="F4" s="342"/>
      <c r="G4" s="342"/>
      <c r="H4" s="343"/>
      <c r="L4" s="199"/>
      <c r="AG4" s="207" t="s">
        <v>68</v>
      </c>
    </row>
    <row r="5" spans="1:60" x14ac:dyDescent="0.25">
      <c r="D5" s="10"/>
    </row>
    <row r="6" spans="1:60" ht="39.6" x14ac:dyDescent="0.25">
      <c r="A6" s="140" t="s">
        <v>69</v>
      </c>
      <c r="B6" s="142" t="s">
        <v>70</v>
      </c>
      <c r="C6" s="142" t="s">
        <v>71</v>
      </c>
      <c r="D6" s="141" t="s">
        <v>72</v>
      </c>
      <c r="E6" s="140" t="s">
        <v>73</v>
      </c>
      <c r="F6" s="139" t="s">
        <v>74</v>
      </c>
      <c r="G6" s="140" t="s">
        <v>28</v>
      </c>
      <c r="H6" s="143" t="s">
        <v>29</v>
      </c>
      <c r="I6" s="143" t="s">
        <v>75</v>
      </c>
      <c r="J6" s="143" t="s">
        <v>30</v>
      </c>
      <c r="K6" s="143" t="s">
        <v>76</v>
      </c>
      <c r="L6" s="143" t="s">
        <v>77</v>
      </c>
      <c r="M6" s="143" t="s">
        <v>78</v>
      </c>
      <c r="N6" s="143" t="s">
        <v>79</v>
      </c>
      <c r="O6" s="143" t="s">
        <v>80</v>
      </c>
      <c r="P6" s="143" t="s">
        <v>81</v>
      </c>
      <c r="Q6" s="143" t="s">
        <v>82</v>
      </c>
      <c r="R6" s="143" t="s">
        <v>83</v>
      </c>
      <c r="S6" s="143" t="s">
        <v>84</v>
      </c>
      <c r="T6" s="143" t="s">
        <v>85</v>
      </c>
      <c r="U6" s="143" t="s">
        <v>86</v>
      </c>
      <c r="V6" s="143" t="s">
        <v>87</v>
      </c>
      <c r="W6" s="143" t="s">
        <v>88</v>
      </c>
      <c r="X6" s="143" t="s">
        <v>89</v>
      </c>
    </row>
    <row r="7" spans="1:60" hidden="1" x14ac:dyDescent="0.25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55" t="s">
        <v>90</v>
      </c>
      <c r="B8" s="156" t="s">
        <v>51</v>
      </c>
      <c r="C8" s="171" t="s">
        <v>52</v>
      </c>
      <c r="D8" s="157"/>
      <c r="E8" s="158"/>
      <c r="F8" s="159"/>
      <c r="G8" s="159">
        <f>SUMIF(AG9:AG41,"&lt;&gt;NOR",G9:G41)</f>
        <v>0</v>
      </c>
      <c r="H8" s="159"/>
      <c r="I8" s="159">
        <f>SUM(I9:I41)</f>
        <v>3130</v>
      </c>
      <c r="J8" s="159"/>
      <c r="K8" s="159">
        <f>SUM(K9:K41)</f>
        <v>113464</v>
      </c>
      <c r="L8" s="159"/>
      <c r="M8" s="159">
        <f>SUM(M9:M41)</f>
        <v>0</v>
      </c>
      <c r="N8" s="159"/>
      <c r="O8" s="159">
        <f>SUM(O9:O41)</f>
        <v>8.56</v>
      </c>
      <c r="P8" s="159"/>
      <c r="Q8" s="159">
        <f>SUM(Q9:Q41)</f>
        <v>0</v>
      </c>
      <c r="R8" s="159"/>
      <c r="S8" s="159"/>
      <c r="T8" s="160"/>
      <c r="U8" s="154"/>
      <c r="V8" s="154">
        <f>SUM(V9:V41)</f>
        <v>3.36</v>
      </c>
      <c r="W8" s="154"/>
      <c r="X8" s="154"/>
      <c r="Z8" s="84"/>
      <c r="AG8" s="207" t="s">
        <v>91</v>
      </c>
    </row>
    <row r="9" spans="1:60" outlineLevel="1" x14ac:dyDescent="0.25">
      <c r="A9" s="212">
        <v>1</v>
      </c>
      <c r="B9" s="213" t="s">
        <v>263</v>
      </c>
      <c r="C9" s="219" t="s">
        <v>267</v>
      </c>
      <c r="D9" s="214" t="s">
        <v>113</v>
      </c>
      <c r="E9" s="215">
        <v>82.5</v>
      </c>
      <c r="F9" s="216"/>
      <c r="G9" s="217">
        <f>ROUND(E9*F9,2)</f>
        <v>0</v>
      </c>
      <c r="H9" s="216">
        <v>0</v>
      </c>
      <c r="I9" s="217">
        <f>ROUND(E9*H9,2)</f>
        <v>0</v>
      </c>
      <c r="J9" s="216">
        <v>695</v>
      </c>
      <c r="K9" s="217">
        <f>ROUND(E9*J9,2)</f>
        <v>57337.5</v>
      </c>
      <c r="L9" s="217">
        <v>21</v>
      </c>
      <c r="M9" s="217">
        <f>G9*(1+L9/100)</f>
        <v>0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7" t="s">
        <v>112</v>
      </c>
      <c r="S9" s="217" t="s">
        <v>264</v>
      </c>
      <c r="T9" s="218" t="s">
        <v>265</v>
      </c>
      <c r="U9" s="211"/>
      <c r="V9" s="211"/>
      <c r="W9" s="211"/>
      <c r="X9" s="211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8" customHeight="1" outlineLevel="1" x14ac:dyDescent="0.25">
      <c r="A10" s="209"/>
      <c r="B10" s="210"/>
      <c r="C10" s="372" t="s">
        <v>266</v>
      </c>
      <c r="D10" s="373"/>
      <c r="E10" s="373"/>
      <c r="F10" s="373"/>
      <c r="G10" s="373"/>
      <c r="H10" s="211"/>
      <c r="I10" s="211"/>
      <c r="J10" s="211"/>
      <c r="K10" s="211"/>
      <c r="L10" s="211"/>
      <c r="M10" s="211"/>
      <c r="N10" s="247"/>
      <c r="O10" s="247"/>
      <c r="P10" s="247"/>
      <c r="Q10" s="247"/>
      <c r="R10" s="211"/>
      <c r="S10" s="211"/>
      <c r="T10" s="211"/>
      <c r="U10" s="211"/>
      <c r="V10" s="211"/>
      <c r="W10" s="211"/>
      <c r="X10" s="211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5">
      <c r="A11" s="209"/>
      <c r="B11" s="210"/>
      <c r="C11" s="374"/>
      <c r="D11" s="375"/>
      <c r="E11" s="375"/>
      <c r="F11" s="375"/>
      <c r="G11" s="375"/>
      <c r="H11" s="211"/>
      <c r="I11" s="211"/>
      <c r="J11" s="211"/>
      <c r="K11" s="211"/>
      <c r="L11" s="211"/>
      <c r="M11" s="211"/>
      <c r="N11" s="247"/>
      <c r="O11" s="247"/>
      <c r="P11" s="247"/>
      <c r="Q11" s="247"/>
      <c r="R11" s="211"/>
      <c r="S11" s="211"/>
      <c r="T11" s="211"/>
      <c r="U11" s="211"/>
      <c r="V11" s="211"/>
      <c r="W11" s="211"/>
      <c r="X11" s="211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5">
      <c r="A12" s="212">
        <v>2</v>
      </c>
      <c r="B12" s="213" t="s">
        <v>165</v>
      </c>
      <c r="C12" s="219" t="s">
        <v>166</v>
      </c>
      <c r="D12" s="214" t="s">
        <v>113</v>
      </c>
      <c r="E12" s="215">
        <v>7.5</v>
      </c>
      <c r="F12" s="216"/>
      <c r="G12" s="217">
        <f>ROUND(E12*F12,2)</f>
        <v>0</v>
      </c>
      <c r="H12" s="216">
        <v>0</v>
      </c>
      <c r="I12" s="217">
        <f>ROUND(E12*H12,2)</f>
        <v>0</v>
      </c>
      <c r="J12" s="216">
        <v>1273</v>
      </c>
      <c r="K12" s="217">
        <f>ROUND(E12*J12,2)</f>
        <v>9547.5</v>
      </c>
      <c r="L12" s="217">
        <v>21</v>
      </c>
      <c r="M12" s="217">
        <f>G12*(1+L12/100)</f>
        <v>0</v>
      </c>
      <c r="N12" s="217">
        <v>0</v>
      </c>
      <c r="O12" s="217">
        <f>ROUND(E12*N12,2)</f>
        <v>0</v>
      </c>
      <c r="P12" s="217">
        <v>0</v>
      </c>
      <c r="Q12" s="217">
        <f>ROUND(E12*P12,2)</f>
        <v>0</v>
      </c>
      <c r="R12" s="217" t="s">
        <v>112</v>
      </c>
      <c r="S12" s="217" t="s">
        <v>199</v>
      </c>
      <c r="T12" s="217" t="s">
        <v>199</v>
      </c>
      <c r="U12" s="211"/>
      <c r="V12" s="211"/>
      <c r="W12" s="211"/>
      <c r="X12" s="211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5">
      <c r="A13" s="209"/>
      <c r="B13" s="210"/>
      <c r="C13" s="372" t="s">
        <v>167</v>
      </c>
      <c r="D13" s="373"/>
      <c r="E13" s="373"/>
      <c r="F13" s="373"/>
      <c r="G13" s="373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5">
      <c r="A14" s="209"/>
      <c r="B14" s="210"/>
      <c r="C14" s="261"/>
      <c r="D14" s="262"/>
      <c r="E14" s="262"/>
      <c r="F14" s="262"/>
      <c r="G14" s="262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5">
      <c r="A15" s="212">
        <v>3</v>
      </c>
      <c r="B15" s="213" t="s">
        <v>290</v>
      </c>
      <c r="C15" s="219" t="s">
        <v>272</v>
      </c>
      <c r="D15" s="214" t="s">
        <v>95</v>
      </c>
      <c r="E15" s="215">
        <v>60</v>
      </c>
      <c r="F15" s="216"/>
      <c r="G15" s="217">
        <f>ROUND(E15*F15,2)</f>
        <v>0</v>
      </c>
      <c r="H15" s="216">
        <v>11.05</v>
      </c>
      <c r="I15" s="217">
        <f>ROUND(E15*H15,2)</f>
        <v>663</v>
      </c>
      <c r="J15" s="216">
        <v>117.45</v>
      </c>
      <c r="K15" s="217">
        <f>ROUND(E15*J15,2)</f>
        <v>7047</v>
      </c>
      <c r="L15" s="217">
        <v>21</v>
      </c>
      <c r="M15" s="217">
        <f>G15*(1+L15/100)</f>
        <v>0</v>
      </c>
      <c r="N15" s="215">
        <v>9.8999999999999999E-4</v>
      </c>
      <c r="O15" s="215">
        <f>ROUND(E15*N15,2)</f>
        <v>0.06</v>
      </c>
      <c r="P15" s="215">
        <v>0</v>
      </c>
      <c r="Q15" s="215">
        <f>ROUND(E15*P15,2)</f>
        <v>0</v>
      </c>
      <c r="R15" s="217" t="s">
        <v>112</v>
      </c>
      <c r="S15" s="217" t="s">
        <v>264</v>
      </c>
      <c r="T15" s="218" t="s">
        <v>265</v>
      </c>
      <c r="U15" s="211"/>
      <c r="V15" s="211"/>
      <c r="W15" s="211"/>
      <c r="X15" s="211"/>
      <c r="Y15" s="208"/>
      <c r="Z15" s="208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12.75" customHeight="1" outlineLevel="1" x14ac:dyDescent="0.25">
      <c r="A16" s="209"/>
      <c r="B16" s="210"/>
      <c r="C16" s="372" t="s">
        <v>288</v>
      </c>
      <c r="D16" s="373"/>
      <c r="E16" s="373"/>
      <c r="F16" s="373"/>
      <c r="G16" s="373"/>
      <c r="H16" s="211"/>
      <c r="I16" s="211"/>
      <c r="J16" s="211"/>
      <c r="K16" s="211"/>
      <c r="L16" s="211"/>
      <c r="M16" s="211"/>
      <c r="N16" s="247"/>
      <c r="O16" s="247"/>
      <c r="P16" s="247"/>
      <c r="Q16" s="247"/>
      <c r="R16" s="211"/>
      <c r="S16" s="211"/>
      <c r="T16" s="211"/>
      <c r="U16" s="211"/>
      <c r="V16" s="211"/>
      <c r="W16" s="211"/>
      <c r="X16" s="211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5">
      <c r="A17" s="209"/>
      <c r="B17" s="210"/>
      <c r="C17" s="374"/>
      <c r="D17" s="375"/>
      <c r="E17" s="375"/>
      <c r="F17" s="375"/>
      <c r="G17" s="375"/>
      <c r="H17" s="211"/>
      <c r="I17" s="211"/>
      <c r="J17" s="211"/>
      <c r="K17" s="211"/>
      <c r="L17" s="211"/>
      <c r="M17" s="211"/>
      <c r="N17" s="247"/>
      <c r="O17" s="247"/>
      <c r="P17" s="247"/>
      <c r="Q17" s="247"/>
      <c r="R17" s="211"/>
      <c r="S17" s="211"/>
      <c r="T17" s="211"/>
      <c r="U17" s="211"/>
      <c r="V17" s="211"/>
      <c r="W17" s="211"/>
      <c r="X17" s="211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5">
      <c r="A18" s="212">
        <v>4</v>
      </c>
      <c r="B18" s="213" t="s">
        <v>291</v>
      </c>
      <c r="C18" s="219" t="s">
        <v>273</v>
      </c>
      <c r="D18" s="214" t="s">
        <v>95</v>
      </c>
      <c r="E18" s="215">
        <f>E15</f>
        <v>60</v>
      </c>
      <c r="F18" s="216"/>
      <c r="G18" s="217">
        <f>ROUND(E18*F18,2)</f>
        <v>0</v>
      </c>
      <c r="H18" s="216">
        <v>0</v>
      </c>
      <c r="I18" s="217">
        <f>ROUND(E18*H18,2)</f>
        <v>0</v>
      </c>
      <c r="J18" s="216">
        <v>27.9</v>
      </c>
      <c r="K18" s="217">
        <f>ROUND(E18*J18,2)</f>
        <v>1674</v>
      </c>
      <c r="L18" s="217">
        <v>21</v>
      </c>
      <c r="M18" s="217">
        <f>G18*(1+L18/100)</f>
        <v>0</v>
      </c>
      <c r="N18" s="215">
        <v>0</v>
      </c>
      <c r="O18" s="215">
        <f>ROUND(E18*N18,2)</f>
        <v>0</v>
      </c>
      <c r="P18" s="215">
        <v>0</v>
      </c>
      <c r="Q18" s="215">
        <f>ROUND(E18*P18,2)</f>
        <v>0</v>
      </c>
      <c r="R18" s="217" t="s">
        <v>112</v>
      </c>
      <c r="S18" s="217" t="s">
        <v>264</v>
      </c>
      <c r="T18" s="218" t="s">
        <v>265</v>
      </c>
      <c r="U18" s="211"/>
      <c r="V18" s="211"/>
      <c r="W18" s="211"/>
      <c r="X18" s="211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5">
      <c r="A19" s="209"/>
      <c r="B19" s="210"/>
      <c r="C19" s="372" t="s">
        <v>289</v>
      </c>
      <c r="D19" s="373"/>
      <c r="E19" s="373"/>
      <c r="F19" s="373"/>
      <c r="G19" s="373"/>
      <c r="H19" s="211"/>
      <c r="I19" s="211"/>
      <c r="J19" s="211"/>
      <c r="K19" s="211"/>
      <c r="L19" s="211"/>
      <c r="M19" s="211"/>
      <c r="N19" s="247"/>
      <c r="O19" s="247"/>
      <c r="P19" s="247"/>
      <c r="Q19" s="247"/>
      <c r="R19" s="211"/>
      <c r="S19" s="211"/>
      <c r="T19" s="211"/>
      <c r="U19" s="211"/>
      <c r="V19" s="211"/>
      <c r="W19" s="211"/>
      <c r="X19" s="211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5">
      <c r="A20" s="209"/>
      <c r="B20" s="210"/>
      <c r="C20" s="374"/>
      <c r="D20" s="375"/>
      <c r="E20" s="375"/>
      <c r="F20" s="375"/>
      <c r="G20" s="375"/>
      <c r="H20" s="211"/>
      <c r="I20" s="211"/>
      <c r="J20" s="211"/>
      <c r="K20" s="211"/>
      <c r="L20" s="211"/>
      <c r="M20" s="211"/>
      <c r="N20" s="247"/>
      <c r="O20" s="247"/>
      <c r="P20" s="247"/>
      <c r="Q20" s="247"/>
      <c r="R20" s="211"/>
      <c r="S20" s="211"/>
      <c r="T20" s="211"/>
      <c r="U20" s="211"/>
      <c r="V20" s="211"/>
      <c r="W20" s="211"/>
      <c r="X20" s="211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5">
      <c r="A21" s="212">
        <v>5</v>
      </c>
      <c r="B21" s="213" t="s">
        <v>274</v>
      </c>
      <c r="C21" s="219" t="s">
        <v>275</v>
      </c>
      <c r="D21" s="214" t="s">
        <v>113</v>
      </c>
      <c r="E21" s="215">
        <f>E9+E12</f>
        <v>90</v>
      </c>
      <c r="F21" s="216"/>
      <c r="G21" s="217">
        <f>ROUND(E21*F21,2)</f>
        <v>0</v>
      </c>
      <c r="H21" s="216">
        <v>0</v>
      </c>
      <c r="I21" s="217">
        <f>ROUND(E21*H21,2)</f>
        <v>0</v>
      </c>
      <c r="J21" s="216">
        <v>128</v>
      </c>
      <c r="K21" s="217">
        <f>ROUND(E21*J21,2)</f>
        <v>11520</v>
      </c>
      <c r="L21" s="217">
        <v>21</v>
      </c>
      <c r="M21" s="217">
        <f>G21*(1+L21/100)</f>
        <v>0</v>
      </c>
      <c r="N21" s="215">
        <v>0</v>
      </c>
      <c r="O21" s="215">
        <f>ROUND(E21*N21,2)</f>
        <v>0</v>
      </c>
      <c r="P21" s="215">
        <v>0</v>
      </c>
      <c r="Q21" s="215">
        <f>ROUND(E21*P21,2)</f>
        <v>0</v>
      </c>
      <c r="R21" s="217" t="s">
        <v>112</v>
      </c>
      <c r="S21" s="217" t="s">
        <v>264</v>
      </c>
      <c r="T21" s="218" t="s">
        <v>265</v>
      </c>
      <c r="U21" s="211"/>
      <c r="V21" s="211"/>
      <c r="W21" s="211"/>
      <c r="X21" s="211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5">
      <c r="A22" s="209"/>
      <c r="B22" s="210"/>
      <c r="C22" s="372" t="s">
        <v>276</v>
      </c>
      <c r="D22" s="373"/>
      <c r="E22" s="373"/>
      <c r="F22" s="373"/>
      <c r="G22" s="373"/>
      <c r="H22" s="211"/>
      <c r="I22" s="211"/>
      <c r="J22" s="211"/>
      <c r="K22" s="211"/>
      <c r="L22" s="211"/>
      <c r="M22" s="211"/>
      <c r="N22" s="247"/>
      <c r="O22" s="247"/>
      <c r="P22" s="247"/>
      <c r="Q22" s="247"/>
      <c r="R22" s="211"/>
      <c r="S22" s="211"/>
      <c r="T22" s="211"/>
      <c r="U22" s="211"/>
      <c r="V22" s="211"/>
      <c r="W22" s="211"/>
      <c r="X22" s="211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5">
      <c r="A23" s="209"/>
      <c r="B23" s="210"/>
      <c r="C23" s="374"/>
      <c r="D23" s="375"/>
      <c r="E23" s="375"/>
      <c r="F23" s="375"/>
      <c r="G23" s="375"/>
      <c r="H23" s="211"/>
      <c r="I23" s="211"/>
      <c r="J23" s="211"/>
      <c r="K23" s="211"/>
      <c r="L23" s="211"/>
      <c r="M23" s="211"/>
      <c r="N23" s="247"/>
      <c r="O23" s="247"/>
      <c r="P23" s="247"/>
      <c r="Q23" s="247"/>
      <c r="R23" s="211"/>
      <c r="S23" s="211"/>
      <c r="T23" s="211"/>
      <c r="U23" s="211"/>
      <c r="V23" s="211"/>
      <c r="W23" s="211"/>
      <c r="X23" s="211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5">
      <c r="A24" s="212">
        <v>6</v>
      </c>
      <c r="B24" s="213" t="s">
        <v>116</v>
      </c>
      <c r="C24" s="219" t="s">
        <v>117</v>
      </c>
      <c r="D24" s="214" t="s">
        <v>113</v>
      </c>
      <c r="E24" s="201">
        <f>E30+E37</f>
        <v>20</v>
      </c>
      <c r="F24" s="216"/>
      <c r="G24" s="217">
        <f>ROUND(E24*F24,2)</f>
        <v>0</v>
      </c>
      <c r="H24" s="216">
        <v>0</v>
      </c>
      <c r="I24" s="217">
        <f>ROUND(E24*H24,2)</f>
        <v>0</v>
      </c>
      <c r="J24" s="216">
        <v>259.5</v>
      </c>
      <c r="K24" s="217">
        <f>ROUND(E24*J24,2)</f>
        <v>5190</v>
      </c>
      <c r="L24" s="217">
        <v>21</v>
      </c>
      <c r="M24" s="217">
        <f>G24*(1+L24/100)</f>
        <v>0</v>
      </c>
      <c r="N24" s="217">
        <v>0</v>
      </c>
      <c r="O24" s="217">
        <f>ROUND(E24*N24,2)</f>
        <v>0</v>
      </c>
      <c r="P24" s="217">
        <v>0</v>
      </c>
      <c r="Q24" s="217">
        <f>ROUND(E24*P24,2)</f>
        <v>0</v>
      </c>
      <c r="R24" s="217" t="s">
        <v>112</v>
      </c>
      <c r="S24" s="217" t="s">
        <v>199</v>
      </c>
      <c r="T24" s="217" t="s">
        <v>199</v>
      </c>
      <c r="U24" s="211">
        <v>5.1999999999999998E-3</v>
      </c>
      <c r="V24" s="211">
        <f>ROUND(E24*U24,2)</f>
        <v>0.1</v>
      </c>
      <c r="W24" s="211"/>
      <c r="X24" s="211" t="s">
        <v>107</v>
      </c>
      <c r="Y24" s="208"/>
      <c r="Z24" s="208"/>
      <c r="AA24" s="208"/>
      <c r="AB24" s="208"/>
      <c r="AC24" s="208"/>
      <c r="AD24" s="208"/>
      <c r="AE24" s="208"/>
      <c r="AF24" s="208"/>
      <c r="AG24" s="208" t="s">
        <v>108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5">
      <c r="A25" s="209"/>
      <c r="B25" s="210"/>
      <c r="C25" s="372" t="s">
        <v>118</v>
      </c>
      <c r="D25" s="373"/>
      <c r="E25" s="373"/>
      <c r="F25" s="373"/>
      <c r="G25" s="373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08"/>
      <c r="Z25" s="208"/>
      <c r="AA25" s="208"/>
      <c r="AB25" s="208"/>
      <c r="AC25" s="208"/>
      <c r="AD25" s="208"/>
      <c r="AE25" s="208"/>
      <c r="AF25" s="208"/>
      <c r="AG25" s="208" t="s">
        <v>109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5">
      <c r="A26" s="209"/>
      <c r="B26" s="210"/>
      <c r="C26" s="374"/>
      <c r="D26" s="375"/>
      <c r="E26" s="375"/>
      <c r="F26" s="375"/>
      <c r="G26" s="375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08"/>
      <c r="Z26" s="208"/>
      <c r="AA26" s="208"/>
      <c r="AB26" s="208"/>
      <c r="AC26" s="208"/>
      <c r="AD26" s="208"/>
      <c r="AE26" s="208"/>
      <c r="AF26" s="208"/>
      <c r="AG26" s="208" t="s">
        <v>92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0.399999999999999" outlineLevel="1" x14ac:dyDescent="0.25">
      <c r="A27" s="212">
        <v>7</v>
      </c>
      <c r="B27" s="213" t="s">
        <v>191</v>
      </c>
      <c r="C27" s="219" t="s">
        <v>192</v>
      </c>
      <c r="D27" s="214" t="s">
        <v>113</v>
      </c>
      <c r="E27" s="215">
        <f>E24*5</f>
        <v>100</v>
      </c>
      <c r="F27" s="216"/>
      <c r="G27" s="217">
        <f>ROUND(E27*F27,2)</f>
        <v>0</v>
      </c>
      <c r="H27" s="216">
        <v>0</v>
      </c>
      <c r="I27" s="217">
        <f>ROUND(E27*H27,2)</f>
        <v>0</v>
      </c>
      <c r="J27" s="216">
        <v>21</v>
      </c>
      <c r="K27" s="217">
        <f>ROUND(E27*J27,2)</f>
        <v>2100</v>
      </c>
      <c r="L27" s="217">
        <v>21</v>
      </c>
      <c r="M27" s="217">
        <f>G27*(1+L27/100)</f>
        <v>0</v>
      </c>
      <c r="N27" s="217">
        <v>0</v>
      </c>
      <c r="O27" s="217">
        <f>ROUND(E27*N27,2)</f>
        <v>0</v>
      </c>
      <c r="P27" s="217">
        <v>0</v>
      </c>
      <c r="Q27" s="217">
        <f>ROUND(E27*P27,2)</f>
        <v>0</v>
      </c>
      <c r="R27" s="217" t="s">
        <v>112</v>
      </c>
      <c r="S27" s="217" t="s">
        <v>199</v>
      </c>
      <c r="T27" s="217" t="s">
        <v>199</v>
      </c>
      <c r="U27" s="211"/>
      <c r="V27" s="211"/>
      <c r="W27" s="211"/>
      <c r="X27" s="211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5">
      <c r="A28" s="209"/>
      <c r="B28" s="210"/>
      <c r="C28" s="372" t="s">
        <v>118</v>
      </c>
      <c r="D28" s="373"/>
      <c r="E28" s="373"/>
      <c r="F28" s="373"/>
      <c r="G28" s="373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5">
      <c r="A29" s="209"/>
      <c r="B29" s="210"/>
      <c r="C29" s="261"/>
      <c r="D29" s="262"/>
      <c r="E29" s="262"/>
      <c r="F29" s="262"/>
      <c r="G29" s="262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0.399999999999999" outlineLevel="1" x14ac:dyDescent="0.25">
      <c r="A30" s="212">
        <v>8</v>
      </c>
      <c r="B30" s="213" t="s">
        <v>294</v>
      </c>
      <c r="C30" s="219" t="s">
        <v>292</v>
      </c>
      <c r="D30" s="214" t="s">
        <v>113</v>
      </c>
      <c r="E30" s="215">
        <v>15</v>
      </c>
      <c r="F30" s="216"/>
      <c r="G30" s="217">
        <f>ROUND(E30*F30,2)</f>
        <v>0</v>
      </c>
      <c r="H30" s="216">
        <v>0</v>
      </c>
      <c r="I30" s="217">
        <f>ROUND(E30*H30,2)</f>
        <v>0</v>
      </c>
      <c r="J30" s="216">
        <v>123</v>
      </c>
      <c r="K30" s="217">
        <f>ROUND(E30*J30,2)</f>
        <v>1845</v>
      </c>
      <c r="L30" s="217">
        <v>21</v>
      </c>
      <c r="M30" s="217">
        <f>G30*(1+L30/100)</f>
        <v>0</v>
      </c>
      <c r="N30" s="215">
        <v>0</v>
      </c>
      <c r="O30" s="215">
        <f>ROUND(E30*N30,2)</f>
        <v>0</v>
      </c>
      <c r="P30" s="215">
        <v>0</v>
      </c>
      <c r="Q30" s="215">
        <f>ROUND(E30*P30,2)</f>
        <v>0</v>
      </c>
      <c r="R30" s="217" t="s">
        <v>112</v>
      </c>
      <c r="S30" s="217" t="s">
        <v>264</v>
      </c>
      <c r="T30" s="218" t="s">
        <v>265</v>
      </c>
      <c r="U30" s="211"/>
      <c r="V30" s="211"/>
      <c r="W30" s="211"/>
      <c r="X30" s="211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5">
      <c r="A31" s="209"/>
      <c r="B31" s="210"/>
      <c r="C31" s="372" t="s">
        <v>293</v>
      </c>
      <c r="D31" s="372"/>
      <c r="E31" s="372"/>
      <c r="F31" s="372"/>
      <c r="G31" s="372"/>
      <c r="H31" s="190"/>
      <c r="I31" s="211"/>
      <c r="J31" s="190"/>
      <c r="K31" s="211"/>
      <c r="L31" s="211"/>
      <c r="M31" s="211"/>
      <c r="N31" s="247"/>
      <c r="O31" s="247"/>
      <c r="P31" s="247"/>
      <c r="Q31" s="247"/>
      <c r="R31" s="211"/>
      <c r="S31" s="211"/>
      <c r="T31" s="211"/>
      <c r="U31" s="211"/>
      <c r="V31" s="211"/>
      <c r="W31" s="211"/>
      <c r="X31" s="211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5">
      <c r="A32" s="209"/>
      <c r="B32" s="210"/>
      <c r="C32" s="263"/>
      <c r="D32" s="264"/>
      <c r="E32" s="264"/>
      <c r="F32" s="264"/>
      <c r="G32" s="264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5">
      <c r="A33" s="212">
        <v>9</v>
      </c>
      <c r="B33" s="213" t="s">
        <v>184</v>
      </c>
      <c r="C33" s="219" t="s">
        <v>268</v>
      </c>
      <c r="D33" s="214" t="s">
        <v>113</v>
      </c>
      <c r="E33" s="215">
        <f>E21-E30-E37</f>
        <v>70</v>
      </c>
      <c r="F33" s="216"/>
      <c r="G33" s="217">
        <f>ROUND(E33*F33,2)</f>
        <v>0</v>
      </c>
      <c r="H33" s="216">
        <v>0</v>
      </c>
      <c r="I33" s="217">
        <f>ROUND(E33*H33,2)</f>
        <v>0</v>
      </c>
      <c r="J33" s="216">
        <v>123</v>
      </c>
      <c r="K33" s="217">
        <f>ROUND(E33*J33,2)</f>
        <v>8610</v>
      </c>
      <c r="L33" s="217">
        <v>21</v>
      </c>
      <c r="M33" s="217">
        <f>G33*(1+L33/100)</f>
        <v>0</v>
      </c>
      <c r="N33" s="215">
        <v>0</v>
      </c>
      <c r="O33" s="215">
        <f>ROUND(E33*N33,2)</f>
        <v>0</v>
      </c>
      <c r="P33" s="215">
        <v>0</v>
      </c>
      <c r="Q33" s="215">
        <f>ROUND(E33*P33,2)</f>
        <v>0</v>
      </c>
      <c r="R33" s="217" t="s">
        <v>112</v>
      </c>
      <c r="S33" s="217" t="s">
        <v>264</v>
      </c>
      <c r="T33" s="218" t="s">
        <v>265</v>
      </c>
      <c r="U33" s="211"/>
      <c r="V33" s="211"/>
      <c r="W33" s="211"/>
      <c r="X33" s="211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5">
      <c r="A34" s="209"/>
      <c r="B34" s="210"/>
      <c r="C34" s="372" t="s">
        <v>185</v>
      </c>
      <c r="D34" s="373"/>
      <c r="E34" s="373"/>
      <c r="F34" s="373"/>
      <c r="G34" s="373"/>
      <c r="H34" s="211"/>
      <c r="I34" s="211"/>
      <c r="J34" s="211"/>
      <c r="K34" s="211"/>
      <c r="L34" s="211"/>
      <c r="M34" s="211"/>
      <c r="N34" s="247"/>
      <c r="O34" s="247"/>
      <c r="P34" s="247"/>
      <c r="Q34" s="247"/>
      <c r="R34" s="211"/>
      <c r="S34" s="211"/>
      <c r="T34" s="211"/>
      <c r="U34" s="211"/>
      <c r="V34" s="211"/>
      <c r="W34" s="211"/>
      <c r="X34" s="211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5">
      <c r="A35" s="209"/>
      <c r="B35" s="210"/>
      <c r="C35" s="388" t="s">
        <v>269</v>
      </c>
      <c r="D35" s="389"/>
      <c r="E35" s="389"/>
      <c r="F35" s="389"/>
      <c r="G35" s="389"/>
      <c r="H35" s="211"/>
      <c r="I35" s="211"/>
      <c r="J35" s="211"/>
      <c r="K35" s="211"/>
      <c r="L35" s="211"/>
      <c r="M35" s="211"/>
      <c r="N35" s="247"/>
      <c r="O35" s="247"/>
      <c r="P35" s="247"/>
      <c r="Q35" s="247"/>
      <c r="R35" s="211"/>
      <c r="S35" s="211"/>
      <c r="T35" s="211"/>
      <c r="U35" s="211"/>
      <c r="V35" s="211"/>
      <c r="W35" s="211"/>
      <c r="X35" s="211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5">
      <c r="A36" s="209"/>
      <c r="B36" s="210"/>
      <c r="C36" s="374"/>
      <c r="D36" s="375"/>
      <c r="E36" s="375"/>
      <c r="F36" s="375"/>
      <c r="G36" s="375"/>
      <c r="H36" s="211"/>
      <c r="I36" s="211"/>
      <c r="J36" s="211"/>
      <c r="K36" s="211"/>
      <c r="L36" s="211"/>
      <c r="M36" s="211"/>
      <c r="N36" s="247"/>
      <c r="O36" s="247"/>
      <c r="P36" s="247"/>
      <c r="Q36" s="247"/>
      <c r="R36" s="211"/>
      <c r="S36" s="211"/>
      <c r="T36" s="211"/>
      <c r="U36" s="211"/>
      <c r="V36" s="211"/>
      <c r="W36" s="211"/>
      <c r="X36" s="211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5">
      <c r="A37" s="212">
        <v>10</v>
      </c>
      <c r="B37" s="213" t="s">
        <v>270</v>
      </c>
      <c r="C37" s="219" t="s">
        <v>271</v>
      </c>
      <c r="D37" s="214" t="s">
        <v>113</v>
      </c>
      <c r="E37" s="215">
        <v>5</v>
      </c>
      <c r="F37" s="216"/>
      <c r="G37" s="217">
        <f>ROUND(E37*F37,2)</f>
        <v>0</v>
      </c>
      <c r="H37" s="216">
        <v>493.4</v>
      </c>
      <c r="I37" s="217">
        <f>ROUND(E37*H37,2)</f>
        <v>2467</v>
      </c>
      <c r="J37" s="216">
        <v>588.6</v>
      </c>
      <c r="K37" s="217">
        <f>ROUND(E37*J37,2)</f>
        <v>2943</v>
      </c>
      <c r="L37" s="217">
        <v>21</v>
      </c>
      <c r="M37" s="217">
        <f>G37*(1+L37/100)</f>
        <v>0</v>
      </c>
      <c r="N37" s="215">
        <v>1.7</v>
      </c>
      <c r="O37" s="215">
        <f>ROUND(E37*N37,2)</f>
        <v>8.5</v>
      </c>
      <c r="P37" s="215">
        <v>0</v>
      </c>
      <c r="Q37" s="215">
        <f>ROUND(E37*P37,2)</f>
        <v>0</v>
      </c>
      <c r="R37" s="217" t="s">
        <v>112</v>
      </c>
      <c r="S37" s="217" t="s">
        <v>264</v>
      </c>
      <c r="T37" s="218" t="s">
        <v>265</v>
      </c>
      <c r="U37" s="211">
        <v>0.65200000000000002</v>
      </c>
      <c r="V37" s="211">
        <f>ROUND(E37*U37,2)</f>
        <v>3.26</v>
      </c>
      <c r="W37" s="211"/>
      <c r="X37" s="211" t="s">
        <v>107</v>
      </c>
      <c r="Y37" s="208"/>
      <c r="Z37" s="208"/>
      <c r="AA37" s="208"/>
      <c r="AB37" s="208"/>
      <c r="AC37" s="208"/>
      <c r="AD37" s="208"/>
      <c r="AE37" s="208"/>
      <c r="AF37" s="208"/>
      <c r="AG37" s="208" t="s">
        <v>108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12.75" customHeight="1" outlineLevel="1" x14ac:dyDescent="0.25">
      <c r="A38" s="209"/>
      <c r="B38" s="210"/>
      <c r="C38" s="372" t="s">
        <v>293</v>
      </c>
      <c r="D38" s="372"/>
      <c r="E38" s="372"/>
      <c r="F38" s="372"/>
      <c r="G38" s="372"/>
      <c r="H38" s="211"/>
      <c r="I38" s="211"/>
      <c r="J38" s="211"/>
      <c r="K38" s="211"/>
      <c r="L38" s="211"/>
      <c r="M38" s="211"/>
      <c r="N38" s="247"/>
      <c r="O38" s="247"/>
      <c r="P38" s="247"/>
      <c r="Q38" s="247"/>
      <c r="R38" s="211"/>
      <c r="S38" s="211"/>
      <c r="T38" s="211"/>
      <c r="U38" s="211"/>
      <c r="V38" s="211"/>
      <c r="W38" s="211"/>
      <c r="X38" s="211"/>
      <c r="Y38" s="208"/>
      <c r="Z38" s="208"/>
      <c r="AA38" s="208"/>
      <c r="AB38" s="208"/>
      <c r="AC38" s="208"/>
      <c r="AD38" s="208"/>
      <c r="AE38" s="208"/>
      <c r="AF38" s="208"/>
      <c r="AG38" s="208" t="s">
        <v>92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5">
      <c r="A39" s="209"/>
      <c r="B39" s="210"/>
      <c r="C39" s="374"/>
      <c r="D39" s="375"/>
      <c r="E39" s="375"/>
      <c r="F39" s="375"/>
      <c r="G39" s="375"/>
      <c r="H39" s="211"/>
      <c r="I39" s="211"/>
      <c r="J39" s="211"/>
      <c r="K39" s="211"/>
      <c r="L39" s="211"/>
      <c r="M39" s="211"/>
      <c r="N39" s="247"/>
      <c r="O39" s="247"/>
      <c r="P39" s="247"/>
      <c r="Q39" s="247"/>
      <c r="R39" s="211"/>
      <c r="S39" s="211"/>
      <c r="T39" s="211"/>
      <c r="U39" s="211">
        <v>0.06</v>
      </c>
      <c r="V39" s="211">
        <f>ROUND(E39*U39,2)</f>
        <v>0</v>
      </c>
      <c r="W39" s="211"/>
      <c r="X39" s="211" t="s">
        <v>107</v>
      </c>
      <c r="Y39" s="208"/>
      <c r="Z39" s="208"/>
      <c r="AA39" s="208"/>
      <c r="AB39" s="208"/>
      <c r="AC39" s="208"/>
      <c r="AD39" s="208"/>
      <c r="AE39" s="208"/>
      <c r="AF39" s="208"/>
      <c r="AG39" s="208" t="s">
        <v>108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5">
      <c r="A40" s="212">
        <v>11</v>
      </c>
      <c r="B40" s="213" t="s">
        <v>194</v>
      </c>
      <c r="C40" s="219" t="s">
        <v>123</v>
      </c>
      <c r="D40" s="214" t="s">
        <v>113</v>
      </c>
      <c r="E40" s="215">
        <f>E24</f>
        <v>20</v>
      </c>
      <c r="F40" s="216"/>
      <c r="G40" s="217">
        <f>ROUND(E40*F40,2)</f>
        <v>0</v>
      </c>
      <c r="H40" s="216">
        <v>0</v>
      </c>
      <c r="I40" s="217">
        <f>ROUND(E40*H40,2)</f>
        <v>0</v>
      </c>
      <c r="J40" s="216">
        <v>282.5</v>
      </c>
      <c r="K40" s="217">
        <f>ROUND(E40*J40,2)</f>
        <v>5650</v>
      </c>
      <c r="L40" s="217">
        <v>21</v>
      </c>
      <c r="M40" s="217">
        <f>G40*(1+L40/100)</f>
        <v>0</v>
      </c>
      <c r="N40" s="217">
        <v>0</v>
      </c>
      <c r="O40" s="217">
        <f>ROUND(E40*N40,2)</f>
        <v>0</v>
      </c>
      <c r="P40" s="217">
        <v>0</v>
      </c>
      <c r="Q40" s="217">
        <f>ROUND(E40*P40,2)</f>
        <v>0</v>
      </c>
      <c r="R40" s="217" t="s">
        <v>112</v>
      </c>
      <c r="S40" s="217" t="s">
        <v>199</v>
      </c>
      <c r="T40" s="217" t="s">
        <v>199</v>
      </c>
      <c r="U40" s="211">
        <v>0</v>
      </c>
      <c r="V40" s="211">
        <f>ROUND(E40*U40,2)</f>
        <v>0</v>
      </c>
      <c r="W40" s="211"/>
      <c r="X40" s="211" t="s">
        <v>107</v>
      </c>
      <c r="Y40" s="208"/>
      <c r="Z40" s="208"/>
      <c r="AA40" s="208"/>
      <c r="AB40" s="208"/>
      <c r="AC40" s="208"/>
      <c r="AD40" s="208"/>
      <c r="AE40" s="208"/>
      <c r="AF40" s="208"/>
      <c r="AG40" s="208" t="s">
        <v>108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5">
      <c r="A41" s="209"/>
      <c r="B41" s="210"/>
      <c r="C41" s="376"/>
      <c r="D41" s="377"/>
      <c r="E41" s="377"/>
      <c r="F41" s="377"/>
      <c r="G41" s="377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08"/>
      <c r="Z41" s="208"/>
      <c r="AA41" s="208"/>
      <c r="AB41" s="208"/>
      <c r="AC41" s="208"/>
      <c r="AD41" s="208"/>
      <c r="AE41" s="208"/>
      <c r="AF41" s="208"/>
      <c r="AG41" s="208" t="s">
        <v>92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x14ac:dyDescent="0.25">
      <c r="A42" s="155" t="s">
        <v>90</v>
      </c>
      <c r="B42" s="156" t="s">
        <v>277</v>
      </c>
      <c r="C42" s="171" t="s">
        <v>278</v>
      </c>
      <c r="D42" s="157"/>
      <c r="E42" s="158"/>
      <c r="F42" s="159"/>
      <c r="G42" s="159">
        <f>SUMIF(AG43:AG56,"&lt;&gt;NOR",G43:G56)</f>
        <v>0</v>
      </c>
      <c r="H42" s="159"/>
      <c r="I42" s="159">
        <f>SUM(I43:I56)</f>
        <v>219103.21</v>
      </c>
      <c r="J42" s="159"/>
      <c r="K42" s="159">
        <f>SUM(K43:K56)</f>
        <v>36253.79</v>
      </c>
      <c r="L42" s="159"/>
      <c r="M42" s="159">
        <f>SUM(M43:M56)</f>
        <v>0</v>
      </c>
      <c r="N42" s="158"/>
      <c r="O42" s="158">
        <f>SUM(O43:O56)</f>
        <v>55.92</v>
      </c>
      <c r="P42" s="158"/>
      <c r="Q42" s="158">
        <f>SUM(Q43:Q56)</f>
        <v>0</v>
      </c>
      <c r="R42" s="159"/>
      <c r="S42" s="159"/>
      <c r="T42" s="160"/>
      <c r="U42" s="154"/>
      <c r="V42" s="154" t="e">
        <f>SUM(V43:V66)</f>
        <v>#VALUE!</v>
      </c>
      <c r="W42" s="154"/>
      <c r="X42" s="154"/>
      <c r="Y42" s="84"/>
      <c r="AG42" s="207" t="s">
        <v>91</v>
      </c>
    </row>
    <row r="43" spans="1:60" ht="20.399999999999999" outlineLevel="1" x14ac:dyDescent="0.25">
      <c r="A43" s="212">
        <v>12</v>
      </c>
      <c r="B43" s="213" t="s">
        <v>281</v>
      </c>
      <c r="C43" s="219" t="s">
        <v>373</v>
      </c>
      <c r="D43" s="214" t="s">
        <v>111</v>
      </c>
      <c r="E43" s="215">
        <v>35</v>
      </c>
      <c r="F43" s="216"/>
      <c r="G43" s="217">
        <f>ROUND(E43*F43,2)</f>
        <v>0</v>
      </c>
      <c r="H43" s="216">
        <v>313.41000000000003</v>
      </c>
      <c r="I43" s="217">
        <f>ROUND(E43*H43,2)</f>
        <v>10969.35</v>
      </c>
      <c r="J43" s="216">
        <v>32.090000000000003</v>
      </c>
      <c r="K43" s="217">
        <f>ROUND(E43*J43,2)</f>
        <v>1123.1500000000001</v>
      </c>
      <c r="L43" s="217">
        <v>21</v>
      </c>
      <c r="M43" s="217">
        <f>G43*(1+L43/100)</f>
        <v>0</v>
      </c>
      <c r="N43" s="215">
        <v>2.64E-3</v>
      </c>
      <c r="O43" s="215">
        <f>ROUND(E43*N43,2)</f>
        <v>0.09</v>
      </c>
      <c r="P43" s="215">
        <v>0</v>
      </c>
      <c r="Q43" s="215">
        <f>ROUND(E43*P43,2)</f>
        <v>0</v>
      </c>
      <c r="R43" s="217" t="s">
        <v>217</v>
      </c>
      <c r="S43" s="217" t="s">
        <v>199</v>
      </c>
      <c r="T43" s="218" t="s">
        <v>286</v>
      </c>
      <c r="U43" s="217" t="s">
        <v>199</v>
      </c>
      <c r="V43" s="211" t="e">
        <f>ROUND(E43*U43,2)</f>
        <v>#VALUE!</v>
      </c>
      <c r="W43" s="211"/>
      <c r="X43" s="211" t="s">
        <v>107</v>
      </c>
      <c r="Y43" s="208"/>
      <c r="Z43" s="208"/>
      <c r="AA43" s="208"/>
      <c r="AB43" s="208"/>
      <c r="AC43" s="208"/>
      <c r="AD43" s="208"/>
      <c r="AE43" s="208"/>
      <c r="AF43" s="208"/>
      <c r="AG43" s="208" t="s">
        <v>108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5">
      <c r="A44" s="209"/>
      <c r="B44" s="210"/>
      <c r="C44" s="372" t="s">
        <v>374</v>
      </c>
      <c r="D44" s="373"/>
      <c r="E44" s="373"/>
      <c r="F44" s="373"/>
      <c r="G44" s="373"/>
      <c r="H44" s="211"/>
      <c r="I44" s="211"/>
      <c r="J44" s="211"/>
      <c r="K44" s="211"/>
      <c r="L44" s="211"/>
      <c r="M44" s="211"/>
      <c r="N44" s="247"/>
      <c r="O44" s="247"/>
      <c r="P44" s="247"/>
      <c r="Q44" s="247"/>
      <c r="R44" s="211"/>
      <c r="S44" s="211"/>
      <c r="T44" s="211"/>
      <c r="U44" s="211"/>
      <c r="V44" s="211"/>
      <c r="W44" s="211"/>
      <c r="X44" s="211"/>
      <c r="Y44" s="208"/>
      <c r="Z44" s="208"/>
      <c r="AA44" s="208"/>
      <c r="AB44" s="208"/>
      <c r="AC44" s="208"/>
      <c r="AD44" s="208"/>
      <c r="AE44" s="208"/>
      <c r="AF44" s="208"/>
      <c r="AG44" s="208" t="s">
        <v>92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5">
      <c r="A45" s="209"/>
      <c r="B45" s="210"/>
      <c r="C45" s="374"/>
      <c r="D45" s="375"/>
      <c r="E45" s="375"/>
      <c r="F45" s="375"/>
      <c r="G45" s="375"/>
      <c r="H45" s="211"/>
      <c r="I45" s="211"/>
      <c r="J45" s="211"/>
      <c r="K45" s="211"/>
      <c r="L45" s="211"/>
      <c r="M45" s="211"/>
      <c r="N45" s="247"/>
      <c r="O45" s="247"/>
      <c r="P45" s="247"/>
      <c r="Q45" s="247"/>
      <c r="R45" s="211"/>
      <c r="S45" s="211"/>
      <c r="T45" s="211"/>
      <c r="U45" s="211"/>
      <c r="V45" s="211"/>
      <c r="W45" s="211"/>
      <c r="X45" s="211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5">
      <c r="A46" s="212">
        <f>A43+1</f>
        <v>13</v>
      </c>
      <c r="B46" s="213" t="s">
        <v>295</v>
      </c>
      <c r="C46" s="219" t="s">
        <v>375</v>
      </c>
      <c r="D46" s="214" t="s">
        <v>204</v>
      </c>
      <c r="E46" s="215">
        <v>9</v>
      </c>
      <c r="F46" s="216"/>
      <c r="G46" s="217">
        <f>ROUND(E46*F46,2)</f>
        <v>0</v>
      </c>
      <c r="H46" s="216">
        <v>313.41000000000003</v>
      </c>
      <c r="I46" s="217">
        <f>ROUND(E46*H46,2)</f>
        <v>2820.69</v>
      </c>
      <c r="J46" s="216">
        <v>32.090000000000003</v>
      </c>
      <c r="K46" s="217">
        <f>ROUND(E46*J46,2)</f>
        <v>288.81</v>
      </c>
      <c r="L46" s="217">
        <v>21</v>
      </c>
      <c r="M46" s="217">
        <f>G46*(1+L46/100)</f>
        <v>0</v>
      </c>
      <c r="N46" s="215">
        <v>2.64E-3</v>
      </c>
      <c r="O46" s="215">
        <f>ROUND(E46*N46,2)</f>
        <v>0.02</v>
      </c>
      <c r="P46" s="215">
        <v>0</v>
      </c>
      <c r="Q46" s="215">
        <f>ROUND(E46*P46,2)</f>
        <v>0</v>
      </c>
      <c r="R46" s="217" t="s">
        <v>217</v>
      </c>
      <c r="S46" s="217" t="s">
        <v>199</v>
      </c>
      <c r="T46" s="218" t="s">
        <v>286</v>
      </c>
      <c r="U46" s="211"/>
      <c r="V46" s="211"/>
      <c r="W46" s="211"/>
      <c r="X46" s="211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5">
      <c r="A47" s="209"/>
      <c r="B47" s="210"/>
      <c r="C47" s="372" t="s">
        <v>280</v>
      </c>
      <c r="D47" s="373"/>
      <c r="E47" s="373"/>
      <c r="F47" s="373"/>
      <c r="G47" s="373"/>
      <c r="H47" s="211"/>
      <c r="I47" s="211"/>
      <c r="J47" s="211"/>
      <c r="K47" s="211"/>
      <c r="L47" s="211"/>
      <c r="M47" s="211"/>
      <c r="N47" s="247"/>
      <c r="O47" s="247"/>
      <c r="P47" s="247"/>
      <c r="Q47" s="247"/>
      <c r="R47" s="211"/>
      <c r="S47" s="211"/>
      <c r="T47" s="211"/>
      <c r="U47" s="211"/>
      <c r="V47" s="211"/>
      <c r="W47" s="211"/>
      <c r="X47" s="211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5">
      <c r="A48" s="209"/>
      <c r="B48" s="210"/>
      <c r="C48" s="263"/>
      <c r="D48" s="264"/>
      <c r="E48" s="264"/>
      <c r="F48" s="264"/>
      <c r="G48" s="264"/>
      <c r="H48" s="211"/>
      <c r="I48" s="211"/>
      <c r="J48" s="211"/>
      <c r="K48" s="211"/>
      <c r="L48" s="211"/>
      <c r="M48" s="211"/>
      <c r="N48" s="247"/>
      <c r="O48" s="247"/>
      <c r="P48" s="247"/>
      <c r="Q48" s="247"/>
      <c r="R48" s="211"/>
      <c r="S48" s="211"/>
      <c r="T48" s="211"/>
      <c r="U48" s="211"/>
      <c r="V48" s="211"/>
      <c r="W48" s="211"/>
      <c r="X48" s="211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5">
      <c r="A49" s="212">
        <f>A46+1</f>
        <v>14</v>
      </c>
      <c r="B49" s="213" t="s">
        <v>285</v>
      </c>
      <c r="C49" s="219" t="s">
        <v>376</v>
      </c>
      <c r="D49" s="214" t="s">
        <v>94</v>
      </c>
      <c r="E49" s="215">
        <v>9</v>
      </c>
      <c r="F49" s="216"/>
      <c r="G49" s="217">
        <f>ROUND(E49*F49,2)</f>
        <v>0</v>
      </c>
      <c r="H49" s="216">
        <v>13145.87</v>
      </c>
      <c r="I49" s="217">
        <f>ROUND(E49*H49,2)</f>
        <v>118312.83</v>
      </c>
      <c r="J49" s="216">
        <v>1474.13</v>
      </c>
      <c r="K49" s="217">
        <f>ROUND(E49*J49,2)</f>
        <v>13267.17</v>
      </c>
      <c r="L49" s="217">
        <v>21</v>
      </c>
      <c r="M49" s="217">
        <f>G49*(1+L49/100)</f>
        <v>0</v>
      </c>
      <c r="N49" s="215">
        <v>2.5704199999999999</v>
      </c>
      <c r="O49" s="215">
        <f>ROUND(E49*N49,2)</f>
        <v>23.13</v>
      </c>
      <c r="P49" s="215">
        <v>0</v>
      </c>
      <c r="Q49" s="215">
        <f>ROUND(E49*P49,2)</f>
        <v>0</v>
      </c>
      <c r="R49" s="217" t="s">
        <v>173</v>
      </c>
      <c r="S49" s="217" t="s">
        <v>199</v>
      </c>
      <c r="T49" s="217" t="s">
        <v>199</v>
      </c>
      <c r="U49" s="211"/>
      <c r="V49" s="211"/>
      <c r="W49" s="211"/>
      <c r="X49" s="211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5">
      <c r="A50" s="209"/>
      <c r="B50" s="210"/>
      <c r="C50" s="372" t="s">
        <v>377</v>
      </c>
      <c r="D50" s="373"/>
      <c r="E50" s="373"/>
      <c r="F50" s="373"/>
      <c r="G50" s="373"/>
      <c r="H50" s="211"/>
      <c r="I50" s="211"/>
      <c r="J50" s="211"/>
      <c r="K50" s="211"/>
      <c r="L50" s="211"/>
      <c r="M50" s="211"/>
      <c r="N50" s="247"/>
      <c r="O50" s="247"/>
      <c r="P50" s="247"/>
      <c r="Q50" s="247"/>
      <c r="R50" s="211"/>
      <c r="S50" s="211"/>
      <c r="T50" s="211"/>
      <c r="U50" s="211"/>
      <c r="V50" s="211"/>
      <c r="W50" s="211"/>
      <c r="X50" s="211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13.2" customHeight="1" outlineLevel="1" x14ac:dyDescent="0.25">
      <c r="A51" s="209"/>
      <c r="B51" s="210"/>
      <c r="C51" s="374"/>
      <c r="D51" s="375"/>
      <c r="E51" s="375"/>
      <c r="F51" s="375"/>
      <c r="G51" s="375"/>
      <c r="H51" s="211"/>
      <c r="I51" s="211"/>
      <c r="J51" s="211"/>
      <c r="K51" s="211"/>
      <c r="L51" s="211"/>
      <c r="M51" s="211"/>
      <c r="N51" s="247"/>
      <c r="O51" s="247"/>
      <c r="P51" s="247"/>
      <c r="Q51" s="247"/>
      <c r="R51" s="211"/>
      <c r="S51" s="211"/>
      <c r="T51" s="211"/>
      <c r="U51" s="211"/>
      <c r="V51" s="211"/>
      <c r="W51" s="211"/>
      <c r="X51" s="211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5">
      <c r="A52" s="212">
        <f>A49+1</f>
        <v>15</v>
      </c>
      <c r="B52" s="213" t="s">
        <v>379</v>
      </c>
      <c r="C52" s="219" t="s">
        <v>378</v>
      </c>
      <c r="D52" s="214" t="s">
        <v>94</v>
      </c>
      <c r="E52" s="215">
        <v>2</v>
      </c>
      <c r="F52" s="216"/>
      <c r="G52" s="217">
        <f>ROUND(E52*F52,2)</f>
        <v>0</v>
      </c>
      <c r="H52" s="216">
        <v>13145.87</v>
      </c>
      <c r="I52" s="217">
        <f>ROUND(E52*H52,2)</f>
        <v>26291.74</v>
      </c>
      <c r="J52" s="216">
        <v>1474.13</v>
      </c>
      <c r="K52" s="217">
        <f>ROUND(E52*J52,2)</f>
        <v>2948.26</v>
      </c>
      <c r="L52" s="217">
        <v>21</v>
      </c>
      <c r="M52" s="217">
        <f>G52*(1+L52/100)</f>
        <v>0</v>
      </c>
      <c r="N52" s="215">
        <v>2.5704199999999999</v>
      </c>
      <c r="O52" s="215">
        <f>ROUND(E52*N52,2)</f>
        <v>5.14</v>
      </c>
      <c r="P52" s="215">
        <v>0</v>
      </c>
      <c r="Q52" s="215">
        <f>ROUND(E52*P52,2)</f>
        <v>0</v>
      </c>
      <c r="R52" s="217" t="s">
        <v>173</v>
      </c>
      <c r="S52" s="217" t="s">
        <v>199</v>
      </c>
      <c r="T52" s="218" t="s">
        <v>286</v>
      </c>
      <c r="U52" s="211"/>
      <c r="V52" s="211"/>
      <c r="W52" s="211"/>
      <c r="X52" s="211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5">
      <c r="A53" s="209"/>
      <c r="B53" s="210"/>
      <c r="C53" s="374"/>
      <c r="D53" s="375"/>
      <c r="E53" s="375"/>
      <c r="F53" s="375"/>
      <c r="G53" s="375"/>
      <c r="H53" s="211"/>
      <c r="I53" s="211"/>
      <c r="J53" s="211"/>
      <c r="K53" s="211"/>
      <c r="L53" s="211"/>
      <c r="M53" s="211"/>
      <c r="N53" s="247"/>
      <c r="O53" s="247"/>
      <c r="P53" s="247"/>
      <c r="Q53" s="247"/>
      <c r="R53" s="211"/>
      <c r="S53" s="211"/>
      <c r="T53" s="211"/>
      <c r="U53" s="211"/>
      <c r="V53" s="211"/>
      <c r="W53" s="211"/>
      <c r="X53" s="211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0.399999999999999" outlineLevel="1" x14ac:dyDescent="0.25">
      <c r="A54" s="212">
        <v>16</v>
      </c>
      <c r="B54" s="213" t="s">
        <v>284</v>
      </c>
      <c r="C54" s="219" t="s">
        <v>282</v>
      </c>
      <c r="D54" s="214" t="s">
        <v>94</v>
      </c>
      <c r="E54" s="215">
        <v>9</v>
      </c>
      <c r="F54" s="216"/>
      <c r="G54" s="217">
        <f>ROUND(E54*F54,2)</f>
        <v>0</v>
      </c>
      <c r="H54" s="216">
        <v>6745.4</v>
      </c>
      <c r="I54" s="217">
        <f>ROUND(E54*H54,2)</f>
        <v>60708.6</v>
      </c>
      <c r="J54" s="216">
        <v>2069.6</v>
      </c>
      <c r="K54" s="217">
        <f>ROUND(E54*J54,2)</f>
        <v>18626.400000000001</v>
      </c>
      <c r="L54" s="217">
        <v>21</v>
      </c>
      <c r="M54" s="217">
        <f>G54*(1+L54/100)</f>
        <v>0</v>
      </c>
      <c r="N54" s="215">
        <v>3.0596700000000001</v>
      </c>
      <c r="O54" s="215">
        <f>ROUND(E54*N54,2)</f>
        <v>27.54</v>
      </c>
      <c r="P54" s="215">
        <v>0</v>
      </c>
      <c r="Q54" s="215">
        <f>ROUND(E54*P54,2)</f>
        <v>0</v>
      </c>
      <c r="R54" s="217" t="s">
        <v>217</v>
      </c>
      <c r="S54" s="217" t="s">
        <v>199</v>
      </c>
      <c r="T54" s="217" t="s">
        <v>199</v>
      </c>
      <c r="U54" s="211"/>
      <c r="V54" s="211"/>
      <c r="W54" s="211"/>
      <c r="X54" s="211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5">
      <c r="A55" s="209"/>
      <c r="B55" s="210"/>
      <c r="C55" s="372" t="s">
        <v>283</v>
      </c>
      <c r="D55" s="373"/>
      <c r="E55" s="373"/>
      <c r="F55" s="373"/>
      <c r="G55" s="373"/>
      <c r="H55" s="211"/>
      <c r="I55" s="211"/>
      <c r="J55" s="211"/>
      <c r="K55" s="211"/>
      <c r="L55" s="211"/>
      <c r="M55" s="211"/>
      <c r="N55" s="247"/>
      <c r="O55" s="247"/>
      <c r="P55" s="247"/>
      <c r="Q55" s="247"/>
      <c r="R55" s="211"/>
      <c r="S55" s="211"/>
      <c r="T55" s="211"/>
      <c r="U55" s="211"/>
      <c r="V55" s="211"/>
      <c r="W55" s="211"/>
      <c r="X55" s="211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5">
      <c r="A56" s="209"/>
      <c r="B56" s="210"/>
      <c r="C56" s="374"/>
      <c r="D56" s="375"/>
      <c r="E56" s="375"/>
      <c r="F56" s="375"/>
      <c r="G56" s="375"/>
      <c r="H56" s="211"/>
      <c r="I56" s="211"/>
      <c r="J56" s="211"/>
      <c r="K56" s="211"/>
      <c r="L56" s="211"/>
      <c r="M56" s="211"/>
      <c r="N56" s="247"/>
      <c r="O56" s="247"/>
      <c r="P56" s="247"/>
      <c r="Q56" s="247"/>
      <c r="R56" s="211"/>
      <c r="S56" s="211"/>
      <c r="T56" s="211"/>
      <c r="U56" s="211"/>
      <c r="V56" s="211"/>
      <c r="W56" s="211"/>
      <c r="X56" s="211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5">
      <c r="A57" s="155" t="s">
        <v>90</v>
      </c>
      <c r="B57" s="156" t="s">
        <v>162</v>
      </c>
      <c r="C57" s="171" t="s">
        <v>161</v>
      </c>
      <c r="D57" s="157"/>
      <c r="E57" s="158"/>
      <c r="F57" s="159"/>
      <c r="G57" s="159">
        <f>G58+G61+G64</f>
        <v>0</v>
      </c>
      <c r="H57" s="159"/>
      <c r="I57" s="159" t="e">
        <f>SUM(#REF!)</f>
        <v>#REF!</v>
      </c>
      <c r="J57" s="159"/>
      <c r="K57" s="159" t="e">
        <f>SUM(#REF!)</f>
        <v>#REF!</v>
      </c>
      <c r="L57" s="159"/>
      <c r="M57" s="159">
        <f>M58+M61+M64</f>
        <v>0</v>
      </c>
      <c r="N57" s="159"/>
      <c r="O57" s="159" t="e">
        <f>SUM(#REF!)</f>
        <v>#REF!</v>
      </c>
      <c r="P57" s="159"/>
      <c r="Q57" s="159" t="e">
        <f>SUM(#REF!)</f>
        <v>#REF!</v>
      </c>
      <c r="R57" s="159"/>
      <c r="S57" s="159"/>
      <c r="T57" s="160"/>
      <c r="U57" s="211"/>
      <c r="V57" s="211"/>
      <c r="W57" s="211"/>
      <c r="X57" s="211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5">
      <c r="A58" s="212">
        <v>17</v>
      </c>
      <c r="B58" s="213" t="s">
        <v>365</v>
      </c>
      <c r="C58" s="219" t="s">
        <v>366</v>
      </c>
      <c r="D58" s="214" t="s">
        <v>111</v>
      </c>
      <c r="E58" s="215">
        <v>28</v>
      </c>
      <c r="F58" s="216"/>
      <c r="G58" s="217">
        <f>ROUND(E58*F58,2)</f>
        <v>0</v>
      </c>
      <c r="H58" s="216">
        <v>0</v>
      </c>
      <c r="I58" s="217">
        <f>ROUND(E58*H58,2)</f>
        <v>0</v>
      </c>
      <c r="J58" s="216">
        <v>322</v>
      </c>
      <c r="K58" s="217">
        <f>ROUND(E58*J58,2)</f>
        <v>9016</v>
      </c>
      <c r="L58" s="217">
        <v>21</v>
      </c>
      <c r="M58" s="217">
        <f>G58*(1+L58/100)</f>
        <v>0</v>
      </c>
      <c r="N58" s="217">
        <v>0</v>
      </c>
      <c r="O58" s="217">
        <f>ROUND(E58*N58,2)</f>
        <v>0</v>
      </c>
      <c r="P58" s="217">
        <v>8.2000000000000003E-2</v>
      </c>
      <c r="Q58" s="217">
        <f>ROUND(E58*P58,2)</f>
        <v>2.2999999999999998</v>
      </c>
      <c r="R58" s="217" t="s">
        <v>106</v>
      </c>
      <c r="S58" s="217" t="s">
        <v>199</v>
      </c>
      <c r="T58" s="217" t="s">
        <v>98</v>
      </c>
      <c r="U58" s="211"/>
      <c r="V58" s="211"/>
      <c r="W58" s="211"/>
      <c r="X58" s="211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5">
      <c r="A59" s="283"/>
      <c r="B59" s="284"/>
      <c r="C59" s="191" t="s">
        <v>367</v>
      </c>
      <c r="D59" s="192"/>
      <c r="E59" s="193"/>
      <c r="F59" s="206"/>
      <c r="G59" s="194"/>
      <c r="H59" s="282"/>
      <c r="I59" s="194"/>
      <c r="J59" s="282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211"/>
      <c r="V59" s="211"/>
      <c r="W59" s="211"/>
      <c r="X59" s="211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5">
      <c r="A60" s="209"/>
      <c r="B60" s="210"/>
      <c r="C60" s="374"/>
      <c r="D60" s="375"/>
      <c r="E60" s="375"/>
      <c r="F60" s="375"/>
      <c r="G60" s="375"/>
      <c r="H60" s="190"/>
      <c r="I60" s="211"/>
      <c r="J60" s="190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5">
      <c r="A61" s="212">
        <v>18</v>
      </c>
      <c r="B61" s="213" t="s">
        <v>371</v>
      </c>
      <c r="C61" s="219" t="s">
        <v>368</v>
      </c>
      <c r="D61" s="214" t="s">
        <v>204</v>
      </c>
      <c r="E61" s="215">
        <v>7</v>
      </c>
      <c r="F61" s="216"/>
      <c r="G61" s="217">
        <f>ROUND(E61*F61,2)</f>
        <v>0</v>
      </c>
      <c r="H61" s="216">
        <v>0</v>
      </c>
      <c r="I61" s="217">
        <f>ROUND(E61*H61,2)</f>
        <v>0</v>
      </c>
      <c r="J61" s="216">
        <v>322</v>
      </c>
      <c r="K61" s="217">
        <f>ROUND(E61*J61,2)</f>
        <v>2254</v>
      </c>
      <c r="L61" s="217">
        <v>21</v>
      </c>
      <c r="M61" s="217">
        <f>G61*(1+L61/100)</f>
        <v>0</v>
      </c>
      <c r="N61" s="217">
        <v>0</v>
      </c>
      <c r="O61" s="217">
        <f>ROUND(E61*N61,2)</f>
        <v>0</v>
      </c>
      <c r="P61" s="217">
        <v>8.2000000000000003E-2</v>
      </c>
      <c r="Q61" s="217">
        <f>ROUND(E61*P61,2)</f>
        <v>0.56999999999999995</v>
      </c>
      <c r="R61" s="217" t="s">
        <v>106</v>
      </c>
      <c r="S61" s="217" t="s">
        <v>199</v>
      </c>
      <c r="T61" s="217" t="s">
        <v>98</v>
      </c>
      <c r="U61" s="211"/>
      <c r="V61" s="211"/>
      <c r="W61" s="211"/>
      <c r="X61" s="211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5">
      <c r="A62" s="283"/>
      <c r="B62" s="284"/>
      <c r="C62" s="191" t="s">
        <v>367</v>
      </c>
      <c r="D62" s="192"/>
      <c r="E62" s="193"/>
      <c r="F62" s="206"/>
      <c r="G62" s="194"/>
      <c r="H62" s="282"/>
      <c r="I62" s="194"/>
      <c r="J62" s="28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211"/>
      <c r="V62" s="211"/>
      <c r="W62" s="211"/>
      <c r="X62" s="211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5">
      <c r="A63" s="209"/>
      <c r="B63" s="210"/>
      <c r="C63" s="374"/>
      <c r="D63" s="375"/>
      <c r="E63" s="375"/>
      <c r="F63" s="375"/>
      <c r="G63" s="375"/>
      <c r="H63" s="190"/>
      <c r="I63" s="211"/>
      <c r="J63" s="190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5">
      <c r="A64" s="212">
        <v>19</v>
      </c>
      <c r="B64" s="213" t="s">
        <v>372</v>
      </c>
      <c r="C64" s="219" t="s">
        <v>369</v>
      </c>
      <c r="D64" s="214" t="s">
        <v>94</v>
      </c>
      <c r="E64" s="215">
        <v>7</v>
      </c>
      <c r="F64" s="216"/>
      <c r="G64" s="217">
        <f>ROUND(E64*F64,2)</f>
        <v>0</v>
      </c>
      <c r="H64" s="216">
        <v>0</v>
      </c>
      <c r="I64" s="217">
        <f>ROUND(E64*H64,2)</f>
        <v>0</v>
      </c>
      <c r="J64" s="216">
        <v>322</v>
      </c>
      <c r="K64" s="217">
        <f>ROUND(E64*J64,2)</f>
        <v>2254</v>
      </c>
      <c r="L64" s="217">
        <v>21</v>
      </c>
      <c r="M64" s="217">
        <f>G64*(1+L64/100)</f>
        <v>0</v>
      </c>
      <c r="N64" s="217">
        <v>0</v>
      </c>
      <c r="O64" s="217">
        <f>ROUND(E64*N64,2)</f>
        <v>0</v>
      </c>
      <c r="P64" s="217">
        <v>8.2000000000000003E-2</v>
      </c>
      <c r="Q64" s="217">
        <f>ROUND(E64*P64,2)</f>
        <v>0.56999999999999995</v>
      </c>
      <c r="R64" s="217" t="s">
        <v>106</v>
      </c>
      <c r="S64" s="217" t="s">
        <v>199</v>
      </c>
      <c r="T64" s="217" t="s">
        <v>98</v>
      </c>
      <c r="U64" s="211"/>
      <c r="V64" s="211"/>
      <c r="W64" s="211"/>
      <c r="X64" s="211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5">
      <c r="A65" s="283"/>
      <c r="B65" s="284"/>
      <c r="C65" s="191" t="s">
        <v>370</v>
      </c>
      <c r="D65" s="192"/>
      <c r="E65" s="193"/>
      <c r="F65" s="206"/>
      <c r="G65" s="194"/>
      <c r="H65" s="282"/>
      <c r="I65" s="194"/>
      <c r="J65" s="28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211"/>
      <c r="V65" s="211"/>
      <c r="W65" s="211"/>
      <c r="X65" s="211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5">
      <c r="A66" s="233"/>
      <c r="B66" s="234"/>
      <c r="C66" s="374"/>
      <c r="D66" s="375"/>
      <c r="E66" s="375"/>
      <c r="F66" s="375"/>
      <c r="G66" s="375"/>
      <c r="H66" s="154"/>
      <c r="I66" s="154"/>
      <c r="J66" s="154"/>
      <c r="K66" s="154"/>
      <c r="L66" s="235"/>
      <c r="M66" s="235"/>
      <c r="N66" s="235"/>
      <c r="O66" s="235"/>
      <c r="P66" s="235"/>
      <c r="Q66" s="235"/>
      <c r="R66" s="235"/>
      <c r="S66" s="236"/>
      <c r="T66" s="236"/>
      <c r="U66" s="211"/>
      <c r="V66" s="211"/>
      <c r="W66" s="211"/>
      <c r="X66" s="211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x14ac:dyDescent="0.25">
      <c r="A67" s="155" t="s">
        <v>90</v>
      </c>
      <c r="B67" s="156" t="s">
        <v>57</v>
      </c>
      <c r="C67" s="171" t="s">
        <v>58</v>
      </c>
      <c r="D67" s="157"/>
      <c r="E67" s="158"/>
      <c r="F67" s="159"/>
      <c r="G67" s="159">
        <f>SUMIF(AG68:AG69,"&lt;&gt;NOR",G68:G69)</f>
        <v>0</v>
      </c>
      <c r="H67" s="159"/>
      <c r="I67" s="159">
        <f>SUM(I68:I69)</f>
        <v>0</v>
      </c>
      <c r="J67" s="159"/>
      <c r="K67" s="159">
        <f>SUM(K68:K69)</f>
        <v>4295.78</v>
      </c>
      <c r="L67" s="159"/>
      <c r="M67" s="159">
        <f>SUM(M68:M69)</f>
        <v>0</v>
      </c>
      <c r="N67" s="159"/>
      <c r="O67" s="159">
        <f>SUM(O68:O69)</f>
        <v>0</v>
      </c>
      <c r="P67" s="159"/>
      <c r="Q67" s="159">
        <f>SUM(Q68:Q69)</f>
        <v>0</v>
      </c>
      <c r="R67" s="159"/>
      <c r="S67" s="159"/>
      <c r="T67" s="160"/>
      <c r="U67" s="154"/>
      <c r="V67" s="154">
        <f>SUM(V68:V69)</f>
        <v>7.43</v>
      </c>
      <c r="W67" s="154"/>
      <c r="X67" s="154"/>
      <c r="AG67" s="207" t="s">
        <v>91</v>
      </c>
    </row>
    <row r="68" spans="1:60" outlineLevel="1" x14ac:dyDescent="0.25">
      <c r="A68" s="212">
        <v>20</v>
      </c>
      <c r="B68" s="213" t="s">
        <v>279</v>
      </c>
      <c r="C68" s="219" t="s">
        <v>380</v>
      </c>
      <c r="D68" s="214" t="s">
        <v>124</v>
      </c>
      <c r="E68" s="215">
        <f>E49*2+35*0.1*0.15*2</f>
        <v>19.05</v>
      </c>
      <c r="F68" s="216"/>
      <c r="G68" s="217">
        <f>ROUND(E68*F68,2)</f>
        <v>0</v>
      </c>
      <c r="H68" s="216">
        <v>0</v>
      </c>
      <c r="I68" s="217">
        <f>ROUND(E68*H68,2)</f>
        <v>0</v>
      </c>
      <c r="J68" s="216">
        <v>225.5</v>
      </c>
      <c r="K68" s="217">
        <f>ROUND(E68*J68,2)</f>
        <v>4295.78</v>
      </c>
      <c r="L68" s="217">
        <v>21</v>
      </c>
      <c r="M68" s="217">
        <f>G68*(1+L68/100)</f>
        <v>0</v>
      </c>
      <c r="N68" s="217">
        <v>0</v>
      </c>
      <c r="O68" s="217">
        <f>ROUND(E68*N68,2)</f>
        <v>0</v>
      </c>
      <c r="P68" s="217">
        <v>0</v>
      </c>
      <c r="Q68" s="217">
        <f>ROUND(E68*P68,2)</f>
        <v>0</v>
      </c>
      <c r="R68" s="217" t="s">
        <v>106</v>
      </c>
      <c r="S68" s="217" t="s">
        <v>199</v>
      </c>
      <c r="T68" s="217" t="s">
        <v>199</v>
      </c>
      <c r="U68" s="211">
        <v>0.39</v>
      </c>
      <c r="V68" s="211">
        <f>ROUND(E68*U68,2)</f>
        <v>7.43</v>
      </c>
      <c r="W68" s="211"/>
      <c r="X68" s="211" t="s">
        <v>126</v>
      </c>
      <c r="Y68" s="208"/>
      <c r="Z68" s="208"/>
      <c r="AA68" s="208"/>
      <c r="AB68" s="208"/>
      <c r="AC68" s="208"/>
      <c r="AD68" s="208"/>
      <c r="AE68" s="208"/>
      <c r="AF68" s="208"/>
      <c r="AG68" s="208" t="s">
        <v>127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5">
      <c r="A69" s="209"/>
      <c r="B69" s="210"/>
      <c r="C69" s="374"/>
      <c r="D69" s="375"/>
      <c r="E69" s="375"/>
      <c r="F69" s="375"/>
      <c r="G69" s="375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08"/>
      <c r="Z69" s="208"/>
      <c r="AA69" s="208"/>
      <c r="AB69" s="208"/>
      <c r="AC69" s="208"/>
      <c r="AD69" s="208"/>
      <c r="AE69" s="208"/>
      <c r="AF69" s="208"/>
      <c r="AG69" s="208" t="s">
        <v>92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x14ac:dyDescent="0.25">
      <c r="A70" s="155" t="s">
        <v>90</v>
      </c>
      <c r="B70" s="156" t="s">
        <v>62</v>
      </c>
      <c r="C70" s="171" t="s">
        <v>26</v>
      </c>
      <c r="D70" s="157"/>
      <c r="E70" s="158"/>
      <c r="F70" s="159"/>
      <c r="G70" s="159">
        <f>G71+G73+G76+G78</f>
        <v>0</v>
      </c>
      <c r="H70" s="159"/>
      <c r="I70" s="159">
        <f>SUM(I73:I75)</f>
        <v>0</v>
      </c>
      <c r="J70" s="159"/>
      <c r="K70" s="159">
        <f>SUM(K73:K75)</f>
        <v>0</v>
      </c>
      <c r="L70" s="159"/>
      <c r="M70" s="159">
        <f>M71+M73+M76+M78</f>
        <v>0</v>
      </c>
      <c r="N70" s="159"/>
      <c r="O70" s="159">
        <f>SUM(O73:O75)</f>
        <v>0</v>
      </c>
      <c r="P70" s="159"/>
      <c r="Q70" s="159">
        <f>SUM(Q73:Q75)</f>
        <v>0</v>
      </c>
      <c r="R70" s="159"/>
      <c r="S70" s="159"/>
      <c r="T70" s="160"/>
      <c r="U70" s="154"/>
      <c r="V70" s="154">
        <f>SUM(V73:V75)</f>
        <v>0</v>
      </c>
      <c r="W70" s="154"/>
      <c r="X70" s="154"/>
      <c r="Z70" s="84"/>
      <c r="AG70" s="207" t="s">
        <v>91</v>
      </c>
    </row>
    <row r="71" spans="1:60" x14ac:dyDescent="0.25">
      <c r="A71" s="212">
        <f>A68+1</f>
        <v>21</v>
      </c>
      <c r="B71" s="213" t="s">
        <v>154</v>
      </c>
      <c r="C71" s="219" t="s">
        <v>101</v>
      </c>
      <c r="D71" s="214" t="s">
        <v>97</v>
      </c>
      <c r="E71" s="215">
        <v>1</v>
      </c>
      <c r="F71" s="216"/>
      <c r="G71" s="217">
        <f>ROUND(E71*F71,2)</f>
        <v>0</v>
      </c>
      <c r="H71" s="216">
        <v>0</v>
      </c>
      <c r="I71" s="217">
        <f>ROUND(E71*H71,2)</f>
        <v>0</v>
      </c>
      <c r="J71" s="216">
        <v>0</v>
      </c>
      <c r="K71" s="217">
        <f>ROUND(E71*J71,2)</f>
        <v>0</v>
      </c>
      <c r="L71" s="217">
        <v>21</v>
      </c>
      <c r="M71" s="217">
        <f>G71*(1+L71/100)</f>
        <v>0</v>
      </c>
      <c r="N71" s="217">
        <v>0</v>
      </c>
      <c r="O71" s="217">
        <f>ROUND(E71*N71,2)</f>
        <v>0</v>
      </c>
      <c r="P71" s="217">
        <v>0</v>
      </c>
      <c r="Q71" s="217">
        <f>ROUND(E71*P71,2)</f>
        <v>0</v>
      </c>
      <c r="R71" s="217"/>
      <c r="S71" s="217" t="s">
        <v>199</v>
      </c>
      <c r="T71" s="218" t="s">
        <v>98</v>
      </c>
      <c r="U71" s="154"/>
      <c r="V71" s="154"/>
      <c r="W71" s="154"/>
      <c r="X71" s="154"/>
    </row>
    <row r="72" spans="1:60" x14ac:dyDescent="0.25">
      <c r="A72" s="177"/>
      <c r="B72" s="178"/>
      <c r="C72" s="376"/>
      <c r="D72" s="377"/>
      <c r="E72" s="377"/>
      <c r="F72" s="377"/>
      <c r="G72" s="377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54"/>
      <c r="V72" s="154"/>
      <c r="W72" s="154"/>
      <c r="X72" s="154"/>
    </row>
    <row r="73" spans="1:60" outlineLevel="1" x14ac:dyDescent="0.25">
      <c r="A73" s="212">
        <f>A71+1</f>
        <v>22</v>
      </c>
      <c r="B73" s="213" t="s">
        <v>132</v>
      </c>
      <c r="C73" s="219" t="s">
        <v>133</v>
      </c>
      <c r="D73" s="214" t="s">
        <v>97</v>
      </c>
      <c r="E73" s="215">
        <v>1</v>
      </c>
      <c r="F73" s="216"/>
      <c r="G73" s="217">
        <f>ROUND(E73*F73,2)</f>
        <v>0</v>
      </c>
      <c r="H73" s="216">
        <v>0</v>
      </c>
      <c r="I73" s="217">
        <f>ROUND(E73*H73,2)</f>
        <v>0</v>
      </c>
      <c r="J73" s="216">
        <v>0</v>
      </c>
      <c r="K73" s="217">
        <f>ROUND(E73*J73,2)</f>
        <v>0</v>
      </c>
      <c r="L73" s="217">
        <v>21</v>
      </c>
      <c r="M73" s="217">
        <f>G73*(1+L73/100)</f>
        <v>0</v>
      </c>
      <c r="N73" s="217">
        <v>0</v>
      </c>
      <c r="O73" s="217">
        <f>ROUND(E73*N73,2)</f>
        <v>0</v>
      </c>
      <c r="P73" s="217">
        <v>0</v>
      </c>
      <c r="Q73" s="217">
        <f>ROUND(E73*P73,2)</f>
        <v>0</v>
      </c>
      <c r="R73" s="217"/>
      <c r="S73" s="217" t="s">
        <v>199</v>
      </c>
      <c r="T73" s="218" t="s">
        <v>98</v>
      </c>
      <c r="U73" s="211">
        <v>0</v>
      </c>
      <c r="V73" s="211">
        <f>ROUND(E73*U73,2)</f>
        <v>0</v>
      </c>
      <c r="W73" s="211"/>
      <c r="X73" s="211" t="s">
        <v>99</v>
      </c>
      <c r="Y73" s="208"/>
      <c r="Z73" s="208"/>
      <c r="AA73" s="208"/>
      <c r="AB73" s="208"/>
      <c r="AC73" s="208"/>
      <c r="AD73" s="208"/>
      <c r="AE73" s="208"/>
      <c r="AF73" s="208"/>
      <c r="AG73" s="208" t="s">
        <v>100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ht="21" outlineLevel="1" x14ac:dyDescent="0.25">
      <c r="A74" s="209"/>
      <c r="B74" s="210"/>
      <c r="C74" s="378" t="s">
        <v>134</v>
      </c>
      <c r="D74" s="379"/>
      <c r="E74" s="379"/>
      <c r="F74" s="379"/>
      <c r="G74" s="379"/>
      <c r="H74" s="211"/>
      <c r="I74" s="211"/>
      <c r="J74" s="211"/>
      <c r="K74" s="211"/>
      <c r="L74" s="211"/>
      <c r="M74" s="211"/>
      <c r="N74" s="211"/>
      <c r="O74" s="211"/>
      <c r="P74" s="211"/>
      <c r="Q74" s="211"/>
      <c r="R74" s="211"/>
      <c r="S74" s="211"/>
      <c r="T74" s="211"/>
      <c r="U74" s="211"/>
      <c r="V74" s="211"/>
      <c r="W74" s="211"/>
      <c r="X74" s="211"/>
      <c r="Y74" s="208"/>
      <c r="Z74" s="208"/>
      <c r="AA74" s="208"/>
      <c r="AB74" s="208"/>
      <c r="AC74" s="208"/>
      <c r="AD74" s="208"/>
      <c r="AE74" s="208"/>
      <c r="AF74" s="208"/>
      <c r="AG74" s="208" t="s">
        <v>102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169" t="str">
        <f>C74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4" s="208"/>
      <c r="BC74" s="208"/>
      <c r="BD74" s="208"/>
      <c r="BE74" s="208"/>
      <c r="BF74" s="208"/>
      <c r="BG74" s="208"/>
      <c r="BH74" s="208"/>
    </row>
    <row r="75" spans="1:60" outlineLevel="1" x14ac:dyDescent="0.25">
      <c r="A75" s="209"/>
      <c r="B75" s="210"/>
      <c r="C75" s="374"/>
      <c r="D75" s="375"/>
      <c r="E75" s="375"/>
      <c r="F75" s="375"/>
      <c r="G75" s="375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08"/>
      <c r="Z75" s="208"/>
      <c r="AA75" s="208"/>
      <c r="AB75" s="208"/>
      <c r="AC75" s="208"/>
      <c r="AD75" s="208"/>
      <c r="AE75" s="208"/>
      <c r="AF75" s="208"/>
      <c r="AG75" s="208" t="s">
        <v>92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5">
      <c r="A76" s="212">
        <f>A73+1</f>
        <v>23</v>
      </c>
      <c r="B76" s="213" t="s">
        <v>150</v>
      </c>
      <c r="C76" s="219" t="s">
        <v>96</v>
      </c>
      <c r="D76" s="214" t="s">
        <v>97</v>
      </c>
      <c r="E76" s="215">
        <v>1</v>
      </c>
      <c r="F76" s="216"/>
      <c r="G76" s="217">
        <f>ROUND(E76*F76,2)</f>
        <v>0</v>
      </c>
      <c r="H76" s="216">
        <v>0</v>
      </c>
      <c r="I76" s="217">
        <f>ROUND(E76*H76,2)</f>
        <v>0</v>
      </c>
      <c r="J76" s="216">
        <v>0</v>
      </c>
      <c r="K76" s="217">
        <f>ROUND(E76*J76,2)</f>
        <v>0</v>
      </c>
      <c r="L76" s="217">
        <v>21</v>
      </c>
      <c r="M76" s="217">
        <f>G76*(1+L76/100)</f>
        <v>0</v>
      </c>
      <c r="N76" s="217">
        <v>0</v>
      </c>
      <c r="O76" s="217">
        <f>ROUND(E76*N76,2)</f>
        <v>0</v>
      </c>
      <c r="P76" s="217">
        <v>0</v>
      </c>
      <c r="Q76" s="217">
        <f>ROUND(E76*P76,2)</f>
        <v>0</v>
      </c>
      <c r="R76" s="217"/>
      <c r="S76" s="217" t="s">
        <v>199</v>
      </c>
      <c r="T76" s="218" t="s">
        <v>98</v>
      </c>
      <c r="U76" s="211"/>
      <c r="V76" s="211"/>
      <c r="W76" s="211"/>
      <c r="X76" s="211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5">
      <c r="A77" s="209"/>
      <c r="B77" s="210"/>
      <c r="C77" s="376"/>
      <c r="D77" s="377"/>
      <c r="E77" s="377"/>
      <c r="F77" s="377"/>
      <c r="G77" s="377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5">
      <c r="A78" s="212">
        <f>A76+1</f>
        <v>24</v>
      </c>
      <c r="B78" s="213" t="s">
        <v>103</v>
      </c>
      <c r="C78" s="219" t="s">
        <v>287</v>
      </c>
      <c r="D78" s="214" t="s">
        <v>97</v>
      </c>
      <c r="E78" s="215">
        <v>1</v>
      </c>
      <c r="F78" s="216"/>
      <c r="G78" s="217">
        <f>ROUND(E78*F78,2)</f>
        <v>0</v>
      </c>
      <c r="H78" s="216">
        <v>0</v>
      </c>
      <c r="I78" s="217">
        <f>ROUND(E78*H78,2)</f>
        <v>0</v>
      </c>
      <c r="J78" s="216">
        <v>0</v>
      </c>
      <c r="K78" s="217">
        <f>ROUND(E78*J78,2)</f>
        <v>0</v>
      </c>
      <c r="L78" s="217">
        <v>21</v>
      </c>
      <c r="M78" s="217">
        <f>G78*(1+L78/100)</f>
        <v>0</v>
      </c>
      <c r="N78" s="217">
        <v>0</v>
      </c>
      <c r="O78" s="217">
        <f>ROUND(E78*N78,2)</f>
        <v>0</v>
      </c>
      <c r="P78" s="217">
        <v>0</v>
      </c>
      <c r="Q78" s="217">
        <f>ROUND(E78*P78,2)</f>
        <v>0</v>
      </c>
      <c r="R78" s="217"/>
      <c r="S78" s="217" t="s">
        <v>199</v>
      </c>
      <c r="T78" s="218" t="s">
        <v>98</v>
      </c>
      <c r="U78" s="211"/>
      <c r="V78" s="211"/>
      <c r="W78" s="211"/>
      <c r="X78" s="211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customHeight="1" outlineLevel="1" x14ac:dyDescent="0.25">
      <c r="A79" s="209"/>
      <c r="B79" s="210"/>
      <c r="C79" s="378" t="s">
        <v>105</v>
      </c>
      <c r="D79" s="379"/>
      <c r="E79" s="379"/>
      <c r="F79" s="379"/>
      <c r="G79" s="379"/>
      <c r="H79" s="211"/>
      <c r="I79" s="211"/>
      <c r="J79" s="211"/>
      <c r="K79" s="211"/>
      <c r="L79" s="211"/>
      <c r="M79" s="211"/>
      <c r="N79" s="211"/>
      <c r="O79" s="211"/>
      <c r="P79" s="211"/>
      <c r="Q79" s="211"/>
      <c r="R79" s="211"/>
      <c r="S79" s="211"/>
      <c r="T79" s="211"/>
      <c r="U79" s="211"/>
      <c r="V79" s="211"/>
      <c r="W79" s="211"/>
      <c r="X79" s="211"/>
      <c r="Y79" s="208"/>
      <c r="Z79" s="208"/>
      <c r="AA79" s="208"/>
      <c r="AB79" s="208"/>
      <c r="AC79" s="208"/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5">
      <c r="A80" s="209"/>
      <c r="B80" s="210"/>
      <c r="C80" s="261"/>
      <c r="D80" s="262"/>
      <c r="E80" s="262"/>
      <c r="F80" s="262"/>
      <c r="G80" s="262"/>
      <c r="H80" s="211"/>
      <c r="I80" s="211"/>
      <c r="J80" s="211"/>
      <c r="K80" s="211"/>
      <c r="L80" s="211"/>
      <c r="M80" s="211"/>
      <c r="N80" s="211"/>
      <c r="O80" s="211"/>
      <c r="P80" s="211"/>
      <c r="Q80" s="211"/>
      <c r="R80" s="211"/>
      <c r="S80" s="211"/>
      <c r="T80" s="211"/>
      <c r="U80" s="211"/>
      <c r="V80" s="211"/>
      <c r="W80" s="211"/>
      <c r="X80" s="211"/>
      <c r="Y80" s="208"/>
      <c r="Z80" s="208"/>
      <c r="AA80" s="208"/>
      <c r="AB80" s="208"/>
      <c r="AC80" s="208"/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x14ac:dyDescent="0.25">
      <c r="A81" s="155" t="s">
        <v>90</v>
      </c>
      <c r="B81" s="156" t="s">
        <v>63</v>
      </c>
      <c r="C81" s="171" t="s">
        <v>27</v>
      </c>
      <c r="D81" s="157"/>
      <c r="E81" s="158"/>
      <c r="F81" s="159"/>
      <c r="G81" s="159">
        <f>SUMIF(AG82:AG90,"&lt;&gt;NOR",G82:G90)</f>
        <v>0</v>
      </c>
      <c r="H81" s="159"/>
      <c r="I81" s="159">
        <f>SUM(I82:I90)</f>
        <v>0</v>
      </c>
      <c r="J81" s="159"/>
      <c r="K81" s="159">
        <f>SUM(K82:K90)</f>
        <v>0</v>
      </c>
      <c r="L81" s="159"/>
      <c r="M81" s="159">
        <f>SUM(M82:M90)</f>
        <v>0</v>
      </c>
      <c r="N81" s="159"/>
      <c r="O81" s="159">
        <f>SUM(O82:O90)</f>
        <v>0</v>
      </c>
      <c r="P81" s="159"/>
      <c r="Q81" s="159">
        <f>SUM(Q82:Q90)</f>
        <v>0</v>
      </c>
      <c r="R81" s="159"/>
      <c r="S81" s="159"/>
      <c r="T81" s="160"/>
      <c r="U81" s="154"/>
      <c r="V81" s="154">
        <f>SUM(V82:V90)</f>
        <v>0</v>
      </c>
      <c r="W81" s="154"/>
      <c r="X81" s="154"/>
      <c r="AG81" s="207" t="s">
        <v>91</v>
      </c>
    </row>
    <row r="82" spans="1:60" outlineLevel="1" x14ac:dyDescent="0.25">
      <c r="A82" s="212">
        <f>A78+1</f>
        <v>25</v>
      </c>
      <c r="B82" s="213" t="s">
        <v>135</v>
      </c>
      <c r="C82" s="219" t="s">
        <v>136</v>
      </c>
      <c r="D82" s="214" t="s">
        <v>97</v>
      </c>
      <c r="E82" s="215">
        <v>1</v>
      </c>
      <c r="F82" s="216"/>
      <c r="G82" s="217">
        <f>ROUND(E82*F82,2)</f>
        <v>0</v>
      </c>
      <c r="H82" s="216">
        <v>0</v>
      </c>
      <c r="I82" s="217">
        <f>ROUND(E82*H82,2)</f>
        <v>0</v>
      </c>
      <c r="J82" s="216">
        <v>0</v>
      </c>
      <c r="K82" s="217">
        <f>ROUND(E82*J82,2)</f>
        <v>0</v>
      </c>
      <c r="L82" s="217">
        <v>21</v>
      </c>
      <c r="M82" s="217">
        <f>G82*(1+L82/100)</f>
        <v>0</v>
      </c>
      <c r="N82" s="217">
        <v>0</v>
      </c>
      <c r="O82" s="217">
        <f>ROUND(E82*N82,2)</f>
        <v>0</v>
      </c>
      <c r="P82" s="217">
        <v>0</v>
      </c>
      <c r="Q82" s="217">
        <f>ROUND(E82*P82,2)</f>
        <v>0</v>
      </c>
      <c r="R82" s="217"/>
      <c r="S82" s="217" t="s">
        <v>199</v>
      </c>
      <c r="T82" s="218" t="s">
        <v>98</v>
      </c>
      <c r="U82" s="211">
        <v>0</v>
      </c>
      <c r="V82" s="211">
        <f>ROUND(E82*U82,2)</f>
        <v>0</v>
      </c>
      <c r="W82" s="211"/>
      <c r="X82" s="211" t="s">
        <v>99</v>
      </c>
      <c r="Y82" s="180"/>
      <c r="Z82" s="208"/>
      <c r="AA82" s="208"/>
      <c r="AB82" s="208"/>
      <c r="AC82" s="208"/>
      <c r="AD82" s="208"/>
      <c r="AE82" s="208"/>
      <c r="AF82" s="208"/>
      <c r="AG82" s="208" t="s">
        <v>100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ht="33.75" customHeight="1" outlineLevel="1" x14ac:dyDescent="0.25">
      <c r="A83" s="209"/>
      <c r="B83" s="210"/>
      <c r="C83" s="378" t="s">
        <v>151</v>
      </c>
      <c r="D83" s="379"/>
      <c r="E83" s="379"/>
      <c r="F83" s="379"/>
      <c r="G83" s="379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  <c r="X83" s="211"/>
      <c r="Y83" s="208"/>
      <c r="Z83" s="208"/>
      <c r="AA83" s="208"/>
      <c r="AB83" s="208"/>
      <c r="AC83" s="208"/>
      <c r="AD83" s="208"/>
      <c r="AE83" s="208"/>
      <c r="AF83" s="208"/>
      <c r="AG83" s="208" t="s">
        <v>102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169" t="str">
        <f>C83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83" s="208"/>
      <c r="BC83" s="208"/>
      <c r="BD83" s="208"/>
      <c r="BE83" s="208"/>
      <c r="BF83" s="208"/>
      <c r="BG83" s="208"/>
      <c r="BH83" s="208"/>
    </row>
    <row r="84" spans="1:60" outlineLevel="1" x14ac:dyDescent="0.25">
      <c r="A84" s="209"/>
      <c r="B84" s="210"/>
      <c r="C84" s="374"/>
      <c r="D84" s="375"/>
      <c r="E84" s="375"/>
      <c r="F84" s="375"/>
      <c r="G84" s="375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08"/>
      <c r="Z84" s="208"/>
      <c r="AA84" s="208"/>
      <c r="AB84" s="208"/>
      <c r="AC84" s="208"/>
      <c r="AD84" s="208"/>
      <c r="AE84" s="208"/>
      <c r="AF84" s="208"/>
      <c r="AG84" s="208" t="s">
        <v>92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5">
      <c r="A85" s="212">
        <f>A82+1</f>
        <v>26</v>
      </c>
      <c r="B85" s="213" t="s">
        <v>137</v>
      </c>
      <c r="C85" s="219" t="s">
        <v>138</v>
      </c>
      <c r="D85" s="214" t="s">
        <v>97</v>
      </c>
      <c r="E85" s="215">
        <v>1</v>
      </c>
      <c r="F85" s="216"/>
      <c r="G85" s="217">
        <f>ROUND(E85*F85,2)</f>
        <v>0</v>
      </c>
      <c r="H85" s="216">
        <v>0</v>
      </c>
      <c r="I85" s="217">
        <f>ROUND(E85*H85,2)</f>
        <v>0</v>
      </c>
      <c r="J85" s="216">
        <v>0</v>
      </c>
      <c r="K85" s="217">
        <f>ROUND(E85*J85,2)</f>
        <v>0</v>
      </c>
      <c r="L85" s="217">
        <v>21</v>
      </c>
      <c r="M85" s="217">
        <f>G85*(1+L85/100)</f>
        <v>0</v>
      </c>
      <c r="N85" s="217">
        <v>0</v>
      </c>
      <c r="O85" s="217">
        <f>ROUND(E85*N85,2)</f>
        <v>0</v>
      </c>
      <c r="P85" s="217">
        <v>0</v>
      </c>
      <c r="Q85" s="217">
        <f>ROUND(E85*P85,2)</f>
        <v>0</v>
      </c>
      <c r="R85" s="217"/>
      <c r="S85" s="217" t="s">
        <v>199</v>
      </c>
      <c r="T85" s="218" t="s">
        <v>98</v>
      </c>
      <c r="U85" s="211">
        <v>0</v>
      </c>
      <c r="V85" s="211">
        <f>ROUND(E85*U85,2)</f>
        <v>0</v>
      </c>
      <c r="W85" s="211"/>
      <c r="X85" s="211" t="s">
        <v>99</v>
      </c>
      <c r="Y85" s="208"/>
      <c r="Z85" s="208"/>
      <c r="AA85" s="208"/>
      <c r="AB85" s="208"/>
      <c r="AC85" s="208"/>
      <c r="AD85" s="208"/>
      <c r="AE85" s="208"/>
      <c r="AF85" s="208"/>
      <c r="AG85" s="208" t="s">
        <v>100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5">
      <c r="A86" s="209"/>
      <c r="B86" s="210"/>
      <c r="C86" s="378" t="s">
        <v>139</v>
      </c>
      <c r="D86" s="379"/>
      <c r="E86" s="379"/>
      <c r="F86" s="379"/>
      <c r="G86" s="379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08"/>
      <c r="Z86" s="208"/>
      <c r="AA86" s="208"/>
      <c r="AB86" s="208"/>
      <c r="AC86" s="208"/>
      <c r="AD86" s="208"/>
      <c r="AE86" s="208"/>
      <c r="AF86" s="208"/>
      <c r="AG86" s="208" t="s">
        <v>102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169" t="str">
        <f>C86</f>
        <v>Náklady na vyhotovení dokumentace skutečného provedení stavby a její předání objednateli v požadované formě a požadovaném počtu.</v>
      </c>
      <c r="BB86" s="208"/>
      <c r="BC86" s="208"/>
      <c r="BD86" s="208"/>
      <c r="BE86" s="208"/>
      <c r="BF86" s="208"/>
      <c r="BG86" s="208"/>
      <c r="BH86" s="208"/>
    </row>
    <row r="87" spans="1:60" outlineLevel="1" x14ac:dyDescent="0.25">
      <c r="A87" s="209"/>
      <c r="B87" s="210"/>
      <c r="C87" s="374"/>
      <c r="D87" s="375"/>
      <c r="E87" s="375"/>
      <c r="F87" s="375"/>
      <c r="G87" s="375"/>
      <c r="H87" s="211"/>
      <c r="I87" s="211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08"/>
      <c r="Z87" s="208"/>
      <c r="AA87" s="208"/>
      <c r="AB87" s="208"/>
      <c r="AC87" s="208"/>
      <c r="AD87" s="208"/>
      <c r="AE87" s="208"/>
      <c r="AF87" s="208"/>
      <c r="AG87" s="208" t="s">
        <v>92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5">
      <c r="A88" s="212">
        <f>A85+1</f>
        <v>27</v>
      </c>
      <c r="B88" s="213" t="s">
        <v>140</v>
      </c>
      <c r="C88" s="219" t="s">
        <v>141</v>
      </c>
      <c r="D88" s="214" t="s">
        <v>97</v>
      </c>
      <c r="E88" s="215">
        <v>1</v>
      </c>
      <c r="F88" s="216"/>
      <c r="G88" s="217">
        <f>ROUND(E88*F88,2)</f>
        <v>0</v>
      </c>
      <c r="H88" s="216">
        <v>0</v>
      </c>
      <c r="I88" s="217">
        <f>ROUND(E88*H88,2)</f>
        <v>0</v>
      </c>
      <c r="J88" s="216">
        <v>0</v>
      </c>
      <c r="K88" s="217">
        <f>ROUND(E88*J88,2)</f>
        <v>0</v>
      </c>
      <c r="L88" s="217">
        <v>21</v>
      </c>
      <c r="M88" s="217">
        <f>G88*(1+L88/100)</f>
        <v>0</v>
      </c>
      <c r="N88" s="217">
        <v>0</v>
      </c>
      <c r="O88" s="217">
        <f>ROUND(E88*N88,2)</f>
        <v>0</v>
      </c>
      <c r="P88" s="217">
        <v>0</v>
      </c>
      <c r="Q88" s="217">
        <f>ROUND(E88*P88,2)</f>
        <v>0</v>
      </c>
      <c r="R88" s="217"/>
      <c r="S88" s="217" t="s">
        <v>199</v>
      </c>
      <c r="T88" s="218" t="s">
        <v>98</v>
      </c>
      <c r="U88" s="211">
        <v>0</v>
      </c>
      <c r="V88" s="211">
        <f>ROUND(E88*U88,2)</f>
        <v>0</v>
      </c>
      <c r="W88" s="211"/>
      <c r="X88" s="211" t="s">
        <v>99</v>
      </c>
      <c r="Y88" s="208"/>
      <c r="Z88" s="208"/>
      <c r="AA88" s="208"/>
      <c r="AB88" s="208"/>
      <c r="AC88" s="208"/>
      <c r="AD88" s="208"/>
      <c r="AE88" s="208"/>
      <c r="AF88" s="208"/>
      <c r="AG88" s="208" t="s">
        <v>100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ht="13.95" customHeight="1" outlineLevel="1" x14ac:dyDescent="0.25">
      <c r="A89" s="209"/>
      <c r="B89" s="210"/>
      <c r="C89" s="378" t="s">
        <v>152</v>
      </c>
      <c r="D89" s="379"/>
      <c r="E89" s="379"/>
      <c r="F89" s="379"/>
      <c r="G89" s="379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08"/>
      <c r="Z89" s="208"/>
      <c r="AA89" s="208"/>
      <c r="AB89" s="208"/>
      <c r="AC89" s="208"/>
      <c r="AD89" s="208"/>
      <c r="AE89" s="208"/>
      <c r="AF89" s="208"/>
      <c r="AG89" s="208" t="s">
        <v>102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169" t="str">
        <f>C89</f>
        <v>Náklady spojené s povinnou publicitou. Zahrnuje zejména náklady na propagační a informační billboardy, tabule, internetovou propagaci, tiskoviny apod.</v>
      </c>
      <c r="BB89" s="208"/>
      <c r="BC89" s="208"/>
      <c r="BD89" s="208"/>
      <c r="BE89" s="208"/>
      <c r="BF89" s="208"/>
      <c r="BG89" s="208"/>
      <c r="BH89" s="208"/>
    </row>
    <row r="90" spans="1:60" outlineLevel="1" x14ac:dyDescent="0.25">
      <c r="A90" s="209"/>
      <c r="B90" s="210"/>
      <c r="C90" s="374"/>
      <c r="D90" s="375"/>
      <c r="E90" s="375"/>
      <c r="F90" s="375"/>
      <c r="G90" s="375"/>
      <c r="H90" s="211"/>
      <c r="I90" s="211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08"/>
      <c r="Z90" s="208"/>
      <c r="AA90" s="208"/>
      <c r="AB90" s="208"/>
      <c r="AC90" s="208"/>
      <c r="AD90" s="208"/>
      <c r="AE90" s="208"/>
      <c r="AF90" s="208"/>
      <c r="AG90" s="208" t="s">
        <v>92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x14ac:dyDescent="0.25">
      <c r="A91" s="3"/>
      <c r="B91" s="4"/>
      <c r="C91" s="174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 s="207">
        <v>15</v>
      </c>
      <c r="AF91" s="207">
        <v>21</v>
      </c>
      <c r="AG91" s="207" t="s">
        <v>77</v>
      </c>
    </row>
    <row r="92" spans="1:60" x14ac:dyDescent="0.25">
      <c r="A92" s="147"/>
      <c r="B92" s="148" t="s">
        <v>28</v>
      </c>
      <c r="C92" s="175"/>
      <c r="D92" s="149"/>
      <c r="E92" s="150"/>
      <c r="F92" s="150"/>
      <c r="G92" s="170">
        <f>G81+G70+G67+G57+G42+G8</f>
        <v>0</v>
      </c>
      <c r="H92" s="3"/>
      <c r="I92" s="3"/>
      <c r="J92" s="3"/>
      <c r="K92" s="3"/>
      <c r="L92" s="146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 s="207">
        <f>SUMIF(L7:L90,AE91,G7:G90)</f>
        <v>0</v>
      </c>
      <c r="AF92" s="207">
        <f>SUMIF(L7:L90,AF91,G7:G90)</f>
        <v>0</v>
      </c>
      <c r="AG92" s="207" t="s">
        <v>142</v>
      </c>
    </row>
    <row r="93" spans="1:60" x14ac:dyDescent="0.25">
      <c r="C93" s="176"/>
      <c r="D93" s="10"/>
      <c r="AG93" s="207" t="s">
        <v>143</v>
      </c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</sheetData>
  <sheetProtection password="EA7D" sheet="1" objects="1" scenarios="1"/>
  <mergeCells count="46">
    <mergeCell ref="A1:G1"/>
    <mergeCell ref="C2:H2"/>
    <mergeCell ref="C3:G3"/>
    <mergeCell ref="C4:H4"/>
    <mergeCell ref="C10:G10"/>
    <mergeCell ref="C11:G11"/>
    <mergeCell ref="C38:G38"/>
    <mergeCell ref="C13:G13"/>
    <mergeCell ref="C25:G25"/>
    <mergeCell ref="C26:G26"/>
    <mergeCell ref="C28:G28"/>
    <mergeCell ref="C34:G34"/>
    <mergeCell ref="C35:G35"/>
    <mergeCell ref="C36:G36"/>
    <mergeCell ref="C23:G23"/>
    <mergeCell ref="C31:G31"/>
    <mergeCell ref="C16:G16"/>
    <mergeCell ref="C17:G17"/>
    <mergeCell ref="C19:G19"/>
    <mergeCell ref="C20:G20"/>
    <mergeCell ref="C22:G22"/>
    <mergeCell ref="C39:G39"/>
    <mergeCell ref="C41:G41"/>
    <mergeCell ref="C44:G44"/>
    <mergeCell ref="C45:G45"/>
    <mergeCell ref="C50:G50"/>
    <mergeCell ref="C47:G47"/>
    <mergeCell ref="C51:G51"/>
    <mergeCell ref="C53:G53"/>
    <mergeCell ref="C55:G55"/>
    <mergeCell ref="C56:G56"/>
    <mergeCell ref="C60:G60"/>
    <mergeCell ref="C63:G63"/>
    <mergeCell ref="C66:G66"/>
    <mergeCell ref="C74:G74"/>
    <mergeCell ref="C69:G69"/>
    <mergeCell ref="C72:G72"/>
    <mergeCell ref="C87:G87"/>
    <mergeCell ref="C89:G89"/>
    <mergeCell ref="C90:G90"/>
    <mergeCell ref="C75:G75"/>
    <mergeCell ref="C77:G77"/>
    <mergeCell ref="C79:G79"/>
    <mergeCell ref="C83:G83"/>
    <mergeCell ref="C84:G84"/>
    <mergeCell ref="C86:G86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13"/>
  <sheetViews>
    <sheetView workbookViewId="0">
      <pane ySplit="7" topLeftCell="A8" activePane="bottomLeft" state="frozen"/>
      <selection pane="bottomLeft" activeCell="F9" sqref="F9"/>
    </sheetView>
  </sheetViews>
  <sheetFormatPr defaultColWidth="9.109375" defaultRowHeight="13.2" outlineLevelRow="1" x14ac:dyDescent="0.25"/>
  <cols>
    <col min="1" max="1" width="3.44140625" style="207" customWidth="1"/>
    <col min="2" max="2" width="12.5546875" style="123" customWidth="1"/>
    <col min="3" max="3" width="63.33203125" style="123" customWidth="1"/>
    <col min="4" max="4" width="4.88671875" style="207" customWidth="1"/>
    <col min="5" max="5" width="10.5546875" style="207" customWidth="1"/>
    <col min="6" max="6" width="9.88671875" style="207" customWidth="1"/>
    <col min="7" max="7" width="12.6640625" style="207" customWidth="1"/>
    <col min="8" max="11" width="0" style="207" hidden="1" customWidth="1"/>
    <col min="12" max="12" width="11.6640625" style="207" bestFit="1" customWidth="1"/>
    <col min="13" max="13" width="11.6640625" style="207" customWidth="1"/>
    <col min="14" max="17" width="0" style="207" hidden="1" customWidth="1"/>
    <col min="18" max="18" width="6.88671875" style="207" customWidth="1"/>
    <col min="19" max="19" width="9.109375" style="207"/>
    <col min="20" max="20" width="8.44140625" style="207" customWidth="1"/>
    <col min="21" max="24" width="0" style="207" hidden="1" customWidth="1"/>
    <col min="25" max="25" width="10.109375" style="207" bestFit="1" customWidth="1"/>
    <col min="26" max="26" width="11.6640625" style="207" bestFit="1" customWidth="1"/>
    <col min="27" max="27" width="11.109375" style="207" customWidth="1"/>
    <col min="28" max="28" width="9.109375" style="207"/>
    <col min="29" max="29" width="0" style="207" hidden="1" customWidth="1"/>
    <col min="30" max="30" width="9.109375" style="207"/>
    <col min="31" max="41" width="0" style="207" hidden="1" customWidth="1"/>
    <col min="42" max="52" width="9.109375" style="207"/>
    <col min="53" max="53" width="98.6640625" style="207" customWidth="1"/>
    <col min="54" max="16384" width="9.109375" style="207"/>
  </cols>
  <sheetData>
    <row r="1" spans="1:60" ht="15.75" customHeight="1" x14ac:dyDescent="0.3">
      <c r="A1" s="380" t="s">
        <v>64</v>
      </c>
      <c r="B1" s="381"/>
      <c r="C1" s="381"/>
      <c r="D1" s="381"/>
      <c r="E1" s="381"/>
      <c r="F1" s="381"/>
      <c r="G1" s="381"/>
      <c r="H1" s="195"/>
      <c r="L1" s="199"/>
      <c r="AG1" s="207" t="s">
        <v>65</v>
      </c>
    </row>
    <row r="2" spans="1:60" ht="38.25" customHeight="1" x14ac:dyDescent="0.25">
      <c r="A2" s="196" t="s">
        <v>7</v>
      </c>
      <c r="B2" s="281" t="s">
        <v>296</v>
      </c>
      <c r="C2" s="385" t="s">
        <v>297</v>
      </c>
      <c r="D2" s="386"/>
      <c r="E2" s="386"/>
      <c r="F2" s="386"/>
      <c r="G2" s="386"/>
      <c r="H2" s="387"/>
      <c r="L2" s="199"/>
      <c r="AG2" s="207" t="s">
        <v>66</v>
      </c>
    </row>
    <row r="3" spans="1:60" ht="24.9" customHeight="1" x14ac:dyDescent="0.25">
      <c r="A3" s="196" t="s">
        <v>8</v>
      </c>
      <c r="B3" s="281" t="s">
        <v>399</v>
      </c>
      <c r="C3" s="382" t="s">
        <v>381</v>
      </c>
      <c r="D3" s="383"/>
      <c r="E3" s="383"/>
      <c r="F3" s="383"/>
      <c r="G3" s="384"/>
      <c r="H3" s="197"/>
      <c r="L3" s="199"/>
      <c r="AC3" s="123" t="s">
        <v>66</v>
      </c>
      <c r="AG3" s="207" t="s">
        <v>67</v>
      </c>
    </row>
    <row r="4" spans="1:60" ht="24.9" customHeight="1" x14ac:dyDescent="0.25">
      <c r="A4" s="198" t="s">
        <v>9</v>
      </c>
      <c r="B4" s="237" t="s">
        <v>296</v>
      </c>
      <c r="C4" s="341" t="s">
        <v>298</v>
      </c>
      <c r="D4" s="342"/>
      <c r="E4" s="342"/>
      <c r="F4" s="342"/>
      <c r="G4" s="342"/>
      <c r="H4" s="343"/>
      <c r="L4" s="199"/>
      <c r="AG4" s="207" t="s">
        <v>68</v>
      </c>
    </row>
    <row r="5" spans="1:60" x14ac:dyDescent="0.25">
      <c r="D5" s="10"/>
    </row>
    <row r="6" spans="1:60" ht="39.6" x14ac:dyDescent="0.25">
      <c r="A6" s="140" t="s">
        <v>69</v>
      </c>
      <c r="B6" s="142" t="s">
        <v>70</v>
      </c>
      <c r="C6" s="142" t="s">
        <v>71</v>
      </c>
      <c r="D6" s="141" t="s">
        <v>72</v>
      </c>
      <c r="E6" s="140" t="s">
        <v>73</v>
      </c>
      <c r="F6" s="139" t="s">
        <v>74</v>
      </c>
      <c r="G6" s="140" t="s">
        <v>28</v>
      </c>
      <c r="H6" s="143" t="s">
        <v>29</v>
      </c>
      <c r="I6" s="143" t="s">
        <v>75</v>
      </c>
      <c r="J6" s="143" t="s">
        <v>30</v>
      </c>
      <c r="K6" s="143" t="s">
        <v>76</v>
      </c>
      <c r="L6" s="143" t="s">
        <v>77</v>
      </c>
      <c r="M6" s="143" t="s">
        <v>78</v>
      </c>
      <c r="N6" s="143" t="s">
        <v>79</v>
      </c>
      <c r="O6" s="143" t="s">
        <v>80</v>
      </c>
      <c r="P6" s="143" t="s">
        <v>81</v>
      </c>
      <c r="Q6" s="143" t="s">
        <v>82</v>
      </c>
      <c r="R6" s="143" t="s">
        <v>83</v>
      </c>
      <c r="S6" s="143" t="s">
        <v>84</v>
      </c>
      <c r="T6" s="143" t="s">
        <v>85</v>
      </c>
      <c r="U6" s="143" t="s">
        <v>86</v>
      </c>
      <c r="V6" s="143" t="s">
        <v>87</v>
      </c>
      <c r="W6" s="143" t="s">
        <v>88</v>
      </c>
      <c r="X6" s="143" t="s">
        <v>89</v>
      </c>
    </row>
    <row r="7" spans="1:60" hidden="1" x14ac:dyDescent="0.25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55" t="s">
        <v>90</v>
      </c>
      <c r="B8" s="156" t="s">
        <v>51</v>
      </c>
      <c r="C8" s="171" t="s">
        <v>52</v>
      </c>
      <c r="D8" s="157"/>
      <c r="E8" s="158"/>
      <c r="F8" s="159"/>
      <c r="G8" s="159">
        <f>SUMIF(AG9:AG32,"&lt;&gt;NOR",G9:G32)</f>
        <v>0</v>
      </c>
      <c r="H8" s="159"/>
      <c r="I8" s="159">
        <f>SUM(I9:I32)</f>
        <v>244.13</v>
      </c>
      <c r="J8" s="159"/>
      <c r="K8" s="159">
        <f>SUM(K9:K32)</f>
        <v>14397.64</v>
      </c>
      <c r="L8" s="159"/>
      <c r="M8" s="159">
        <f>SUMIF(AM9:AM32,"&lt;&gt;NOR",M9:M32)</f>
        <v>0</v>
      </c>
      <c r="N8" s="159"/>
      <c r="O8" s="159">
        <f>SUM(O9:O32)</f>
        <v>0.56000000000000005</v>
      </c>
      <c r="P8" s="159"/>
      <c r="Q8" s="159">
        <f>SUM(Q9:Q32)</f>
        <v>0</v>
      </c>
      <c r="R8" s="159"/>
      <c r="S8" s="159"/>
      <c r="T8" s="160"/>
      <c r="U8" s="154"/>
      <c r="V8" s="154">
        <f>SUM(V9:V32)</f>
        <v>6.55</v>
      </c>
      <c r="W8" s="154"/>
      <c r="X8" s="154"/>
      <c r="Z8" s="84"/>
      <c r="AG8" s="207" t="s">
        <v>91</v>
      </c>
    </row>
    <row r="9" spans="1:60" outlineLevel="1" x14ac:dyDescent="0.25">
      <c r="A9" s="212">
        <v>1</v>
      </c>
      <c r="B9" s="213" t="s">
        <v>209</v>
      </c>
      <c r="C9" s="219" t="s">
        <v>210</v>
      </c>
      <c r="D9" s="214" t="s">
        <v>113</v>
      </c>
      <c r="E9" s="215">
        <f>0.35*0.8*140-E12</f>
        <v>35.349999999999994</v>
      </c>
      <c r="F9" s="216"/>
      <c r="G9" s="217">
        <f>ROUND(E9*F9,2)</f>
        <v>0</v>
      </c>
      <c r="H9" s="216">
        <v>0</v>
      </c>
      <c r="I9" s="217">
        <f>ROUND(E9*H9,2)</f>
        <v>0</v>
      </c>
      <c r="J9" s="216">
        <v>38.299999999999997</v>
      </c>
      <c r="K9" s="217">
        <f>ROUND(E9*J9,2)</f>
        <v>1353.91</v>
      </c>
      <c r="L9" s="217">
        <v>21</v>
      </c>
      <c r="M9" s="217">
        <f>G9*(1+L9/100)</f>
        <v>0</v>
      </c>
      <c r="N9" s="217">
        <v>0</v>
      </c>
      <c r="O9" s="217">
        <f>ROUND(E9*N9,2)</f>
        <v>0</v>
      </c>
      <c r="P9" s="217">
        <v>0</v>
      </c>
      <c r="Q9" s="217">
        <f>ROUND(E9*P9,2)</f>
        <v>0</v>
      </c>
      <c r="R9" s="217" t="s">
        <v>112</v>
      </c>
      <c r="S9" s="217" t="s">
        <v>199</v>
      </c>
      <c r="T9" s="217" t="s">
        <v>199</v>
      </c>
      <c r="U9" s="211"/>
      <c r="V9" s="211"/>
      <c r="W9" s="211"/>
      <c r="X9" s="211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5">
      <c r="A10" s="209"/>
      <c r="B10" s="210"/>
      <c r="C10" s="372" t="s">
        <v>114</v>
      </c>
      <c r="D10" s="372"/>
      <c r="E10" s="372"/>
      <c r="F10" s="372"/>
      <c r="G10" s="372"/>
      <c r="H10" s="190"/>
      <c r="I10" s="211"/>
      <c r="J10" s="190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5">
      <c r="A11" s="209"/>
      <c r="B11" s="210"/>
      <c r="C11" s="250"/>
      <c r="D11" s="250"/>
      <c r="E11" s="250"/>
      <c r="F11" s="250"/>
      <c r="G11" s="250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5">
      <c r="A12" s="212">
        <v>2</v>
      </c>
      <c r="B12" s="213" t="s">
        <v>165</v>
      </c>
      <c r="C12" s="219" t="s">
        <v>166</v>
      </c>
      <c r="D12" s="214" t="s">
        <v>113</v>
      </c>
      <c r="E12" s="215">
        <v>3.85</v>
      </c>
      <c r="F12" s="216"/>
      <c r="G12" s="217">
        <f>ROUND(E12*F12,2)</f>
        <v>0</v>
      </c>
      <c r="H12" s="216">
        <v>0</v>
      </c>
      <c r="I12" s="217">
        <f>ROUND(E12*H12,2)</f>
        <v>0</v>
      </c>
      <c r="J12" s="216">
        <v>1273</v>
      </c>
      <c r="K12" s="217">
        <f>ROUND(E12*J12,2)</f>
        <v>4901.05</v>
      </c>
      <c r="L12" s="217">
        <v>21</v>
      </c>
      <c r="M12" s="217">
        <f>G12*(1+L12/100)</f>
        <v>0</v>
      </c>
      <c r="N12" s="217">
        <v>0</v>
      </c>
      <c r="O12" s="217">
        <f>ROUND(E12*N12,2)</f>
        <v>0</v>
      </c>
      <c r="P12" s="217">
        <v>0</v>
      </c>
      <c r="Q12" s="217">
        <f>ROUND(E12*P12,2)</f>
        <v>0</v>
      </c>
      <c r="R12" s="217" t="s">
        <v>112</v>
      </c>
      <c r="S12" s="217" t="s">
        <v>199</v>
      </c>
      <c r="T12" s="217" t="s">
        <v>199</v>
      </c>
      <c r="U12" s="211"/>
      <c r="V12" s="211"/>
      <c r="W12" s="211"/>
      <c r="X12" s="211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5">
      <c r="A13" s="209"/>
      <c r="B13" s="210"/>
      <c r="C13" s="372" t="s">
        <v>167</v>
      </c>
      <c r="D13" s="372"/>
      <c r="E13" s="372"/>
      <c r="F13" s="372"/>
      <c r="G13" s="372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5">
      <c r="A14" s="209"/>
      <c r="B14" s="210"/>
      <c r="C14" s="248"/>
      <c r="D14" s="249"/>
      <c r="E14" s="249"/>
      <c r="F14" s="249"/>
      <c r="G14" s="249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5">
      <c r="A15" s="212">
        <v>3</v>
      </c>
      <c r="B15" s="213" t="s">
        <v>116</v>
      </c>
      <c r="C15" s="219" t="s">
        <v>117</v>
      </c>
      <c r="D15" s="214" t="s">
        <v>113</v>
      </c>
      <c r="E15" s="215">
        <f>E9-E23</f>
        <v>6.1499999999999986</v>
      </c>
      <c r="F15" s="216"/>
      <c r="G15" s="217">
        <f>ROUND(E15*F15,2)</f>
        <v>0</v>
      </c>
      <c r="H15" s="216">
        <v>0</v>
      </c>
      <c r="I15" s="217">
        <f>ROUND(E15*H15,2)</f>
        <v>0</v>
      </c>
      <c r="J15" s="216">
        <v>259.5</v>
      </c>
      <c r="K15" s="217">
        <f>ROUND(E15*J15,2)</f>
        <v>1595.93</v>
      </c>
      <c r="L15" s="217">
        <v>21</v>
      </c>
      <c r="M15" s="217">
        <f>G15*(1+L15/100)</f>
        <v>0</v>
      </c>
      <c r="N15" s="217">
        <v>0</v>
      </c>
      <c r="O15" s="217">
        <f>ROUND(E15*N15,2)</f>
        <v>0</v>
      </c>
      <c r="P15" s="217">
        <v>0</v>
      </c>
      <c r="Q15" s="217">
        <f>ROUND(E15*P15,2)</f>
        <v>0</v>
      </c>
      <c r="R15" s="217" t="s">
        <v>112</v>
      </c>
      <c r="S15" s="217" t="s">
        <v>199</v>
      </c>
      <c r="T15" s="217" t="s">
        <v>199</v>
      </c>
      <c r="U15" s="211">
        <v>5.1999999999999998E-3</v>
      </c>
      <c r="V15" s="211">
        <f>ROUND(E15*U15,2)</f>
        <v>0.03</v>
      </c>
      <c r="W15" s="211"/>
      <c r="X15" s="211" t="s">
        <v>107</v>
      </c>
      <c r="Y15" s="208"/>
      <c r="Z15" s="208"/>
      <c r="AA15" s="208"/>
      <c r="AB15" s="208"/>
      <c r="AC15" s="208"/>
      <c r="AD15" s="208"/>
      <c r="AE15" s="208"/>
      <c r="AF15" s="208"/>
      <c r="AG15" s="208" t="s">
        <v>108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12.75" customHeight="1" outlineLevel="1" x14ac:dyDescent="0.25">
      <c r="A16" s="209"/>
      <c r="B16" s="210"/>
      <c r="C16" s="372" t="s">
        <v>118</v>
      </c>
      <c r="D16" s="372"/>
      <c r="E16" s="372"/>
      <c r="F16" s="372"/>
      <c r="G16" s="372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08"/>
      <c r="Z16" s="208"/>
      <c r="AA16" s="208"/>
      <c r="AB16" s="208"/>
      <c r="AC16" s="208"/>
      <c r="AD16" s="208"/>
      <c r="AE16" s="208"/>
      <c r="AF16" s="208"/>
      <c r="AG16" s="208" t="s">
        <v>109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5">
      <c r="A17" s="209"/>
      <c r="B17" s="210"/>
      <c r="C17" s="391"/>
      <c r="D17" s="391"/>
      <c r="E17" s="391"/>
      <c r="F17" s="391"/>
      <c r="G17" s="39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08"/>
      <c r="Z17" s="208"/>
      <c r="AA17" s="208"/>
      <c r="AB17" s="208"/>
      <c r="AC17" s="208"/>
      <c r="AD17" s="208"/>
      <c r="AE17" s="208"/>
      <c r="AF17" s="208"/>
      <c r="AG17" s="208" t="s">
        <v>92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0.399999999999999" outlineLevel="1" x14ac:dyDescent="0.25">
      <c r="A18" s="212">
        <v>4</v>
      </c>
      <c r="B18" s="213" t="s">
        <v>191</v>
      </c>
      <c r="C18" s="219" t="s">
        <v>192</v>
      </c>
      <c r="D18" s="214" t="s">
        <v>113</v>
      </c>
      <c r="E18" s="215">
        <f>E15*8</f>
        <v>49.199999999999989</v>
      </c>
      <c r="F18" s="216"/>
      <c r="G18" s="217">
        <f>ROUND(E18*F18,2)</f>
        <v>0</v>
      </c>
      <c r="H18" s="216">
        <v>0</v>
      </c>
      <c r="I18" s="217">
        <f>ROUND(E18*H18,2)</f>
        <v>0</v>
      </c>
      <c r="J18" s="216">
        <v>21</v>
      </c>
      <c r="K18" s="217">
        <f>ROUND(E18*J18,2)</f>
        <v>1033.2</v>
      </c>
      <c r="L18" s="217">
        <v>21</v>
      </c>
      <c r="M18" s="217">
        <f>G18*(1+L18/100)</f>
        <v>0</v>
      </c>
      <c r="N18" s="217">
        <v>0</v>
      </c>
      <c r="O18" s="217">
        <f>ROUND(E18*N18,2)</f>
        <v>0</v>
      </c>
      <c r="P18" s="217">
        <v>0</v>
      </c>
      <c r="Q18" s="217">
        <f>ROUND(E18*P18,2)</f>
        <v>0</v>
      </c>
      <c r="R18" s="217" t="s">
        <v>112</v>
      </c>
      <c r="S18" s="217" t="s">
        <v>199</v>
      </c>
      <c r="T18" s="217" t="s">
        <v>199</v>
      </c>
      <c r="U18" s="211"/>
      <c r="V18" s="211"/>
      <c r="W18" s="211"/>
      <c r="X18" s="211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12.75" customHeight="1" outlineLevel="1" x14ac:dyDescent="0.25">
      <c r="A19" s="209"/>
      <c r="B19" s="210"/>
      <c r="C19" s="372" t="s">
        <v>118</v>
      </c>
      <c r="D19" s="372"/>
      <c r="E19" s="372"/>
      <c r="F19" s="372"/>
      <c r="G19" s="372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5">
      <c r="A20" s="209"/>
      <c r="B20" s="210"/>
      <c r="C20" s="248"/>
      <c r="D20" s="249"/>
      <c r="E20" s="249"/>
      <c r="F20" s="249"/>
      <c r="G20" s="249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5">
      <c r="A21" s="212">
        <v>5</v>
      </c>
      <c r="B21" s="213" t="s">
        <v>119</v>
      </c>
      <c r="C21" s="219" t="s">
        <v>155</v>
      </c>
      <c r="D21" s="214" t="s">
        <v>113</v>
      </c>
      <c r="E21" s="215">
        <f>E38</f>
        <v>10</v>
      </c>
      <c r="F21" s="216"/>
      <c r="G21" s="217">
        <f>ROUND(E21*F21,2)</f>
        <v>0</v>
      </c>
      <c r="H21" s="216">
        <v>0</v>
      </c>
      <c r="I21" s="217">
        <f>ROUND(E21*H21,2)</f>
        <v>0</v>
      </c>
      <c r="J21" s="216">
        <v>265</v>
      </c>
      <c r="K21" s="217">
        <f>ROUND(E21*J21,2)</f>
        <v>2650</v>
      </c>
      <c r="L21" s="217">
        <v>21</v>
      </c>
      <c r="M21" s="217">
        <f>G21*(1+L21/100)</f>
        <v>0</v>
      </c>
      <c r="N21" s="217">
        <v>0</v>
      </c>
      <c r="O21" s="217">
        <f>ROUND(E21*N21,2)</f>
        <v>0</v>
      </c>
      <c r="P21" s="217">
        <v>0</v>
      </c>
      <c r="Q21" s="217">
        <f>ROUND(E21*P21,2)</f>
        <v>0</v>
      </c>
      <c r="R21" s="217" t="s">
        <v>112</v>
      </c>
      <c r="S21" s="217" t="s">
        <v>199</v>
      </c>
      <c r="T21" s="217" t="s">
        <v>199</v>
      </c>
      <c r="U21" s="211">
        <v>0.65200000000000002</v>
      </c>
      <c r="V21" s="211">
        <f>ROUND(E21*U21,2)</f>
        <v>6.52</v>
      </c>
      <c r="W21" s="211"/>
      <c r="X21" s="211" t="s">
        <v>107</v>
      </c>
      <c r="Y21" s="208"/>
      <c r="Z21" s="208"/>
      <c r="AA21" s="208"/>
      <c r="AB21" s="208"/>
      <c r="AC21" s="208"/>
      <c r="AD21" s="208"/>
      <c r="AE21" s="208"/>
      <c r="AF21" s="208"/>
      <c r="AG21" s="208" t="s">
        <v>108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13.2" customHeight="1" outlineLevel="1" x14ac:dyDescent="0.25">
      <c r="A22" s="209"/>
      <c r="B22" s="210"/>
      <c r="C22" s="390"/>
      <c r="D22" s="390"/>
      <c r="E22" s="390"/>
      <c r="F22" s="390"/>
      <c r="G22" s="390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1"/>
      <c r="X22" s="211"/>
      <c r="Y22" s="208"/>
      <c r="Z22" s="208"/>
      <c r="AA22" s="208"/>
      <c r="AB22" s="208"/>
      <c r="AC22" s="208"/>
      <c r="AD22" s="208"/>
      <c r="AE22" s="208"/>
      <c r="AF22" s="208"/>
      <c r="AG22" s="208" t="s">
        <v>92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5">
      <c r="A23" s="212">
        <v>6</v>
      </c>
      <c r="B23" s="213" t="s">
        <v>184</v>
      </c>
      <c r="C23" s="219" t="s">
        <v>186</v>
      </c>
      <c r="D23" s="214" t="s">
        <v>113</v>
      </c>
      <c r="E23" s="215">
        <f>(E9+E12)-E38</f>
        <v>29.199999999999996</v>
      </c>
      <c r="F23" s="216"/>
      <c r="G23" s="217">
        <f>E23*F23</f>
        <v>0</v>
      </c>
      <c r="H23" s="216">
        <v>0</v>
      </c>
      <c r="I23" s="217">
        <v>0</v>
      </c>
      <c r="J23" s="216">
        <v>124</v>
      </c>
      <c r="K23" s="217">
        <v>0</v>
      </c>
      <c r="L23" s="217">
        <v>21</v>
      </c>
      <c r="M23" s="217">
        <f>G23*1.21</f>
        <v>0</v>
      </c>
      <c r="N23" s="217">
        <v>0</v>
      </c>
      <c r="O23" s="217">
        <v>0</v>
      </c>
      <c r="P23" s="217">
        <v>0</v>
      </c>
      <c r="Q23" s="217">
        <v>0</v>
      </c>
      <c r="R23" s="217" t="s">
        <v>112</v>
      </c>
      <c r="S23" s="217" t="s">
        <v>199</v>
      </c>
      <c r="T23" s="217" t="s">
        <v>199</v>
      </c>
      <c r="U23" s="211"/>
      <c r="V23" s="211"/>
      <c r="W23" s="211"/>
      <c r="X23" s="211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5">
      <c r="A24" s="209"/>
      <c r="B24" s="210"/>
      <c r="C24" s="372" t="s">
        <v>185</v>
      </c>
      <c r="D24" s="372"/>
      <c r="E24" s="372"/>
      <c r="F24" s="372"/>
      <c r="G24" s="372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13.2" customHeight="1" outlineLevel="1" x14ac:dyDescent="0.25">
      <c r="A25" s="209"/>
      <c r="B25" s="210"/>
      <c r="C25" s="248"/>
      <c r="D25" s="249"/>
      <c r="E25" s="249"/>
      <c r="F25" s="249"/>
      <c r="G25" s="249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1"/>
      <c r="X25" s="211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13.2" customHeight="1" outlineLevel="1" x14ac:dyDescent="0.25">
      <c r="A26" s="212">
        <v>7</v>
      </c>
      <c r="B26" s="213" t="s">
        <v>231</v>
      </c>
      <c r="C26" s="219" t="s">
        <v>232</v>
      </c>
      <c r="D26" s="214" t="s">
        <v>94</v>
      </c>
      <c r="E26" s="215">
        <v>7</v>
      </c>
      <c r="F26" s="216"/>
      <c r="G26" s="217">
        <f>E26*F26</f>
        <v>0</v>
      </c>
      <c r="H26" s="216">
        <v>0</v>
      </c>
      <c r="I26" s="217">
        <v>0</v>
      </c>
      <c r="J26" s="216">
        <v>124</v>
      </c>
      <c r="K26" s="217">
        <v>0</v>
      </c>
      <c r="L26" s="217">
        <v>21</v>
      </c>
      <c r="M26" s="217">
        <f>G26*1.21</f>
        <v>0</v>
      </c>
      <c r="N26" s="217">
        <v>0</v>
      </c>
      <c r="O26" s="217">
        <v>0</v>
      </c>
      <c r="P26" s="217">
        <v>0</v>
      </c>
      <c r="Q26" s="217">
        <v>0</v>
      </c>
      <c r="R26" s="217" t="s">
        <v>112</v>
      </c>
      <c r="S26" s="217" t="s">
        <v>199</v>
      </c>
      <c r="T26" s="217" t="s">
        <v>199</v>
      </c>
      <c r="U26" s="211"/>
      <c r="V26" s="211"/>
      <c r="W26" s="211"/>
      <c r="X26" s="211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13.2" customHeight="1" outlineLevel="1" x14ac:dyDescent="0.25">
      <c r="A27" s="209"/>
      <c r="B27" s="210"/>
      <c r="C27" s="372" t="s">
        <v>235</v>
      </c>
      <c r="D27" s="372"/>
      <c r="E27" s="372"/>
      <c r="F27" s="372"/>
      <c r="G27" s="372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13.2" customHeight="1" outlineLevel="1" x14ac:dyDescent="0.25">
      <c r="A28" s="209"/>
      <c r="B28" s="210"/>
      <c r="C28" s="248"/>
      <c r="D28" s="249"/>
      <c r="E28" s="249"/>
      <c r="F28" s="249"/>
      <c r="G28" s="249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13.2" customHeight="1" outlineLevel="1" x14ac:dyDescent="0.25">
      <c r="A29" s="212">
        <v>8</v>
      </c>
      <c r="B29" s="213" t="s">
        <v>233</v>
      </c>
      <c r="C29" s="219" t="s">
        <v>234</v>
      </c>
      <c r="D29" s="214" t="s">
        <v>124</v>
      </c>
      <c r="E29" s="215">
        <f>0.74*2</f>
        <v>1.48</v>
      </c>
      <c r="F29" s="216"/>
      <c r="G29" s="217">
        <f>ROUND(E29*F29,2)</f>
        <v>0</v>
      </c>
      <c r="H29" s="216">
        <v>164.95</v>
      </c>
      <c r="I29" s="217">
        <f>ROUND(E29*H29,2)</f>
        <v>244.13</v>
      </c>
      <c r="J29" s="216">
        <v>26.05</v>
      </c>
      <c r="K29" s="217">
        <f>ROUND(E29*J29,2)</f>
        <v>38.549999999999997</v>
      </c>
      <c r="L29" s="217">
        <v>21</v>
      </c>
      <c r="M29" s="217">
        <f>G29*(1+L29/100)</f>
        <v>0</v>
      </c>
      <c r="N29" s="217">
        <v>0.378</v>
      </c>
      <c r="O29" s="217">
        <f>ROUND(E29*N29,2)</f>
        <v>0.56000000000000005</v>
      </c>
      <c r="P29" s="217">
        <v>0</v>
      </c>
      <c r="Q29" s="217">
        <f>ROUND(E29*P29,2)</f>
        <v>0</v>
      </c>
      <c r="R29" s="217" t="s">
        <v>106</v>
      </c>
      <c r="S29" s="217" t="s">
        <v>199</v>
      </c>
      <c r="T29" s="217" t="s">
        <v>199</v>
      </c>
      <c r="U29" s="211"/>
      <c r="V29" s="211"/>
      <c r="W29" s="211"/>
      <c r="X29" s="211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13.2" customHeight="1" outlineLevel="1" x14ac:dyDescent="0.25">
      <c r="A30" s="209"/>
      <c r="B30" s="210"/>
      <c r="C30" s="248"/>
      <c r="D30" s="249"/>
      <c r="E30" s="249"/>
      <c r="F30" s="249"/>
      <c r="G30" s="249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5">
      <c r="A31" s="212">
        <v>9</v>
      </c>
      <c r="B31" s="213" t="s">
        <v>194</v>
      </c>
      <c r="C31" s="219" t="s">
        <v>123</v>
      </c>
      <c r="D31" s="214" t="s">
        <v>113</v>
      </c>
      <c r="E31" s="215">
        <f>E21</f>
        <v>10</v>
      </c>
      <c r="F31" s="216"/>
      <c r="G31" s="217">
        <f>ROUND(E31*F31,2)</f>
        <v>0</v>
      </c>
      <c r="H31" s="216">
        <v>0</v>
      </c>
      <c r="I31" s="217">
        <f>ROUND(E31*H31,2)</f>
        <v>0</v>
      </c>
      <c r="J31" s="216">
        <v>282.5</v>
      </c>
      <c r="K31" s="217">
        <f>ROUND(E31*J31,2)</f>
        <v>2825</v>
      </c>
      <c r="L31" s="217">
        <v>21</v>
      </c>
      <c r="M31" s="217">
        <f>G31*(1+L31/100)</f>
        <v>0</v>
      </c>
      <c r="N31" s="217">
        <v>0</v>
      </c>
      <c r="O31" s="217">
        <f>ROUND(E31*N31,2)</f>
        <v>0</v>
      </c>
      <c r="P31" s="217">
        <v>0</v>
      </c>
      <c r="Q31" s="217">
        <f>ROUND(E31*P31,2)</f>
        <v>0</v>
      </c>
      <c r="R31" s="217" t="s">
        <v>112</v>
      </c>
      <c r="S31" s="217" t="s">
        <v>199</v>
      </c>
      <c r="T31" s="217" t="s">
        <v>199</v>
      </c>
      <c r="U31" s="211">
        <v>0</v>
      </c>
      <c r="V31" s="211">
        <f>ROUND(E31*U31,2)</f>
        <v>0</v>
      </c>
      <c r="W31" s="211"/>
      <c r="X31" s="211" t="s">
        <v>107</v>
      </c>
      <c r="Y31" s="208"/>
      <c r="Z31" s="208"/>
      <c r="AA31" s="208"/>
      <c r="AB31" s="208"/>
      <c r="AC31" s="208"/>
      <c r="AD31" s="208"/>
      <c r="AE31" s="208"/>
      <c r="AF31" s="208"/>
      <c r="AG31" s="208" t="s">
        <v>108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5">
      <c r="A32" s="209"/>
      <c r="B32" s="210"/>
      <c r="C32" s="390"/>
      <c r="D32" s="390"/>
      <c r="E32" s="390"/>
      <c r="F32" s="390"/>
      <c r="G32" s="390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08"/>
      <c r="Z32" s="208"/>
      <c r="AA32" s="208"/>
      <c r="AB32" s="208"/>
      <c r="AC32" s="208"/>
      <c r="AD32" s="208"/>
      <c r="AE32" s="208"/>
      <c r="AF32" s="208"/>
      <c r="AG32" s="208" t="s">
        <v>92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5">
      <c r="A33" s="155" t="s">
        <v>90</v>
      </c>
      <c r="B33" s="156" t="s">
        <v>211</v>
      </c>
      <c r="C33" s="171" t="s">
        <v>212</v>
      </c>
      <c r="D33" s="157"/>
      <c r="E33" s="158"/>
      <c r="F33" s="159"/>
      <c r="G33" s="159">
        <f>SUMIF(AG34:AG36,"&lt;&gt;NOR",G34:G36)</f>
        <v>0</v>
      </c>
      <c r="H33" s="159"/>
      <c r="I33" s="159">
        <f>SUM(I34:I36)</f>
        <v>19914.72</v>
      </c>
      <c r="J33" s="159"/>
      <c r="K33" s="159">
        <f>SUM(K34:K36)</f>
        <v>20055.28</v>
      </c>
      <c r="L33" s="159"/>
      <c r="M33" s="159">
        <f>SUM(M34:M36)</f>
        <v>0</v>
      </c>
      <c r="N33" s="159"/>
      <c r="O33" s="159">
        <f>SUM(O34:O36)</f>
        <v>19.29</v>
      </c>
      <c r="P33" s="159"/>
      <c r="Q33" s="159">
        <f>SUM(Q34:Q36)</f>
        <v>0</v>
      </c>
      <c r="R33" s="159"/>
      <c r="S33" s="159"/>
      <c r="T33" s="160"/>
      <c r="U33" s="211"/>
      <c r="V33" s="211"/>
      <c r="W33" s="211"/>
      <c r="X33" s="211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5">
      <c r="A34" s="212">
        <v>10</v>
      </c>
      <c r="B34" s="213" t="s">
        <v>230</v>
      </c>
      <c r="C34" s="219" t="s">
        <v>382</v>
      </c>
      <c r="D34" s="214" t="s">
        <v>94</v>
      </c>
      <c r="E34" s="215">
        <v>7</v>
      </c>
      <c r="F34" s="216"/>
      <c r="G34" s="217">
        <f>ROUND(E34*F34,2)</f>
        <v>0</v>
      </c>
      <c r="H34" s="216">
        <v>2844.96</v>
      </c>
      <c r="I34" s="217">
        <f>ROUND(E34*H34,2)</f>
        <v>19914.72</v>
      </c>
      <c r="J34" s="216">
        <v>2865.04</v>
      </c>
      <c r="K34" s="217">
        <f>ROUND(E34*J34,2)</f>
        <v>20055.28</v>
      </c>
      <c r="L34" s="217">
        <v>21</v>
      </c>
      <c r="M34" s="217">
        <f>G34*(1+L34/100)</f>
        <v>0</v>
      </c>
      <c r="N34" s="217">
        <v>2.7563499999999999</v>
      </c>
      <c r="O34" s="217">
        <f>ROUND(E34*N34,2)</f>
        <v>19.29</v>
      </c>
      <c r="P34" s="217">
        <v>0</v>
      </c>
      <c r="Q34" s="217">
        <f>ROUND(E34*P34,2)</f>
        <v>0</v>
      </c>
      <c r="R34" s="217" t="s">
        <v>180</v>
      </c>
      <c r="S34" s="217" t="s">
        <v>213</v>
      </c>
      <c r="T34" s="218" t="s">
        <v>213</v>
      </c>
      <c r="U34" s="211"/>
      <c r="V34" s="211"/>
      <c r="W34" s="211"/>
      <c r="X34" s="211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5">
      <c r="A35" s="209"/>
      <c r="B35" s="210"/>
      <c r="C35" s="191" t="s">
        <v>383</v>
      </c>
      <c r="D35" s="192"/>
      <c r="E35" s="193"/>
      <c r="F35" s="206"/>
      <c r="G35" s="194"/>
      <c r="H35" s="190"/>
      <c r="I35" s="211"/>
      <c r="J35" s="190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13.2" customHeight="1" outlineLevel="1" x14ac:dyDescent="0.25">
      <c r="A36" s="209"/>
      <c r="B36" s="210"/>
      <c r="C36" s="391"/>
      <c r="D36" s="391"/>
      <c r="E36" s="391"/>
      <c r="F36" s="391"/>
      <c r="G36" s="391"/>
      <c r="H36" s="211"/>
      <c r="I36" s="211"/>
      <c r="J36" s="211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5">
      <c r="A37" s="155" t="s">
        <v>90</v>
      </c>
      <c r="B37" s="156" t="s">
        <v>214</v>
      </c>
      <c r="C37" s="171" t="s">
        <v>215</v>
      </c>
      <c r="D37" s="157"/>
      <c r="E37" s="158"/>
      <c r="F37" s="159"/>
      <c r="G37" s="159">
        <f>G38+G41</f>
        <v>0</v>
      </c>
      <c r="H37" s="159"/>
      <c r="I37" s="159">
        <f>SUM(I38:I40)</f>
        <v>6016.6</v>
      </c>
      <c r="J37" s="159"/>
      <c r="K37" s="159">
        <f>SUM(K38:K40)</f>
        <v>4883.3999999999996</v>
      </c>
      <c r="L37" s="159"/>
      <c r="M37" s="159">
        <f>M38+M41</f>
        <v>0</v>
      </c>
      <c r="N37" s="159"/>
      <c r="O37" s="159">
        <f>SUM(O38:O40)</f>
        <v>18.91</v>
      </c>
      <c r="P37" s="159"/>
      <c r="Q37" s="159">
        <f>SUM(Q38:Q40)</f>
        <v>0</v>
      </c>
      <c r="R37" s="159"/>
      <c r="S37" s="159"/>
      <c r="T37" s="160"/>
      <c r="U37" s="211"/>
      <c r="V37" s="211"/>
      <c r="W37" s="211"/>
      <c r="X37" s="211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5">
      <c r="A38" s="212">
        <v>11</v>
      </c>
      <c r="B38" s="213" t="s">
        <v>216</v>
      </c>
      <c r="C38" s="219" t="s">
        <v>228</v>
      </c>
      <c r="D38" s="214" t="s">
        <v>113</v>
      </c>
      <c r="E38" s="215">
        <v>10</v>
      </c>
      <c r="F38" s="216"/>
      <c r="G38" s="217">
        <f>ROUND(E38*F38,2)</f>
        <v>0</v>
      </c>
      <c r="H38" s="216">
        <v>601.66</v>
      </c>
      <c r="I38" s="217">
        <f>ROUND(E38*H38,2)</f>
        <v>6016.6</v>
      </c>
      <c r="J38" s="216">
        <v>488.34</v>
      </c>
      <c r="K38" s="217">
        <f>ROUND(E38*J38,2)</f>
        <v>4883.3999999999996</v>
      </c>
      <c r="L38" s="217">
        <v>21</v>
      </c>
      <c r="M38" s="217">
        <f>G38*(1+L38/100)</f>
        <v>0</v>
      </c>
      <c r="N38" s="217">
        <v>1.8907700000000001</v>
      </c>
      <c r="O38" s="217">
        <f>ROUND(E38*N38,2)</f>
        <v>18.91</v>
      </c>
      <c r="P38" s="217">
        <v>0</v>
      </c>
      <c r="Q38" s="217">
        <f>ROUND(E38*P38,2)</f>
        <v>0</v>
      </c>
      <c r="R38" s="217" t="s">
        <v>217</v>
      </c>
      <c r="S38" s="217" t="s">
        <v>199</v>
      </c>
      <c r="T38" s="217" t="s">
        <v>199</v>
      </c>
      <c r="U38" s="211"/>
      <c r="V38" s="211"/>
      <c r="W38" s="211"/>
      <c r="X38" s="211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5">
      <c r="A39" s="209"/>
      <c r="B39" s="210"/>
      <c r="C39" s="372" t="s">
        <v>229</v>
      </c>
      <c r="D39" s="373"/>
      <c r="E39" s="373"/>
      <c r="F39" s="373"/>
      <c r="G39" s="373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5">
      <c r="A40" s="209"/>
      <c r="B40" s="210"/>
      <c r="C40" s="374"/>
      <c r="D40" s="375"/>
      <c r="E40" s="375"/>
      <c r="F40" s="375"/>
      <c r="G40" s="375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5">
      <c r="A41" s="212">
        <v>12</v>
      </c>
      <c r="B41" s="213" t="s">
        <v>218</v>
      </c>
      <c r="C41" s="219" t="s">
        <v>219</v>
      </c>
      <c r="D41" s="214" t="s">
        <v>124</v>
      </c>
      <c r="E41" s="215">
        <f>E38*1.85</f>
        <v>18.5</v>
      </c>
      <c r="F41" s="216"/>
      <c r="G41" s="217">
        <f>ROUND(E41*F41,2)</f>
        <v>0</v>
      </c>
      <c r="H41" s="216">
        <v>601.66</v>
      </c>
      <c r="I41" s="217">
        <f>ROUND(E41*H41,2)</f>
        <v>11130.71</v>
      </c>
      <c r="J41" s="216">
        <v>488.34</v>
      </c>
      <c r="K41" s="217">
        <f>ROUND(E41*J41,2)</f>
        <v>9034.2900000000009</v>
      </c>
      <c r="L41" s="217">
        <v>21</v>
      </c>
      <c r="M41" s="217">
        <f>G41*(1+L41/100)</f>
        <v>0</v>
      </c>
      <c r="N41" s="217">
        <v>1.8907700000000001</v>
      </c>
      <c r="O41" s="217">
        <f>ROUND(E41*N41,2)</f>
        <v>34.979999999999997</v>
      </c>
      <c r="P41" s="217">
        <v>0</v>
      </c>
      <c r="Q41" s="217">
        <f>ROUND(E41*P41,2)</f>
        <v>0</v>
      </c>
      <c r="R41" s="217" t="s">
        <v>217</v>
      </c>
      <c r="S41" s="217" t="s">
        <v>199</v>
      </c>
      <c r="T41" s="217" t="s">
        <v>98</v>
      </c>
      <c r="U41" s="211"/>
      <c r="V41" s="211"/>
      <c r="W41" s="211"/>
      <c r="X41" s="211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5">
      <c r="A42" s="209"/>
      <c r="B42" s="210"/>
      <c r="C42" s="248"/>
      <c r="D42" s="249"/>
      <c r="E42" s="249"/>
      <c r="F42" s="249"/>
      <c r="G42" s="249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x14ac:dyDescent="0.25">
      <c r="A43" s="155" t="s">
        <v>90</v>
      </c>
      <c r="B43" s="156" t="s">
        <v>220</v>
      </c>
      <c r="C43" s="171" t="s">
        <v>221</v>
      </c>
      <c r="D43" s="157"/>
      <c r="E43" s="158"/>
      <c r="F43" s="159"/>
      <c r="G43" s="159">
        <f>G44+G46+G49+G52+G54+G56+G58+G60+G62+G64+G66</f>
        <v>0</v>
      </c>
      <c r="H43" s="159"/>
      <c r="I43" s="159">
        <f>SUM(I44:I67)</f>
        <v>35828.94</v>
      </c>
      <c r="J43" s="159"/>
      <c r="K43" s="159">
        <f>SUM(K44:K67)</f>
        <v>51141.86</v>
      </c>
      <c r="L43" s="159"/>
      <c r="M43" s="159">
        <f>M44+M46+M49+M52+M54+M56+M58+M60+M62+M64+M66</f>
        <v>0</v>
      </c>
      <c r="N43" s="159"/>
      <c r="O43" s="159">
        <f>SUM(O44:O67)</f>
        <v>0.19</v>
      </c>
      <c r="P43" s="159"/>
      <c r="Q43" s="159">
        <f>SUM(Q44:Q67)</f>
        <v>0</v>
      </c>
      <c r="R43" s="159"/>
      <c r="S43" s="159"/>
      <c r="T43" s="160"/>
      <c r="U43" s="154"/>
      <c r="V43" s="154">
        <f>SUM(V44:V67)</f>
        <v>0.03</v>
      </c>
      <c r="W43" s="154"/>
      <c r="X43" s="154"/>
      <c r="Y43" s="84"/>
      <c r="AG43" s="207" t="s">
        <v>91</v>
      </c>
    </row>
    <row r="44" spans="1:60" ht="20.399999999999999" outlineLevel="1" x14ac:dyDescent="0.25">
      <c r="A44" s="212">
        <v>13</v>
      </c>
      <c r="B44" s="213" t="s">
        <v>222</v>
      </c>
      <c r="C44" s="219" t="s">
        <v>388</v>
      </c>
      <c r="D44" s="214" t="s">
        <v>204</v>
      </c>
      <c r="E44" s="215">
        <v>1</v>
      </c>
      <c r="F44" s="216"/>
      <c r="G44" s="217">
        <f>ROUND(E44*F44,2)</f>
        <v>0</v>
      </c>
      <c r="H44" s="216">
        <v>0</v>
      </c>
      <c r="I44" s="217">
        <f>ROUND(E44*H44,2)</f>
        <v>0</v>
      </c>
      <c r="J44" s="216">
        <v>5330</v>
      </c>
      <c r="K44" s="217">
        <f>ROUND(E44*J44,2)</f>
        <v>5330</v>
      </c>
      <c r="L44" s="217">
        <v>21</v>
      </c>
      <c r="M44" s="217">
        <f>G44*(1+L44/100)</f>
        <v>0</v>
      </c>
      <c r="N44" s="217">
        <v>0</v>
      </c>
      <c r="O44" s="217">
        <f>ROUND(E44*N44,2)</f>
        <v>0</v>
      </c>
      <c r="P44" s="217">
        <v>0</v>
      </c>
      <c r="Q44" s="217">
        <f>ROUND(E44*P44,2)</f>
        <v>0</v>
      </c>
      <c r="R44" s="217" t="s">
        <v>220</v>
      </c>
      <c r="S44" s="217" t="s">
        <v>199</v>
      </c>
      <c r="T44" s="217" t="s">
        <v>98</v>
      </c>
      <c r="U44" s="211"/>
      <c r="V44" s="211"/>
      <c r="W44" s="211"/>
      <c r="X44" s="211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5">
      <c r="A45" s="209"/>
      <c r="B45" s="210"/>
      <c r="C45" s="248"/>
      <c r="D45" s="249"/>
      <c r="E45" s="249"/>
      <c r="F45" s="249"/>
      <c r="G45" s="249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5">
      <c r="A46" s="212">
        <v>14</v>
      </c>
      <c r="B46" s="213" t="s">
        <v>223</v>
      </c>
      <c r="C46" s="219" t="s">
        <v>384</v>
      </c>
      <c r="D46" s="214" t="s">
        <v>94</v>
      </c>
      <c r="E46" s="215">
        <v>7</v>
      </c>
      <c r="F46" s="216"/>
      <c r="G46" s="217">
        <f>ROUND(E46*F46,2)</f>
        <v>0</v>
      </c>
      <c r="H46" s="216">
        <v>0</v>
      </c>
      <c r="I46" s="217">
        <f>ROUND(E46*H46,2)</f>
        <v>0</v>
      </c>
      <c r="J46" s="216">
        <v>548</v>
      </c>
      <c r="K46" s="217">
        <f>ROUND(E46*J46,2)</f>
        <v>3836</v>
      </c>
      <c r="L46" s="217">
        <v>21</v>
      </c>
      <c r="M46" s="217">
        <f>G46*(1+L46/100)</f>
        <v>0</v>
      </c>
      <c r="N46" s="217">
        <v>0</v>
      </c>
      <c r="O46" s="217">
        <f>ROUND(E46*N46,2)</f>
        <v>0</v>
      </c>
      <c r="P46" s="217">
        <v>0</v>
      </c>
      <c r="Q46" s="217">
        <f>ROUND(E46*P46,2)</f>
        <v>0</v>
      </c>
      <c r="R46" s="217" t="s">
        <v>220</v>
      </c>
      <c r="S46" s="217" t="s">
        <v>199</v>
      </c>
      <c r="T46" s="217" t="s">
        <v>98</v>
      </c>
      <c r="U46" s="211"/>
      <c r="V46" s="211"/>
      <c r="W46" s="211"/>
      <c r="X46" s="211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5">
      <c r="A47" s="209"/>
      <c r="B47" s="210"/>
      <c r="C47" s="378" t="s">
        <v>385</v>
      </c>
      <c r="D47" s="379"/>
      <c r="E47" s="379"/>
      <c r="F47" s="379"/>
      <c r="G47" s="379"/>
      <c r="H47" s="190"/>
      <c r="I47" s="211"/>
      <c r="J47" s="190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13.2" customHeight="1" outlineLevel="1" x14ac:dyDescent="0.25">
      <c r="A48" s="209"/>
      <c r="B48" s="210"/>
      <c r="C48" s="374"/>
      <c r="D48" s="375"/>
      <c r="E48" s="375"/>
      <c r="F48" s="375"/>
      <c r="G48" s="375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ht="34.200000000000003" customHeight="1" outlineLevel="1" x14ac:dyDescent="0.25">
      <c r="A49" s="212">
        <v>15</v>
      </c>
      <c r="B49" s="213" t="s">
        <v>224</v>
      </c>
      <c r="C49" s="219" t="s">
        <v>386</v>
      </c>
      <c r="D49" s="214" t="s">
        <v>94</v>
      </c>
      <c r="E49" s="215">
        <v>7</v>
      </c>
      <c r="F49" s="216"/>
      <c r="G49" s="217">
        <f>ROUND(E49*F49,2)</f>
        <v>0</v>
      </c>
      <c r="H49" s="216">
        <v>5009.22</v>
      </c>
      <c r="I49" s="217">
        <f>ROUND(E49*H49,2)</f>
        <v>35064.54</v>
      </c>
      <c r="J49" s="216">
        <v>805.78</v>
      </c>
      <c r="K49" s="217">
        <f>ROUND(E49*J49,2)</f>
        <v>5640.46</v>
      </c>
      <c r="L49" s="217">
        <v>21</v>
      </c>
      <c r="M49" s="217">
        <f>G49*(1+L49/100)</f>
        <v>0</v>
      </c>
      <c r="N49" s="217">
        <v>2.545E-2</v>
      </c>
      <c r="O49" s="217">
        <f>ROUND(E49*N49,2)</f>
        <v>0.18</v>
      </c>
      <c r="P49" s="217">
        <v>0</v>
      </c>
      <c r="Q49" s="217">
        <f>ROUND(E49*P49,2)</f>
        <v>0</v>
      </c>
      <c r="R49" s="217" t="s">
        <v>220</v>
      </c>
      <c r="S49" s="217" t="s">
        <v>199</v>
      </c>
      <c r="T49" s="217" t="s">
        <v>98</v>
      </c>
      <c r="U49" s="211">
        <v>4.0000000000000001E-3</v>
      </c>
      <c r="V49" s="211">
        <f>ROUND(E49*U49,2)</f>
        <v>0.03</v>
      </c>
      <c r="W49" s="211"/>
      <c r="X49" s="211" t="s">
        <v>107</v>
      </c>
      <c r="Y49" s="208"/>
      <c r="Z49" s="208"/>
      <c r="AA49" s="208"/>
      <c r="AB49" s="208"/>
      <c r="AC49" s="208"/>
      <c r="AD49" s="208"/>
      <c r="AE49" s="208"/>
      <c r="AF49" s="208"/>
      <c r="AG49" s="208" t="s">
        <v>108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13.95" customHeight="1" outlineLevel="1" x14ac:dyDescent="0.25">
      <c r="A50" s="209"/>
      <c r="B50" s="210"/>
      <c r="C50" s="378" t="s">
        <v>236</v>
      </c>
      <c r="D50" s="379"/>
      <c r="E50" s="379"/>
      <c r="F50" s="379"/>
      <c r="G50" s="379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08"/>
      <c r="Z50" s="208"/>
      <c r="AA50" s="208"/>
      <c r="AB50" s="208"/>
      <c r="AC50" s="208"/>
      <c r="AD50" s="208"/>
      <c r="AE50" s="208"/>
      <c r="AF50" s="208"/>
      <c r="AG50" s="208" t="s">
        <v>92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5">
      <c r="A51" s="209"/>
      <c r="B51" s="210"/>
      <c r="C51" s="374"/>
      <c r="D51" s="375"/>
      <c r="E51" s="375"/>
      <c r="F51" s="375"/>
      <c r="G51" s="375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5">
      <c r="A52" s="212">
        <v>16</v>
      </c>
      <c r="B52" s="213" t="s">
        <v>244</v>
      </c>
      <c r="C52" s="219" t="s">
        <v>245</v>
      </c>
      <c r="D52" s="214" t="s">
        <v>111</v>
      </c>
      <c r="E52" s="215">
        <v>39</v>
      </c>
      <c r="F52" s="216"/>
      <c r="G52" s="217">
        <f>ROUND(E52*F52,2)</f>
        <v>0</v>
      </c>
      <c r="H52" s="216">
        <v>0</v>
      </c>
      <c r="I52" s="217">
        <f>ROUND(E52*H52,2)</f>
        <v>0</v>
      </c>
      <c r="J52" s="216">
        <v>66.599999999999994</v>
      </c>
      <c r="K52" s="217">
        <f>ROUND(E52*J52,2)</f>
        <v>2597.4</v>
      </c>
      <c r="L52" s="217">
        <v>21</v>
      </c>
      <c r="M52" s="217">
        <f>G52*(1+L52/100)</f>
        <v>0</v>
      </c>
      <c r="N52" s="217">
        <v>0</v>
      </c>
      <c r="O52" s="217">
        <f>ROUND(E52*N52,2)</f>
        <v>0</v>
      </c>
      <c r="P52" s="217">
        <v>0</v>
      </c>
      <c r="Q52" s="217">
        <f>ROUND(E52*P52,2)</f>
        <v>0</v>
      </c>
      <c r="R52" s="217" t="s">
        <v>220</v>
      </c>
      <c r="S52" s="217" t="s">
        <v>199</v>
      </c>
      <c r="T52" s="217" t="s">
        <v>98</v>
      </c>
      <c r="U52" s="211"/>
      <c r="V52" s="211"/>
      <c r="W52" s="211"/>
      <c r="X52" s="211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5">
      <c r="A53" s="209"/>
      <c r="B53" s="210"/>
      <c r="C53" s="254"/>
      <c r="D53" s="255"/>
      <c r="E53" s="255"/>
      <c r="F53" s="255"/>
      <c r="G53" s="255"/>
      <c r="H53" s="190"/>
      <c r="I53" s="211"/>
      <c r="J53" s="190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5">
      <c r="A54" s="212">
        <v>17</v>
      </c>
      <c r="B54" s="213" t="s">
        <v>237</v>
      </c>
      <c r="C54" s="219" t="s">
        <v>262</v>
      </c>
      <c r="D54" s="214" t="s">
        <v>111</v>
      </c>
      <c r="E54" s="215">
        <v>140</v>
      </c>
      <c r="F54" s="216"/>
      <c r="G54" s="217">
        <f>ROUND(E54*F54,2)</f>
        <v>0</v>
      </c>
      <c r="H54" s="216">
        <v>0</v>
      </c>
      <c r="I54" s="217">
        <f>ROUND(E54*H54,2)</f>
        <v>0</v>
      </c>
      <c r="J54" s="216">
        <v>66.599999999999994</v>
      </c>
      <c r="K54" s="217">
        <f>ROUND(E54*J54,2)</f>
        <v>9324</v>
      </c>
      <c r="L54" s="217">
        <v>21</v>
      </c>
      <c r="M54" s="217">
        <f>G54*(1+L54/100)</f>
        <v>0</v>
      </c>
      <c r="N54" s="217">
        <v>0</v>
      </c>
      <c r="O54" s="217">
        <f>ROUND(E54*N54,2)</f>
        <v>0</v>
      </c>
      <c r="P54" s="217">
        <v>0</v>
      </c>
      <c r="Q54" s="217">
        <f>ROUND(E54*P54,2)</f>
        <v>0</v>
      </c>
      <c r="R54" s="217" t="s">
        <v>220</v>
      </c>
      <c r="S54" s="217" t="s">
        <v>199</v>
      </c>
      <c r="T54" s="217" t="s">
        <v>98</v>
      </c>
      <c r="U54" s="211"/>
      <c r="V54" s="211"/>
      <c r="W54" s="211"/>
      <c r="X54" s="211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5">
      <c r="A55" s="209"/>
      <c r="B55" s="210"/>
      <c r="C55" s="248"/>
      <c r="D55" s="249"/>
      <c r="E55" s="249"/>
      <c r="F55" s="249"/>
      <c r="G55" s="249"/>
      <c r="H55" s="190"/>
      <c r="I55" s="211"/>
      <c r="J55" s="190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5">
      <c r="A56" s="212">
        <v>18</v>
      </c>
      <c r="B56" s="213" t="s">
        <v>261</v>
      </c>
      <c r="C56" s="219" t="s">
        <v>239</v>
      </c>
      <c r="D56" s="214" t="s">
        <v>111</v>
      </c>
      <c r="E56" s="215">
        <v>19</v>
      </c>
      <c r="F56" s="216"/>
      <c r="G56" s="217">
        <f>ROUND(E56*F56,2)</f>
        <v>0</v>
      </c>
      <c r="H56" s="216">
        <v>0</v>
      </c>
      <c r="I56" s="217">
        <f>ROUND(E56*H56,2)</f>
        <v>0</v>
      </c>
      <c r="J56" s="216">
        <v>66.599999999999994</v>
      </c>
      <c r="K56" s="217">
        <f>ROUND(E56*J56,2)</f>
        <v>1265.4000000000001</v>
      </c>
      <c r="L56" s="217">
        <v>21</v>
      </c>
      <c r="M56" s="217">
        <f>G56*(1+L56/100)</f>
        <v>0</v>
      </c>
      <c r="N56" s="217">
        <v>0</v>
      </c>
      <c r="O56" s="217">
        <f>ROUND(E56*N56,2)</f>
        <v>0</v>
      </c>
      <c r="P56" s="217">
        <v>0</v>
      </c>
      <c r="Q56" s="217">
        <f>ROUND(E56*P56,2)</f>
        <v>0</v>
      </c>
      <c r="R56" s="217" t="s">
        <v>220</v>
      </c>
      <c r="S56" s="217" t="s">
        <v>199</v>
      </c>
      <c r="T56" s="217" t="s">
        <v>98</v>
      </c>
      <c r="U56" s="211"/>
      <c r="V56" s="211"/>
      <c r="W56" s="211"/>
      <c r="X56" s="211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5">
      <c r="A57" s="209"/>
      <c r="B57" s="210"/>
      <c r="C57" s="248"/>
      <c r="D57" s="249"/>
      <c r="E57" s="249"/>
      <c r="F57" s="249"/>
      <c r="G57" s="249"/>
      <c r="H57" s="190"/>
      <c r="I57" s="211"/>
      <c r="J57" s="190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5">
      <c r="A58" s="212">
        <v>19</v>
      </c>
      <c r="B58" s="213" t="s">
        <v>241</v>
      </c>
      <c r="C58" s="219" t="s">
        <v>240</v>
      </c>
      <c r="D58" s="214" t="s">
        <v>111</v>
      </c>
      <c r="E58" s="215">
        <v>25</v>
      </c>
      <c r="F58" s="216"/>
      <c r="G58" s="217">
        <f>ROUND(E58*F58,2)</f>
        <v>0</v>
      </c>
      <c r="H58" s="216">
        <v>0</v>
      </c>
      <c r="I58" s="217">
        <f>ROUND(E58*H58,2)</f>
        <v>0</v>
      </c>
      <c r="J58" s="216">
        <v>66.599999999999994</v>
      </c>
      <c r="K58" s="217">
        <f>ROUND(E58*J58,2)</f>
        <v>1665</v>
      </c>
      <c r="L58" s="217">
        <v>21</v>
      </c>
      <c r="M58" s="217">
        <f>G58*(1+L58/100)</f>
        <v>0</v>
      </c>
      <c r="N58" s="217">
        <v>0</v>
      </c>
      <c r="O58" s="217">
        <f>ROUND(E58*N58,2)</f>
        <v>0</v>
      </c>
      <c r="P58" s="217">
        <v>0</v>
      </c>
      <c r="Q58" s="217">
        <f>ROUND(E58*P58,2)</f>
        <v>0</v>
      </c>
      <c r="R58" s="217" t="s">
        <v>220</v>
      </c>
      <c r="S58" s="217" t="s">
        <v>199</v>
      </c>
      <c r="T58" s="217" t="s">
        <v>98</v>
      </c>
      <c r="U58" s="211"/>
      <c r="V58" s="211"/>
      <c r="W58" s="211"/>
      <c r="X58" s="211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5">
      <c r="A59" s="209"/>
      <c r="B59" s="210"/>
      <c r="C59" s="248"/>
      <c r="D59" s="249"/>
      <c r="E59" s="249"/>
      <c r="F59" s="249"/>
      <c r="G59" s="249"/>
      <c r="H59" s="190"/>
      <c r="I59" s="211"/>
      <c r="J59" s="190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5">
      <c r="A60" s="212">
        <v>20</v>
      </c>
      <c r="B60" s="213" t="s">
        <v>259</v>
      </c>
      <c r="C60" s="219" t="s">
        <v>387</v>
      </c>
      <c r="D60" s="214" t="s">
        <v>111</v>
      </c>
      <c r="E60" s="215">
        <v>140</v>
      </c>
      <c r="F60" s="216"/>
      <c r="G60" s="217">
        <f>ROUND(E60*F60,2)</f>
        <v>0</v>
      </c>
      <c r="H60" s="216">
        <v>0</v>
      </c>
      <c r="I60" s="217">
        <f>ROUND(E60*H60,2)</f>
        <v>0</v>
      </c>
      <c r="J60" s="216">
        <v>66.599999999999994</v>
      </c>
      <c r="K60" s="217">
        <f>ROUND(E60*J60,2)</f>
        <v>9324</v>
      </c>
      <c r="L60" s="217">
        <v>21</v>
      </c>
      <c r="M60" s="217">
        <f>G60*(1+L60/100)</f>
        <v>0</v>
      </c>
      <c r="N60" s="217">
        <v>0</v>
      </c>
      <c r="O60" s="217">
        <f>ROUND(E60*N60,2)</f>
        <v>0</v>
      </c>
      <c r="P60" s="217">
        <v>0</v>
      </c>
      <c r="Q60" s="217">
        <f>ROUND(E60*P60,2)</f>
        <v>0</v>
      </c>
      <c r="R60" s="217" t="s">
        <v>220</v>
      </c>
      <c r="S60" s="217" t="s">
        <v>199</v>
      </c>
      <c r="T60" s="217" t="s">
        <v>98</v>
      </c>
      <c r="U60" s="211"/>
      <c r="V60" s="211"/>
      <c r="W60" s="211"/>
      <c r="X60" s="211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5">
      <c r="A61" s="209"/>
      <c r="B61" s="210"/>
      <c r="C61" s="254"/>
      <c r="D61" s="255"/>
      <c r="E61" s="255"/>
      <c r="F61" s="255"/>
      <c r="G61" s="255"/>
      <c r="H61" s="190"/>
      <c r="I61" s="211"/>
      <c r="J61" s="190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5">
      <c r="A62" s="212">
        <v>21</v>
      </c>
      <c r="B62" s="213" t="s">
        <v>260</v>
      </c>
      <c r="C62" s="219" t="s">
        <v>238</v>
      </c>
      <c r="D62" s="214" t="s">
        <v>111</v>
      </c>
      <c r="E62" s="215">
        <v>20</v>
      </c>
      <c r="F62" s="216"/>
      <c r="G62" s="217">
        <f>ROUND(E62*F62,2)</f>
        <v>0</v>
      </c>
      <c r="H62" s="216">
        <v>0</v>
      </c>
      <c r="I62" s="217">
        <f>ROUND(E62*H62,2)</f>
        <v>0</v>
      </c>
      <c r="J62" s="216">
        <v>66.599999999999994</v>
      </c>
      <c r="K62" s="217">
        <f>ROUND(E62*J62,2)</f>
        <v>1332</v>
      </c>
      <c r="L62" s="217">
        <v>21</v>
      </c>
      <c r="M62" s="217">
        <f>G62*(1+L62/100)</f>
        <v>0</v>
      </c>
      <c r="N62" s="217">
        <v>0</v>
      </c>
      <c r="O62" s="217">
        <f>ROUND(E62*N62,2)</f>
        <v>0</v>
      </c>
      <c r="P62" s="217">
        <v>0</v>
      </c>
      <c r="Q62" s="217">
        <f>ROUND(E62*P62,2)</f>
        <v>0</v>
      </c>
      <c r="R62" s="217" t="s">
        <v>220</v>
      </c>
      <c r="S62" s="217" t="s">
        <v>199</v>
      </c>
      <c r="T62" s="217" t="s">
        <v>98</v>
      </c>
      <c r="U62" s="211"/>
      <c r="V62" s="211"/>
      <c r="W62" s="211"/>
      <c r="X62" s="211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5">
      <c r="A63" s="209"/>
      <c r="B63" s="210"/>
      <c r="C63" s="374"/>
      <c r="D63" s="375"/>
      <c r="E63" s="375"/>
      <c r="F63" s="375"/>
      <c r="G63" s="375"/>
      <c r="H63" s="190"/>
      <c r="I63" s="211"/>
      <c r="J63" s="190"/>
      <c r="K63" s="211"/>
      <c r="L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5">
      <c r="A64" s="212">
        <v>22</v>
      </c>
      <c r="B64" s="213" t="s">
        <v>242</v>
      </c>
      <c r="C64" s="219" t="s">
        <v>225</v>
      </c>
      <c r="D64" s="214" t="s">
        <v>111</v>
      </c>
      <c r="E64" s="215">
        <v>140</v>
      </c>
      <c r="F64" s="216"/>
      <c r="G64" s="217">
        <f>ROUND(E64*F64,2)</f>
        <v>0</v>
      </c>
      <c r="H64" s="216">
        <v>0</v>
      </c>
      <c r="I64" s="217">
        <f>ROUND(E64*H64,2)</f>
        <v>0</v>
      </c>
      <c r="J64" s="216">
        <v>66.599999999999994</v>
      </c>
      <c r="K64" s="217">
        <f>ROUND(E64*J64,2)</f>
        <v>9324</v>
      </c>
      <c r="L64" s="217">
        <v>21</v>
      </c>
      <c r="M64" s="217">
        <f>G64*(1+L64/100)</f>
        <v>0</v>
      </c>
      <c r="N64" s="217">
        <v>0</v>
      </c>
      <c r="O64" s="217">
        <f>ROUND(E64*N64,2)</f>
        <v>0</v>
      </c>
      <c r="P64" s="217">
        <v>0</v>
      </c>
      <c r="Q64" s="217">
        <f>ROUND(E64*P64,2)</f>
        <v>0</v>
      </c>
      <c r="R64" s="217" t="s">
        <v>220</v>
      </c>
      <c r="S64" s="217" t="s">
        <v>199</v>
      </c>
      <c r="T64" s="217" t="s">
        <v>98</v>
      </c>
      <c r="U64" s="211"/>
      <c r="V64" s="211"/>
      <c r="W64" s="211"/>
      <c r="X64" s="211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12.75" customHeight="1" outlineLevel="1" x14ac:dyDescent="0.25">
      <c r="A65" s="209"/>
      <c r="B65" s="210"/>
      <c r="C65" s="376"/>
      <c r="D65" s="377"/>
      <c r="E65" s="377"/>
      <c r="F65" s="377"/>
      <c r="G65" s="377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14.25" customHeight="1" outlineLevel="1" x14ac:dyDescent="0.25">
      <c r="A66" s="212">
        <v>23</v>
      </c>
      <c r="B66" s="213" t="s">
        <v>226</v>
      </c>
      <c r="C66" s="219" t="s">
        <v>227</v>
      </c>
      <c r="D66" s="214" t="s">
        <v>111</v>
      </c>
      <c r="E66" s="215">
        <v>140</v>
      </c>
      <c r="F66" s="216"/>
      <c r="G66" s="217">
        <f>ROUND(E66*F66,2)</f>
        <v>0</v>
      </c>
      <c r="H66" s="216">
        <v>5.46</v>
      </c>
      <c r="I66" s="217">
        <f>ROUND(E66*H66,2)</f>
        <v>764.4</v>
      </c>
      <c r="J66" s="216">
        <v>10.74</v>
      </c>
      <c r="K66" s="217">
        <f>ROUND(E66*J66,2)</f>
        <v>1503.6</v>
      </c>
      <c r="L66" s="217">
        <v>21</v>
      </c>
      <c r="M66" s="217">
        <f>G66*(1+L66/100)</f>
        <v>0</v>
      </c>
      <c r="N66" s="217">
        <v>6.0000000000000002E-5</v>
      </c>
      <c r="O66" s="217">
        <f>ROUND(E66*N66,2)</f>
        <v>0.01</v>
      </c>
      <c r="P66" s="217">
        <v>0</v>
      </c>
      <c r="Q66" s="217">
        <f>ROUND(E66*P66,2)</f>
        <v>0</v>
      </c>
      <c r="R66" s="217"/>
      <c r="S66" s="217" t="s">
        <v>199</v>
      </c>
      <c r="T66" s="217" t="s">
        <v>98</v>
      </c>
      <c r="U66" s="211"/>
      <c r="V66" s="211"/>
      <c r="W66" s="211"/>
      <c r="X66" s="211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12.75" customHeight="1" outlineLevel="1" x14ac:dyDescent="0.25">
      <c r="A67" s="209"/>
      <c r="B67" s="210"/>
      <c r="C67" s="248"/>
      <c r="D67" s="249"/>
      <c r="E67" s="249"/>
      <c r="F67" s="249"/>
      <c r="G67" s="249"/>
      <c r="H67" s="211"/>
      <c r="I67" s="211"/>
      <c r="J67" s="211"/>
      <c r="K67" s="211"/>
      <c r="L67" s="211"/>
      <c r="M67" s="211"/>
      <c r="N67" s="211"/>
      <c r="O67" s="211"/>
      <c r="P67" s="211"/>
      <c r="Q67" s="211"/>
      <c r="R67" s="211"/>
      <c r="S67" s="211"/>
      <c r="T67" s="211"/>
      <c r="U67" s="211"/>
      <c r="V67" s="211"/>
      <c r="W67" s="211"/>
      <c r="X67" s="211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x14ac:dyDescent="0.25">
      <c r="A68" s="155" t="s">
        <v>90</v>
      </c>
      <c r="B68" s="156" t="s">
        <v>57</v>
      </c>
      <c r="C68" s="171" t="s">
        <v>58</v>
      </c>
      <c r="D68" s="157"/>
      <c r="E68" s="158"/>
      <c r="F68" s="159"/>
      <c r="G68" s="159">
        <f>SUMIF(AG69:AG70,"&lt;&gt;NOR",G69:G70)</f>
        <v>0</v>
      </c>
      <c r="H68" s="159"/>
      <c r="I68" s="159">
        <f>SUM(I69:I70)</f>
        <v>0</v>
      </c>
      <c r="J68" s="159"/>
      <c r="K68" s="159">
        <f>SUM(K69:K70)</f>
        <v>1422.58</v>
      </c>
      <c r="L68" s="159"/>
      <c r="M68" s="159">
        <f>SUM(M69:M70)</f>
        <v>0</v>
      </c>
      <c r="N68" s="159"/>
      <c r="O68" s="159">
        <f>SUM(O69:O70)</f>
        <v>0</v>
      </c>
      <c r="P68" s="159"/>
      <c r="Q68" s="159">
        <f>SUM(Q69:Q70)</f>
        <v>0</v>
      </c>
      <c r="R68" s="159"/>
      <c r="S68" s="159"/>
      <c r="T68" s="160"/>
      <c r="U68" s="154"/>
      <c r="V68" s="154">
        <f>SUM(V69:V70)</f>
        <v>0</v>
      </c>
      <c r="W68" s="154"/>
      <c r="X68" s="154"/>
      <c r="AG68" s="207" t="s">
        <v>91</v>
      </c>
    </row>
    <row r="69" spans="1:60" outlineLevel="1" x14ac:dyDescent="0.25">
      <c r="A69" s="212">
        <v>24</v>
      </c>
      <c r="B69" s="213" t="s">
        <v>174</v>
      </c>
      <c r="C69" s="219" t="s">
        <v>175</v>
      </c>
      <c r="D69" s="214" t="s">
        <v>124</v>
      </c>
      <c r="E69" s="215">
        <f>E29+E38*1.85</f>
        <v>19.98</v>
      </c>
      <c r="F69" s="216"/>
      <c r="G69" s="217">
        <f>ROUND(E69*F69,2)</f>
        <v>0</v>
      </c>
      <c r="H69" s="216">
        <v>0</v>
      </c>
      <c r="I69" s="217">
        <f>ROUND(E69*H69,2)</f>
        <v>0</v>
      </c>
      <c r="J69" s="216">
        <v>71.2</v>
      </c>
      <c r="K69" s="217">
        <f>ROUND(E69*J69,2)</f>
        <v>1422.58</v>
      </c>
      <c r="L69" s="217">
        <v>21</v>
      </c>
      <c r="M69" s="217">
        <f>G69*(1+L69/100)</f>
        <v>0</v>
      </c>
      <c r="N69" s="217">
        <v>0</v>
      </c>
      <c r="O69" s="217">
        <f>ROUND(E69*N69,2)</f>
        <v>0</v>
      </c>
      <c r="P69" s="217">
        <v>0</v>
      </c>
      <c r="Q69" s="239">
        <f>ROUND(E69*P69,2)</f>
        <v>0</v>
      </c>
      <c r="R69" s="217" t="s">
        <v>106</v>
      </c>
      <c r="S69" s="217" t="s">
        <v>199</v>
      </c>
      <c r="T69" s="217" t="s">
        <v>199</v>
      </c>
      <c r="U69" s="211"/>
      <c r="V69" s="211"/>
      <c r="W69" s="211"/>
      <c r="X69" s="211"/>
      <c r="Y69" s="208"/>
      <c r="Z69" s="208"/>
      <c r="AA69" s="208"/>
      <c r="AB69" s="208"/>
      <c r="AC69" s="208"/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5">
      <c r="A70" s="209"/>
      <c r="B70" s="210"/>
      <c r="C70" s="390"/>
      <c r="D70" s="390"/>
      <c r="E70" s="390"/>
      <c r="F70" s="390"/>
      <c r="G70" s="390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08"/>
      <c r="Z70" s="208"/>
      <c r="AA70" s="208"/>
      <c r="AB70" s="208"/>
      <c r="AC70" s="208"/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x14ac:dyDescent="0.25">
      <c r="A71" s="155" t="s">
        <v>90</v>
      </c>
      <c r="B71" s="156" t="s">
        <v>62</v>
      </c>
      <c r="C71" s="171" t="s">
        <v>26</v>
      </c>
      <c r="D71" s="157"/>
      <c r="E71" s="158"/>
      <c r="F71" s="159"/>
      <c r="G71" s="159">
        <f>G72+G74+G77+G79</f>
        <v>0</v>
      </c>
      <c r="H71" s="159"/>
      <c r="I71" s="159">
        <f>SUM(I74:I76)</f>
        <v>0</v>
      </c>
      <c r="J71" s="159"/>
      <c r="K71" s="159">
        <f>SUM(K74:K76)</f>
        <v>0</v>
      </c>
      <c r="L71" s="159"/>
      <c r="M71" s="159">
        <f>M72+M74+M77+M79</f>
        <v>0</v>
      </c>
      <c r="N71" s="159"/>
      <c r="O71" s="159">
        <f>SUM(O74:O76)</f>
        <v>0</v>
      </c>
      <c r="P71" s="159"/>
      <c r="Q71" s="159">
        <f>SUM(Q74:Q76)</f>
        <v>0</v>
      </c>
      <c r="R71" s="159"/>
      <c r="S71" s="159"/>
      <c r="T71" s="160"/>
      <c r="U71" s="154"/>
      <c r="V71" s="154">
        <f>SUM(V74:V76)</f>
        <v>0</v>
      </c>
      <c r="W71" s="154"/>
      <c r="X71" s="154"/>
      <c r="Z71" s="84"/>
      <c r="AG71" s="207" t="s">
        <v>91</v>
      </c>
    </row>
    <row r="72" spans="1:60" x14ac:dyDescent="0.25">
      <c r="A72" s="212">
        <v>25</v>
      </c>
      <c r="B72" s="213" t="s">
        <v>154</v>
      </c>
      <c r="C72" s="219" t="s">
        <v>101</v>
      </c>
      <c r="D72" s="214" t="s">
        <v>97</v>
      </c>
      <c r="E72" s="215">
        <v>1</v>
      </c>
      <c r="F72" s="216"/>
      <c r="G72" s="217">
        <f>ROUND(E72*F72,2)</f>
        <v>0</v>
      </c>
      <c r="H72" s="216">
        <v>0</v>
      </c>
      <c r="I72" s="217">
        <f>ROUND(E72*H72,2)</f>
        <v>0</v>
      </c>
      <c r="J72" s="216">
        <v>0</v>
      </c>
      <c r="K72" s="217">
        <f>ROUND(E72*J72,2)</f>
        <v>0</v>
      </c>
      <c r="L72" s="217">
        <v>21</v>
      </c>
      <c r="M72" s="217">
        <f>G72*(1+L72/100)</f>
        <v>0</v>
      </c>
      <c r="N72" s="217">
        <v>0</v>
      </c>
      <c r="O72" s="217">
        <f>ROUND(E72*N72,2)</f>
        <v>0</v>
      </c>
      <c r="P72" s="217">
        <v>0</v>
      </c>
      <c r="Q72" s="239">
        <f>ROUND(E72*P72,2)</f>
        <v>0</v>
      </c>
      <c r="R72" s="217"/>
      <c r="S72" s="217" t="s">
        <v>199</v>
      </c>
      <c r="T72" s="218" t="s">
        <v>98</v>
      </c>
      <c r="U72" s="154"/>
      <c r="V72" s="154"/>
      <c r="W72" s="154"/>
      <c r="X72" s="154"/>
    </row>
    <row r="73" spans="1:60" ht="12.75" customHeight="1" x14ac:dyDescent="0.25">
      <c r="A73" s="177"/>
      <c r="B73" s="178"/>
      <c r="C73" s="390"/>
      <c r="D73" s="390"/>
      <c r="E73" s="390"/>
      <c r="F73" s="390"/>
      <c r="G73" s="390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54"/>
      <c r="V73" s="154"/>
      <c r="W73" s="154"/>
      <c r="X73" s="154"/>
    </row>
    <row r="74" spans="1:60" outlineLevel="1" x14ac:dyDescent="0.25">
      <c r="A74" s="212">
        <v>26</v>
      </c>
      <c r="B74" s="213" t="s">
        <v>132</v>
      </c>
      <c r="C74" s="219" t="s">
        <v>133</v>
      </c>
      <c r="D74" s="214" t="s">
        <v>97</v>
      </c>
      <c r="E74" s="215">
        <v>1</v>
      </c>
      <c r="F74" s="216"/>
      <c r="G74" s="217">
        <f>ROUND(E74*F74,2)</f>
        <v>0</v>
      </c>
      <c r="H74" s="216">
        <v>0</v>
      </c>
      <c r="I74" s="217">
        <f>ROUND(E74*H74,2)</f>
        <v>0</v>
      </c>
      <c r="J74" s="216">
        <v>0</v>
      </c>
      <c r="K74" s="217">
        <f>ROUND(E74*J74,2)</f>
        <v>0</v>
      </c>
      <c r="L74" s="217">
        <v>21</v>
      </c>
      <c r="M74" s="217">
        <f>G74*(1+L74/100)</f>
        <v>0</v>
      </c>
      <c r="N74" s="217">
        <v>0</v>
      </c>
      <c r="O74" s="217">
        <f>ROUND(E74*N74,2)</f>
        <v>0</v>
      </c>
      <c r="P74" s="217">
        <v>0</v>
      </c>
      <c r="Q74" s="239">
        <f>ROUND(E74*P74,2)</f>
        <v>0</v>
      </c>
      <c r="R74" s="217"/>
      <c r="S74" s="217" t="s">
        <v>199</v>
      </c>
      <c r="T74" s="218" t="s">
        <v>98</v>
      </c>
      <c r="U74" s="211">
        <v>0</v>
      </c>
      <c r="V74" s="211">
        <f>ROUND(E74*U74,2)</f>
        <v>0</v>
      </c>
      <c r="W74" s="211"/>
      <c r="X74" s="211" t="s">
        <v>99</v>
      </c>
      <c r="Y74" s="208"/>
      <c r="Z74" s="208"/>
      <c r="AA74" s="208"/>
      <c r="AB74" s="208"/>
      <c r="AC74" s="208"/>
      <c r="AD74" s="208"/>
      <c r="AE74" s="208"/>
      <c r="AF74" s="208"/>
      <c r="AG74" s="208" t="s">
        <v>100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ht="22.5" customHeight="1" outlineLevel="1" x14ac:dyDescent="0.25">
      <c r="A75" s="209"/>
      <c r="B75" s="210"/>
      <c r="C75" s="378" t="s">
        <v>134</v>
      </c>
      <c r="D75" s="378"/>
      <c r="E75" s="378"/>
      <c r="F75" s="378"/>
      <c r="G75" s="378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08"/>
      <c r="Z75" s="208"/>
      <c r="AA75" s="208"/>
      <c r="AB75" s="208"/>
      <c r="AC75" s="208"/>
      <c r="AD75" s="208"/>
      <c r="AE75" s="208"/>
      <c r="AF75" s="208"/>
      <c r="AG75" s="208" t="s">
        <v>102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169" t="str">
        <f>C75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5" s="208"/>
      <c r="BC75" s="208"/>
      <c r="BD75" s="208"/>
      <c r="BE75" s="208"/>
      <c r="BF75" s="208"/>
      <c r="BG75" s="208"/>
      <c r="BH75" s="208"/>
    </row>
    <row r="76" spans="1:60" outlineLevel="1" x14ac:dyDescent="0.25">
      <c r="A76" s="209"/>
      <c r="B76" s="210"/>
      <c r="C76" s="391"/>
      <c r="D76" s="391"/>
      <c r="E76" s="391"/>
      <c r="F76" s="391"/>
      <c r="G76" s="39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08"/>
      <c r="Z76" s="208"/>
      <c r="AA76" s="208"/>
      <c r="AB76" s="208"/>
      <c r="AC76" s="208"/>
      <c r="AD76" s="208"/>
      <c r="AE76" s="208"/>
      <c r="AF76" s="208"/>
      <c r="AG76" s="208" t="s">
        <v>92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5">
      <c r="A77" s="212">
        <v>27</v>
      </c>
      <c r="B77" s="213" t="s">
        <v>150</v>
      </c>
      <c r="C77" s="219" t="s">
        <v>96</v>
      </c>
      <c r="D77" s="214" t="s">
        <v>97</v>
      </c>
      <c r="E77" s="215">
        <v>1</v>
      </c>
      <c r="F77" s="216"/>
      <c r="G77" s="217">
        <f>ROUND(E77*F77,2)</f>
        <v>0</v>
      </c>
      <c r="H77" s="216">
        <v>0</v>
      </c>
      <c r="I77" s="217">
        <f>ROUND(E77*H77,2)</f>
        <v>0</v>
      </c>
      <c r="J77" s="216">
        <v>0</v>
      </c>
      <c r="K77" s="217">
        <f>ROUND(E77*J77,2)</f>
        <v>0</v>
      </c>
      <c r="L77" s="217">
        <v>21</v>
      </c>
      <c r="M77" s="217">
        <f>G77*(1+L77/100)</f>
        <v>0</v>
      </c>
      <c r="N77" s="217">
        <v>0</v>
      </c>
      <c r="O77" s="217">
        <f>ROUND(E77*N77,2)</f>
        <v>0</v>
      </c>
      <c r="P77" s="217">
        <v>0</v>
      </c>
      <c r="Q77" s="239">
        <f>ROUND(E77*P77,2)</f>
        <v>0</v>
      </c>
      <c r="R77" s="217"/>
      <c r="S77" s="217" t="s">
        <v>199</v>
      </c>
      <c r="T77" s="218" t="s">
        <v>98</v>
      </c>
      <c r="U77" s="211"/>
      <c r="V77" s="211"/>
      <c r="W77" s="211"/>
      <c r="X77" s="211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12.75" customHeight="1" outlineLevel="1" x14ac:dyDescent="0.25">
      <c r="A78" s="209"/>
      <c r="B78" s="210"/>
      <c r="C78" s="390"/>
      <c r="D78" s="390"/>
      <c r="E78" s="390"/>
      <c r="F78" s="390"/>
      <c r="G78" s="390"/>
      <c r="H78" s="211"/>
      <c r="I78" s="211"/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5">
      <c r="A79" s="212">
        <v>28</v>
      </c>
      <c r="B79" s="213" t="s">
        <v>103</v>
      </c>
      <c r="C79" s="219" t="s">
        <v>104</v>
      </c>
      <c r="D79" s="214" t="s">
        <v>97</v>
      </c>
      <c r="E79" s="215">
        <v>1</v>
      </c>
      <c r="F79" s="216"/>
      <c r="G79" s="217">
        <f>ROUND(E79*F79,2)</f>
        <v>0</v>
      </c>
      <c r="H79" s="216">
        <v>0</v>
      </c>
      <c r="I79" s="217">
        <f>ROUND(E79*H79,2)</f>
        <v>0</v>
      </c>
      <c r="J79" s="216">
        <v>0</v>
      </c>
      <c r="K79" s="217">
        <f>ROUND(E79*J79,2)</f>
        <v>0</v>
      </c>
      <c r="L79" s="217">
        <v>21</v>
      </c>
      <c r="M79" s="217">
        <f>G79*(1+L79/100)</f>
        <v>0</v>
      </c>
      <c r="N79" s="217">
        <v>0</v>
      </c>
      <c r="O79" s="217">
        <f>ROUND(E79*N79,2)</f>
        <v>0</v>
      </c>
      <c r="P79" s="217">
        <v>0</v>
      </c>
      <c r="Q79" s="239">
        <f>ROUND(E79*P79,2)</f>
        <v>0</v>
      </c>
      <c r="R79" s="217"/>
      <c r="S79" s="217" t="s">
        <v>199</v>
      </c>
      <c r="T79" s="218" t="s">
        <v>98</v>
      </c>
      <c r="U79" s="211"/>
      <c r="V79" s="211"/>
      <c r="W79" s="211"/>
      <c r="X79" s="211"/>
      <c r="Y79" s="208"/>
      <c r="Z79" s="208"/>
      <c r="AA79" s="208"/>
      <c r="AB79" s="208"/>
      <c r="AC79" s="208"/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ht="22.5" customHeight="1" outlineLevel="1" x14ac:dyDescent="0.25">
      <c r="A80" s="209"/>
      <c r="B80" s="210"/>
      <c r="C80" s="378" t="s">
        <v>105</v>
      </c>
      <c r="D80" s="378"/>
      <c r="E80" s="378"/>
      <c r="F80" s="378"/>
      <c r="G80" s="378"/>
      <c r="H80" s="211"/>
      <c r="I80" s="211"/>
      <c r="J80" s="211"/>
      <c r="K80" s="211"/>
      <c r="L80" s="211"/>
      <c r="M80" s="211"/>
      <c r="N80" s="211"/>
      <c r="O80" s="211"/>
      <c r="P80" s="211"/>
      <c r="Q80" s="211"/>
      <c r="R80" s="211"/>
      <c r="S80" s="211"/>
      <c r="T80" s="211"/>
      <c r="U80" s="211"/>
      <c r="V80" s="211"/>
      <c r="W80" s="211"/>
      <c r="X80" s="211"/>
      <c r="Y80" s="208"/>
      <c r="Z80" s="208"/>
      <c r="AA80" s="208"/>
      <c r="AB80" s="208"/>
      <c r="AC80" s="208"/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5">
      <c r="A81" s="209"/>
      <c r="B81" s="210"/>
      <c r="C81" s="248"/>
      <c r="D81" s="249"/>
      <c r="E81" s="249"/>
      <c r="F81" s="249"/>
      <c r="G81" s="249"/>
      <c r="H81" s="211"/>
      <c r="I81" s="211"/>
      <c r="J81" s="211"/>
      <c r="K81" s="211"/>
      <c r="L81" s="211"/>
      <c r="M81" s="211"/>
      <c r="N81" s="211"/>
      <c r="O81" s="211"/>
      <c r="P81" s="211"/>
      <c r="Q81" s="211"/>
      <c r="R81" s="211"/>
      <c r="S81" s="211"/>
      <c r="T81" s="211"/>
      <c r="U81" s="211"/>
      <c r="V81" s="211"/>
      <c r="W81" s="211"/>
      <c r="X81" s="211"/>
      <c r="Y81" s="208"/>
      <c r="Z81" s="208"/>
      <c r="AA81" s="208"/>
      <c r="AB81" s="208"/>
      <c r="AC81" s="208"/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12.75" customHeight="1" x14ac:dyDescent="0.25">
      <c r="A82" s="155" t="s">
        <v>90</v>
      </c>
      <c r="B82" s="156" t="s">
        <v>63</v>
      </c>
      <c r="C82" s="171" t="s">
        <v>27</v>
      </c>
      <c r="D82" s="157"/>
      <c r="E82" s="158"/>
      <c r="F82" s="159"/>
      <c r="G82" s="159">
        <f>SUMIF(AG83:AG91,"&lt;&gt;NOR",G83:G91)</f>
        <v>0</v>
      </c>
      <c r="H82" s="159"/>
      <c r="I82" s="159">
        <f>SUM(I83:I91)</f>
        <v>0</v>
      </c>
      <c r="J82" s="159"/>
      <c r="K82" s="159">
        <f>SUM(K83:K91)</f>
        <v>0</v>
      </c>
      <c r="L82" s="159"/>
      <c r="M82" s="159">
        <f>SUM(M83:M91)</f>
        <v>0</v>
      </c>
      <c r="N82" s="159"/>
      <c r="O82" s="159">
        <f>SUM(O83:O91)</f>
        <v>0</v>
      </c>
      <c r="P82" s="159"/>
      <c r="Q82" s="159">
        <f>SUM(Q83:Q91)</f>
        <v>0</v>
      </c>
      <c r="R82" s="159"/>
      <c r="S82" s="159"/>
      <c r="T82" s="160"/>
      <c r="U82" s="154"/>
      <c r="V82" s="154">
        <f>SUM(V83:V91)</f>
        <v>0</v>
      </c>
      <c r="W82" s="154"/>
      <c r="X82" s="154"/>
      <c r="AG82" s="207" t="s">
        <v>91</v>
      </c>
    </row>
    <row r="83" spans="1:60" outlineLevel="1" x14ac:dyDescent="0.25">
      <c r="A83" s="212">
        <v>29</v>
      </c>
      <c r="B83" s="213" t="s">
        <v>135</v>
      </c>
      <c r="C83" s="219" t="s">
        <v>136</v>
      </c>
      <c r="D83" s="214" t="s">
        <v>97</v>
      </c>
      <c r="E83" s="215">
        <v>1</v>
      </c>
      <c r="F83" s="216"/>
      <c r="G83" s="217">
        <f>ROUND(E83*F83,2)</f>
        <v>0</v>
      </c>
      <c r="H83" s="216">
        <v>0</v>
      </c>
      <c r="I83" s="217">
        <f>ROUND(E83*H83,2)</f>
        <v>0</v>
      </c>
      <c r="J83" s="216">
        <v>0</v>
      </c>
      <c r="K83" s="217">
        <f>ROUND(E83*J83,2)</f>
        <v>0</v>
      </c>
      <c r="L83" s="217">
        <v>21</v>
      </c>
      <c r="M83" s="217">
        <f>G83*(1+L83/100)</f>
        <v>0</v>
      </c>
      <c r="N83" s="217">
        <v>0</v>
      </c>
      <c r="O83" s="217">
        <f>ROUND(E83*N83,2)</f>
        <v>0</v>
      </c>
      <c r="P83" s="217">
        <v>0</v>
      </c>
      <c r="Q83" s="239">
        <f>ROUND(E83*P83,2)</f>
        <v>0</v>
      </c>
      <c r="R83" s="217"/>
      <c r="S83" s="217" t="s">
        <v>199</v>
      </c>
      <c r="T83" s="218" t="s">
        <v>98</v>
      </c>
      <c r="U83" s="211">
        <v>0</v>
      </c>
      <c r="V83" s="211">
        <f>ROUND(E83*U83,2)</f>
        <v>0</v>
      </c>
      <c r="W83" s="211"/>
      <c r="X83" s="211" t="s">
        <v>99</v>
      </c>
      <c r="Y83" s="180"/>
      <c r="Z83" s="208"/>
      <c r="AA83" s="208"/>
      <c r="AB83" s="208"/>
      <c r="AC83" s="208"/>
      <c r="AD83" s="208"/>
      <c r="AE83" s="208"/>
      <c r="AF83" s="208"/>
      <c r="AG83" s="208" t="s">
        <v>100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33.75" customHeight="1" outlineLevel="1" x14ac:dyDescent="0.25">
      <c r="A84" s="209"/>
      <c r="B84" s="210"/>
      <c r="C84" s="378" t="s">
        <v>151</v>
      </c>
      <c r="D84" s="378"/>
      <c r="E84" s="378"/>
      <c r="F84" s="378"/>
      <c r="G84" s="378"/>
      <c r="H84" s="211"/>
      <c r="I84" s="211"/>
      <c r="J84" s="211"/>
      <c r="K84" s="211"/>
      <c r="L84" s="211"/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08"/>
      <c r="Z84" s="208"/>
      <c r="AA84" s="208"/>
      <c r="AB84" s="208"/>
      <c r="AC84" s="208"/>
      <c r="AD84" s="208"/>
      <c r="AE84" s="208"/>
      <c r="AF84" s="208"/>
      <c r="AG84" s="208" t="s">
        <v>102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169" t="str">
        <f>C84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84" s="208"/>
      <c r="BC84" s="208"/>
      <c r="BD84" s="208"/>
      <c r="BE84" s="208"/>
      <c r="BF84" s="208"/>
      <c r="BG84" s="208"/>
      <c r="BH84" s="208"/>
    </row>
    <row r="85" spans="1:60" ht="12.75" customHeight="1" outlineLevel="1" x14ac:dyDescent="0.25">
      <c r="A85" s="209"/>
      <c r="B85" s="210"/>
      <c r="C85" s="391"/>
      <c r="D85" s="391"/>
      <c r="E85" s="391"/>
      <c r="F85" s="391"/>
      <c r="G85" s="391"/>
      <c r="H85" s="211"/>
      <c r="I85" s="211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08"/>
      <c r="Z85" s="208"/>
      <c r="AA85" s="208"/>
      <c r="AB85" s="208"/>
      <c r="AC85" s="208"/>
      <c r="AD85" s="208"/>
      <c r="AE85" s="208"/>
      <c r="AF85" s="208"/>
      <c r="AG85" s="208" t="s">
        <v>92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5">
      <c r="A86" s="212">
        <v>30</v>
      </c>
      <c r="B86" s="213" t="s">
        <v>137</v>
      </c>
      <c r="C86" s="219" t="s">
        <v>138</v>
      </c>
      <c r="D86" s="214" t="s">
        <v>97</v>
      </c>
      <c r="E86" s="215">
        <v>1</v>
      </c>
      <c r="F86" s="216"/>
      <c r="G86" s="217">
        <f>ROUND(E86*F86,2)</f>
        <v>0</v>
      </c>
      <c r="H86" s="216">
        <v>0</v>
      </c>
      <c r="I86" s="217">
        <f>ROUND(E86*H86,2)</f>
        <v>0</v>
      </c>
      <c r="J86" s="216">
        <v>0</v>
      </c>
      <c r="K86" s="217">
        <f>ROUND(E86*J86,2)</f>
        <v>0</v>
      </c>
      <c r="L86" s="217">
        <v>21</v>
      </c>
      <c r="M86" s="217">
        <f>G86*(1+L86/100)</f>
        <v>0</v>
      </c>
      <c r="N86" s="217">
        <v>0</v>
      </c>
      <c r="O86" s="217">
        <f>ROUND(E86*N86,2)</f>
        <v>0</v>
      </c>
      <c r="P86" s="217">
        <v>0</v>
      </c>
      <c r="Q86" s="239">
        <f>ROUND(E86*P86,2)</f>
        <v>0</v>
      </c>
      <c r="R86" s="217"/>
      <c r="S86" s="217" t="s">
        <v>199</v>
      </c>
      <c r="T86" s="218" t="s">
        <v>98</v>
      </c>
      <c r="U86" s="211">
        <v>0</v>
      </c>
      <c r="V86" s="211">
        <f>ROUND(E86*U86,2)</f>
        <v>0</v>
      </c>
      <c r="W86" s="211"/>
      <c r="X86" s="211" t="s">
        <v>99</v>
      </c>
      <c r="Y86" s="208"/>
      <c r="Z86" s="208"/>
      <c r="AA86" s="208"/>
      <c r="AB86" s="208"/>
      <c r="AC86" s="208"/>
      <c r="AD86" s="208"/>
      <c r="AE86" s="208"/>
      <c r="AF86" s="208"/>
      <c r="AG86" s="208" t="s">
        <v>100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ht="12.75" customHeight="1" outlineLevel="1" x14ac:dyDescent="0.25">
      <c r="A87" s="209"/>
      <c r="B87" s="210"/>
      <c r="C87" s="378" t="s">
        <v>139</v>
      </c>
      <c r="D87" s="378"/>
      <c r="E87" s="378"/>
      <c r="F87" s="378"/>
      <c r="G87" s="378"/>
      <c r="H87" s="211"/>
      <c r="I87" s="211"/>
      <c r="J87" s="211"/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08"/>
      <c r="Z87" s="208"/>
      <c r="AA87" s="208"/>
      <c r="AB87" s="208"/>
      <c r="AC87" s="208"/>
      <c r="AD87" s="208"/>
      <c r="AE87" s="208"/>
      <c r="AF87" s="208"/>
      <c r="AG87" s="208" t="s">
        <v>102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169" t="str">
        <f>C87</f>
        <v>Náklady na vyhotovení dokumentace skutečného provedení stavby a její předání objednateli v požadované formě a požadovaném počtu.</v>
      </c>
      <c r="BB87" s="208"/>
      <c r="BC87" s="208"/>
      <c r="BD87" s="208"/>
      <c r="BE87" s="208"/>
      <c r="BF87" s="208"/>
      <c r="BG87" s="208"/>
      <c r="BH87" s="208"/>
    </row>
    <row r="88" spans="1:60" ht="12.75" customHeight="1" outlineLevel="1" x14ac:dyDescent="0.25">
      <c r="A88" s="209"/>
      <c r="B88" s="210"/>
      <c r="C88" s="391"/>
      <c r="D88" s="391"/>
      <c r="E88" s="391"/>
      <c r="F88" s="391"/>
      <c r="G88" s="39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08"/>
      <c r="Z88" s="208"/>
      <c r="AA88" s="208"/>
      <c r="AB88" s="208"/>
      <c r="AC88" s="208"/>
      <c r="AD88" s="208"/>
      <c r="AE88" s="208"/>
      <c r="AF88" s="208"/>
      <c r="AG88" s="208" t="s">
        <v>92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5">
      <c r="A89" s="212">
        <v>31</v>
      </c>
      <c r="B89" s="213" t="s">
        <v>140</v>
      </c>
      <c r="C89" s="219" t="s">
        <v>141</v>
      </c>
      <c r="D89" s="214" t="s">
        <v>97</v>
      </c>
      <c r="E89" s="215">
        <v>1</v>
      </c>
      <c r="F89" s="216"/>
      <c r="G89" s="217">
        <f>ROUND(E89*F89,2)</f>
        <v>0</v>
      </c>
      <c r="H89" s="216">
        <v>0</v>
      </c>
      <c r="I89" s="217">
        <f>ROUND(E89*H89,2)</f>
        <v>0</v>
      </c>
      <c r="J89" s="216">
        <v>0</v>
      </c>
      <c r="K89" s="217">
        <f>ROUND(E89*J89,2)</f>
        <v>0</v>
      </c>
      <c r="L89" s="217">
        <v>21</v>
      </c>
      <c r="M89" s="217">
        <f>G89*(1+L89/100)</f>
        <v>0</v>
      </c>
      <c r="N89" s="217">
        <v>0</v>
      </c>
      <c r="O89" s="217">
        <f>ROUND(E89*N89,2)</f>
        <v>0</v>
      </c>
      <c r="P89" s="217">
        <v>0</v>
      </c>
      <c r="Q89" s="239">
        <f>ROUND(E89*P89,2)</f>
        <v>0</v>
      </c>
      <c r="R89" s="217"/>
      <c r="S89" s="217" t="s">
        <v>199</v>
      </c>
      <c r="T89" s="218" t="s">
        <v>98</v>
      </c>
      <c r="U89" s="211">
        <v>0</v>
      </c>
      <c r="V89" s="211">
        <f>ROUND(E89*U89,2)</f>
        <v>0</v>
      </c>
      <c r="W89" s="211"/>
      <c r="X89" s="211" t="s">
        <v>99</v>
      </c>
      <c r="Y89" s="208"/>
      <c r="Z89" s="208"/>
      <c r="AA89" s="208"/>
      <c r="AB89" s="208"/>
      <c r="AC89" s="208"/>
      <c r="AD89" s="208"/>
      <c r="AE89" s="208"/>
      <c r="AF89" s="208"/>
      <c r="AG89" s="208" t="s">
        <v>100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13.95" customHeight="1" outlineLevel="1" x14ac:dyDescent="0.25">
      <c r="A90" s="209"/>
      <c r="B90" s="210"/>
      <c r="C90" s="378" t="s">
        <v>152</v>
      </c>
      <c r="D90" s="378"/>
      <c r="E90" s="378"/>
      <c r="F90" s="378"/>
      <c r="G90" s="378"/>
      <c r="H90" s="211"/>
      <c r="I90" s="211"/>
      <c r="J90" s="211"/>
      <c r="K90" s="211"/>
      <c r="L90" s="211"/>
      <c r="M90" s="211"/>
      <c r="N90" s="211"/>
      <c r="O90" s="211"/>
      <c r="P90" s="211"/>
      <c r="Q90" s="211"/>
      <c r="R90" s="238"/>
      <c r="S90" s="238"/>
      <c r="T90" s="238"/>
      <c r="U90" s="211"/>
      <c r="V90" s="211"/>
      <c r="W90" s="211"/>
      <c r="X90" s="211"/>
      <c r="Y90" s="208"/>
      <c r="Z90" s="208"/>
      <c r="AA90" s="208"/>
      <c r="AB90" s="208"/>
      <c r="AC90" s="208"/>
      <c r="AD90" s="208"/>
      <c r="AE90" s="208"/>
      <c r="AF90" s="208"/>
      <c r="AG90" s="208" t="s">
        <v>102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169" t="str">
        <f>C90</f>
        <v>Náklady spojené s povinnou publicitou. Zahrnuje zejména náklady na propagační a informační billboardy, tabule, internetovou propagaci, tiskoviny apod.</v>
      </c>
      <c r="BB90" s="208"/>
      <c r="BC90" s="208"/>
      <c r="BD90" s="208"/>
      <c r="BE90" s="208"/>
      <c r="BF90" s="208"/>
      <c r="BG90" s="208"/>
      <c r="BH90" s="208"/>
    </row>
    <row r="91" spans="1:60" outlineLevel="1" x14ac:dyDescent="0.25">
      <c r="A91" s="209"/>
      <c r="B91" s="210"/>
      <c r="C91" s="374"/>
      <c r="D91" s="374"/>
      <c r="E91" s="374"/>
      <c r="F91" s="374"/>
      <c r="G91" s="374"/>
      <c r="H91" s="211"/>
      <c r="I91" s="211"/>
      <c r="J91" s="211"/>
      <c r="K91" s="211"/>
      <c r="L91" s="211"/>
      <c r="M91" s="211"/>
      <c r="N91" s="211"/>
      <c r="O91" s="211"/>
      <c r="P91" s="211"/>
      <c r="Q91" s="211"/>
      <c r="R91" s="211"/>
      <c r="S91" s="211"/>
      <c r="T91" s="211"/>
      <c r="U91" s="211"/>
      <c r="V91" s="211"/>
      <c r="W91" s="211"/>
      <c r="X91" s="211"/>
      <c r="Y91" s="208"/>
      <c r="Z91" s="208"/>
      <c r="AA91" s="208"/>
      <c r="AB91" s="208"/>
      <c r="AC91" s="208"/>
      <c r="AD91" s="208"/>
      <c r="AE91" s="208"/>
      <c r="AF91" s="208"/>
      <c r="AG91" s="208" t="s">
        <v>92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x14ac:dyDescent="0.25">
      <c r="A92" s="3"/>
      <c r="B92" s="4"/>
      <c r="C92" s="174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 s="207">
        <v>15</v>
      </c>
      <c r="AF92" s="207">
        <v>21</v>
      </c>
      <c r="AG92" s="207" t="s">
        <v>77</v>
      </c>
    </row>
    <row r="93" spans="1:60" x14ac:dyDescent="0.25">
      <c r="A93" s="147"/>
      <c r="B93" s="148" t="s">
        <v>28</v>
      </c>
      <c r="C93" s="175"/>
      <c r="D93" s="149"/>
      <c r="E93" s="150"/>
      <c r="F93" s="150"/>
      <c r="G93" s="170">
        <f>G82+G71+G68+G43+G37+G33+G8</f>
        <v>0</v>
      </c>
      <c r="H93" s="3"/>
      <c r="I93" s="3"/>
      <c r="J93" s="3"/>
      <c r="K93" s="3"/>
      <c r="L93" s="146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 s="207">
        <f>SUMIF(L7:L91,AE92,G7:G91)</f>
        <v>0</v>
      </c>
      <c r="AF93" s="207">
        <f>SUMIF(L7:L91,AF92,G7:G91)</f>
        <v>0</v>
      </c>
      <c r="AG93" s="207" t="s">
        <v>142</v>
      </c>
    </row>
    <row r="94" spans="1:60" x14ac:dyDescent="0.25">
      <c r="C94" s="176"/>
      <c r="D94" s="10"/>
      <c r="AG94" s="207" t="s">
        <v>143</v>
      </c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</sheetData>
  <sheetProtection password="EA7D" sheet="1" objects="1" scenarios="1"/>
  <mergeCells count="34">
    <mergeCell ref="C39:G39"/>
    <mergeCell ref="C40:G40"/>
    <mergeCell ref="C48:G48"/>
    <mergeCell ref="C70:G70"/>
    <mergeCell ref="C65:G65"/>
    <mergeCell ref="C63:G63"/>
    <mergeCell ref="C50:G50"/>
    <mergeCell ref="C51:G51"/>
    <mergeCell ref="C47:G47"/>
    <mergeCell ref="C87:G87"/>
    <mergeCell ref="C88:G88"/>
    <mergeCell ref="C90:G90"/>
    <mergeCell ref="C91:G91"/>
    <mergeCell ref="C73:G73"/>
    <mergeCell ref="C75:G75"/>
    <mergeCell ref="C76:G76"/>
    <mergeCell ref="C78:G78"/>
    <mergeCell ref="C80:G80"/>
    <mergeCell ref="C84:G84"/>
    <mergeCell ref="C85:G85"/>
    <mergeCell ref="C32:G32"/>
    <mergeCell ref="C36:G36"/>
    <mergeCell ref="C17:G17"/>
    <mergeCell ref="C19:G19"/>
    <mergeCell ref="C22:G22"/>
    <mergeCell ref="C24:G24"/>
    <mergeCell ref="C27:G27"/>
    <mergeCell ref="A1:G1"/>
    <mergeCell ref="C2:H2"/>
    <mergeCell ref="C3:G3"/>
    <mergeCell ref="C4:H4"/>
    <mergeCell ref="C16:G16"/>
    <mergeCell ref="C10:G10"/>
    <mergeCell ref="C13:G13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D.1.1 Komunikace </vt:lpstr>
      <vt:lpstr>D.1.3. Odvodnění</vt:lpstr>
      <vt:lpstr>D.1.4 Osvětlení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 Komunikace '!Názvy_tisku</vt:lpstr>
      <vt:lpstr>'D.1.3. Odvodnění'!Názvy_tisku</vt:lpstr>
      <vt:lpstr>'D.1.4 Osvětlení'!Názvy_tisku</vt:lpstr>
      <vt:lpstr>oadresa</vt:lpstr>
      <vt:lpstr>Stavba!Objednatel</vt:lpstr>
      <vt:lpstr>Stavba!Objekt</vt:lpstr>
      <vt:lpstr>'D.1.1 Komunikace '!Oblast_tisku</vt:lpstr>
      <vt:lpstr>'D.1.3. Odvodnění'!Oblast_tisku</vt:lpstr>
      <vt:lpstr>'D.1.4 Osvětlení'!Oblast_tisku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Chota</cp:lastModifiedBy>
  <cp:lastPrinted>2022-05-07T14:08:20Z</cp:lastPrinted>
  <dcterms:created xsi:type="dcterms:W3CDTF">2009-04-08T07:15:50Z</dcterms:created>
  <dcterms:modified xsi:type="dcterms:W3CDTF">2022-12-13T18:56:32Z</dcterms:modified>
</cp:coreProperties>
</file>