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8" windowHeight="1200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<sst xmlns="http://schemas.openxmlformats.org/spreadsheetml/2006/main" count="303" uniqueCount="142">
  <si>
    <t>Doba výstavby:</t>
  </si>
  <si>
    <t>Projektant</t>
  </si>
  <si>
    <t>_9_</t>
  </si>
  <si>
    <t>Základ 15%</t>
  </si>
  <si>
    <t>Základ 21%</t>
  </si>
  <si>
    <t>NUS celkem z obj.</t>
  </si>
  <si>
    <t>Název stavby:</t>
  </si>
  <si>
    <t>Ostatní materiál</t>
  </si>
  <si>
    <t>Č</t>
  </si>
  <si>
    <t>Lokalita:</t>
  </si>
  <si>
    <t>16</t>
  </si>
  <si>
    <t>PSV</t>
  </si>
  <si>
    <t>Bez pevné podl.</t>
  </si>
  <si>
    <t>Celkem</t>
  </si>
  <si>
    <t>Zařízení staveniště</t>
  </si>
  <si>
    <t>766_</t>
  </si>
  <si>
    <t>4</t>
  </si>
  <si>
    <t>Základní rozpočtové náklady</t>
  </si>
  <si>
    <t>Celkem bez DPH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</si>
  <si>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</si>
  <si>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</si>
  <si>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</si>
  <si>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</si>
  <si>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</si>
  <si>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</si>
  <si>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</si>
  <si>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DPH 15%</t>
  </si>
  <si>
    <t>kus</t>
  </si>
  <si>
    <t>Dodávky</t>
  </si>
  <si>
    <t>Ostatní mat.</t>
  </si>
  <si>
    <t>HSV prac</t>
  </si>
  <si>
    <t>13</t>
  </si>
  <si>
    <t>"M"</t>
  </si>
  <si>
    <t>Krycí list rozpočtu</t>
  </si>
  <si>
    <t>Cena/MJ</t>
  </si>
  <si>
    <t>Konec výstavby:</t>
  </si>
  <si>
    <t>MJ</t>
  </si>
  <si>
    <t>Doplňkové náklady</t>
  </si>
  <si>
    <t>PSV prac</t>
  </si>
  <si>
    <t>HSV</t>
  </si>
  <si>
    <t>9</t>
  </si>
  <si>
    <t>15</t>
  </si>
  <si>
    <t>ISWORK</t>
  </si>
  <si>
    <t>Celkem včetně DPH</t>
  </si>
  <si>
    <t>Základ 0%</t>
  </si>
  <si>
    <t>Mont prac</t>
  </si>
  <si>
    <t>_3_</t>
  </si>
  <si>
    <t>712_</t>
  </si>
  <si>
    <t>62_</t>
  </si>
  <si>
    <t>351VD_</t>
  </si>
  <si>
    <t>JKSO:</t>
  </si>
  <si>
    <t>DN celkem</t>
  </si>
  <si>
    <t>GROUPCODE</t>
  </si>
  <si>
    <t>Provozní vlivy</t>
  </si>
  <si>
    <t>5</t>
  </si>
  <si>
    <t>Stavební rozpočet</t>
  </si>
  <si>
    <t>Druh stavby:</t>
  </si>
  <si>
    <t>Zpracováno dne:</t>
  </si>
  <si>
    <t>10</t>
  </si>
  <si>
    <t>14</t>
  </si>
  <si>
    <t>Množství</t>
  </si>
  <si>
    <t>Typ skupiny</t>
  </si>
  <si>
    <t>61_</t>
  </si>
  <si>
    <t>C</t>
  </si>
  <si>
    <t>IČO/DIČ:</t>
  </si>
  <si>
    <t>Ostatní</t>
  </si>
  <si>
    <t>Zpracoval:</t>
  </si>
  <si>
    <t>64_</t>
  </si>
  <si>
    <t>Zhotovitel</t>
  </si>
  <si>
    <t>2</t>
  </si>
  <si>
    <t>Projektant:</t>
  </si>
  <si>
    <t>ORN celkem</t>
  </si>
  <si>
    <t/>
  </si>
  <si>
    <t>17</t>
  </si>
  <si>
    <t>Práce přesčas</t>
  </si>
  <si>
    <t>12</t>
  </si>
  <si>
    <t>Kulturní památka</t>
  </si>
  <si>
    <t>DPH 21%</t>
  </si>
  <si>
    <t>_</t>
  </si>
  <si>
    <t>ORN celkem z obj.</t>
  </si>
  <si>
    <t>Přesuny</t>
  </si>
  <si>
    <t>MAT</t>
  </si>
  <si>
    <t>8</t>
  </si>
  <si>
    <t>Mimostav. doprava</t>
  </si>
  <si>
    <t>18</t>
  </si>
  <si>
    <t>DN celkem z obj.</t>
  </si>
  <si>
    <t>764_</t>
  </si>
  <si>
    <t>_76_</t>
  </si>
  <si>
    <t>11</t>
  </si>
  <si>
    <t>Objednatel:</t>
  </si>
  <si>
    <t>PSV mat</t>
  </si>
  <si>
    <t>3</t>
  </si>
  <si>
    <t>Zhotovitel:</t>
  </si>
  <si>
    <t>96_</t>
  </si>
  <si>
    <t>Začátek výstavby:</t>
  </si>
  <si>
    <t>A</t>
  </si>
  <si>
    <t>Mont mat</t>
  </si>
  <si>
    <t xml:space="preserve"> </t>
  </si>
  <si>
    <t>Objednatel</t>
  </si>
  <si>
    <t>(Kč)</t>
  </si>
  <si>
    <t>Územní vlivy</t>
  </si>
  <si>
    <t>_6_</t>
  </si>
  <si>
    <t>Datum: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</si>
  <si>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</si>
  <si>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</si>
  <si>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</si>
  <si>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</si>
  <si>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</si>
  <si>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</si>
  <si>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</si>
  <si>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</si>
  <si>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HSV mat</t>
  </si>
  <si>
    <t>Zkrácený popis</t>
  </si>
  <si>
    <t>CELK</t>
  </si>
  <si>
    <t>94_</t>
  </si>
  <si>
    <t>_71_</t>
  </si>
  <si>
    <t>Kaplička</t>
  </si>
  <si>
    <t>oprava objektu</t>
  </si>
  <si>
    <t>kpl</t>
  </si>
  <si>
    <t>Čištění kaple - mechanické a mytí talkovou vodou</t>
  </si>
  <si>
    <t>Průzkum stávajícícho stavu</t>
  </si>
  <si>
    <t>Konsolidace</t>
  </si>
  <si>
    <t>Injektáž prasklin ( vapo injekt)</t>
  </si>
  <si>
    <t>Čepování nerezovou armaturou 0,8cm</t>
  </si>
  <si>
    <t>Výroba nerezových trnů kotvených do stávajícího odhaleného zdiva</t>
  </si>
  <si>
    <t>Osazení vrchní části poklony na původní místo a podepření předsazeného tympanonu  na nově vydusané sloupy</t>
  </si>
  <si>
    <t>Výroba podpěrných sloupů (Výdusky vystužené nerezovou armaturou 0,6cm)</t>
  </si>
  <si>
    <t>Pronájem hydraulického auta s rukou</t>
  </si>
  <si>
    <t>Provázání zadní části kaple nerezovými kramlemi a zajištění prasklin systémem helifix</t>
  </si>
  <si>
    <t>Montáž a pronájem lešení</t>
  </si>
  <si>
    <t>Přesun stavebních hmot</t>
  </si>
  <si>
    <t>Režijní náklady</t>
  </si>
  <si>
    <t>Oprava poničených kovářských prvků a jejich nátěr</t>
  </si>
  <si>
    <t>Nátěr objektu - sjednocení</t>
  </si>
  <si>
    <t>Nátěr objektu - penetrace</t>
  </si>
  <si>
    <t>Modalace původní profilace</t>
  </si>
  <si>
    <t>Omítání, štukování, kletování</t>
  </si>
  <si>
    <t>Zdění chybějících částí</t>
  </si>
  <si>
    <t>Zapravení napojení nových omítek</t>
  </si>
  <si>
    <t>Opravy defektů</t>
  </si>
  <si>
    <t>Nové bezpečnostní sloupy dle NPÚ včetně základu hloubky 1m vyztuženy profilem I č.10</t>
  </si>
  <si>
    <t>ks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</si>
</sst>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0"/>
      <color rgb="FF000000"/>
      <name val="Arial"/>
      <family val="0"/>
    </font>
    <font>
      <b/>
      <sz val="2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/>
      <top/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/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>
        <color rgb="FF000000"/>
      </left>
      <right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8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10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8" fillId="33" borderId="11" xfId="0" applyNumberFormat="1" applyFont="1" applyFill="1" applyBorder="1" applyAlignment="1" applyProtection="1">
      <alignment horizontal="center" vertical="center"/>
      <protection/>
    </xf>
    <xf numFmtId="4" fontId="49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8" fillId="33" borderId="14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4" fontId="46" fillId="33" borderId="14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4" fontId="49" fillId="0" borderId="1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4" fontId="49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5" fillId="0" borderId="2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right" vertical="center"/>
      <protection/>
    </xf>
    <xf numFmtId="4" fontId="49" fillId="0" borderId="21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26" xfId="0" applyNumberFormat="1" applyFont="1" applyFill="1" applyBorder="1" applyAlignment="1" applyProtection="1">
      <alignment horizontal="left" vertical="center" wrapText="1"/>
      <protection/>
    </xf>
    <xf numFmtId="0" fontId="47" fillId="0" borderId="27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 wrapText="1"/>
      <protection/>
    </xf>
    <xf numFmtId="0" fontId="47" fillId="0" borderId="28" xfId="0" applyNumberFormat="1" applyFont="1" applyFill="1" applyBorder="1" applyAlignment="1" applyProtection="1">
      <alignment horizontal="left" vertical="center"/>
      <protection/>
    </xf>
    <xf numFmtId="0" fontId="47" fillId="0" borderId="29" xfId="0" applyNumberFormat="1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27" xfId="0" applyNumberFormat="1" applyFont="1" applyFill="1" applyBorder="1" applyAlignment="1" applyProtection="1">
      <alignment horizontal="left" vertical="center" wrapText="1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0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1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1" xfId="0" applyNumberFormat="1" applyFont="1" applyFill="1" applyBorder="1" applyAlignment="1" applyProtection="1">
      <alignment horizontal="left" vertical="center"/>
      <protection/>
    </xf>
    <xf numFmtId="0" fontId="53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29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1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left" vertical="center"/>
      <protection/>
    </xf>
    <xf numFmtId="0" fontId="46" fillId="33" borderId="32" xfId="0" applyNumberFormat="1" applyFont="1" applyFill="1" applyBorder="1" applyAlignment="1" applyProtection="1">
      <alignment horizontal="left" vertical="center"/>
      <protection/>
    </xf>
    <xf numFmtId="0" fontId="46" fillId="33" borderId="31" xfId="0" applyNumberFormat="1" applyFont="1" applyFill="1" applyBorder="1" applyAlignment="1" applyProtection="1">
      <alignment horizontal="left" vertical="center"/>
      <protection/>
    </xf>
    <xf numFmtId="0" fontId="46" fillId="33" borderId="28" xfId="0" applyNumberFormat="1" applyFont="1" applyFill="1" applyBorder="1" applyAlignment="1" applyProtection="1">
      <alignment horizontal="left" vertical="center"/>
      <protection/>
    </xf>
    <xf numFmtId="0" fontId="46" fillId="33" borderId="29" xfId="0" applyNumberFormat="1" applyFont="1" applyFill="1" applyBorder="1" applyAlignment="1" applyProtection="1">
      <alignment horizontal="left" vertical="center"/>
      <protection/>
    </xf>
    <xf numFmtId="0" fontId="49" fillId="0" borderId="33" xfId="0" applyNumberFormat="1" applyFont="1" applyFill="1" applyBorder="1" applyAlignment="1" applyProtection="1">
      <alignment horizontal="left" vertical="center"/>
      <protection/>
    </xf>
    <xf numFmtId="0" fontId="49" fillId="0" borderId="34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35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39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5" fillId="0" borderId="2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I28" sqref="I28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6.83203125" style="0" customWidth="1"/>
    <col min="9" max="9" width="31.66015625" style="0" customWidth="1"/>
  </cols>
  <sheetData>
    <row r="1" spans="1:9" ht="54.75" customHeight="1">
      <c r="A1" s="33" t="s">
        <v>33</v>
      </c>
      <c r="B1" s="34"/>
      <c r="C1" s="34"/>
      <c r="D1" s="34"/>
      <c r="E1" s="34"/>
      <c r="F1" s="34"/>
      <c r="G1" s="34"/>
      <c r="H1" s="34"/>
      <c r="I1" s="34"/>
    </row>
    <row r="2" spans="1:9" ht="15" customHeight="1">
      <c r="A2" s="35" t="s">
        <v>6</v>
      </c>
      <c r="B2" s="36"/>
      <c r="C2" s="44" t="s">
        <v>116</v>
      </c>
      <c r="D2" s="45"/>
      <c r="E2" s="42" t="s">
        <v>89</v>
      </c>
      <c r="F2" s="42"/>
      <c r="G2" s="36"/>
      <c r="H2" s="42" t="s">
        <v>64</v>
      </c>
      <c r="I2" s="47"/>
    </row>
    <row r="3" spans="1:9" ht="15" customHeight="1">
      <c r="A3" s="37"/>
      <c r="B3" s="38"/>
      <c r="C3" s="46"/>
      <c r="D3" s="46"/>
      <c r="E3" s="38"/>
      <c r="F3" s="38"/>
      <c r="G3" s="38"/>
      <c r="H3" s="38"/>
      <c r="I3" s="48"/>
    </row>
    <row r="4" spans="1:9" ht="15" customHeight="1">
      <c r="A4" s="39" t="s">
        <v>56</v>
      </c>
      <c r="B4" s="38"/>
      <c r="C4" s="43" t="s">
        <v>117</v>
      </c>
      <c r="D4" s="38"/>
      <c r="E4" s="43" t="s">
        <v>70</v>
      </c>
      <c r="F4" s="43"/>
      <c r="G4" s="38"/>
      <c r="H4" s="43" t="s">
        <v>64</v>
      </c>
      <c r="I4" s="48" t="s">
        <v>72</v>
      </c>
    </row>
    <row r="5" spans="1:9" ht="15" customHeight="1">
      <c r="A5" s="37"/>
      <c r="B5" s="38"/>
      <c r="C5" s="38"/>
      <c r="D5" s="38"/>
      <c r="E5" s="38"/>
      <c r="F5" s="38"/>
      <c r="G5" s="38"/>
      <c r="H5" s="38"/>
      <c r="I5" s="48"/>
    </row>
    <row r="6" spans="1:9" ht="15" customHeight="1">
      <c r="A6" s="39" t="s">
        <v>9</v>
      </c>
      <c r="B6" s="38"/>
      <c r="C6" s="43"/>
      <c r="D6" s="38"/>
      <c r="E6" s="43" t="s">
        <v>92</v>
      </c>
      <c r="F6" s="43"/>
      <c r="G6" s="38"/>
      <c r="H6" s="43" t="s">
        <v>64</v>
      </c>
      <c r="I6" s="48"/>
    </row>
    <row r="7" spans="1:9" ht="15" customHeight="1">
      <c r="A7" s="37"/>
      <c r="B7" s="38"/>
      <c r="C7" s="38"/>
      <c r="D7" s="38"/>
      <c r="E7" s="38"/>
      <c r="F7" s="38"/>
      <c r="G7" s="38"/>
      <c r="H7" s="38"/>
      <c r="I7" s="48"/>
    </row>
    <row r="8" spans="1:9" ht="15" customHeight="1">
      <c r="A8" s="39" t="s">
        <v>94</v>
      </c>
      <c r="B8" s="38"/>
      <c r="C8" s="43"/>
      <c r="D8" s="38"/>
      <c r="E8" s="43" t="s">
        <v>35</v>
      </c>
      <c r="F8" s="43" t="str">
        <f>'Stavební rozpočet'!F6</f>
        <v> </v>
      </c>
      <c r="G8" s="38"/>
      <c r="H8" s="38" t="s">
        <v>108</v>
      </c>
      <c r="I8" s="49"/>
    </row>
    <row r="9" spans="1:9" ht="15" customHeight="1">
      <c r="A9" s="37"/>
      <c r="B9" s="38"/>
      <c r="C9" s="38"/>
      <c r="D9" s="38"/>
      <c r="E9" s="38"/>
      <c r="F9" s="38"/>
      <c r="G9" s="38"/>
      <c r="H9" s="38"/>
      <c r="I9" s="48"/>
    </row>
    <row r="10" spans="1:9" ht="15" customHeight="1">
      <c r="A10" s="39" t="s">
        <v>50</v>
      </c>
      <c r="B10" s="38"/>
      <c r="C10" s="43" t="str">
        <f>'Stavební rozpočet'!B8</f>
        <v> </v>
      </c>
      <c r="D10" s="38"/>
      <c r="E10" s="43" t="s">
        <v>66</v>
      </c>
      <c r="F10" s="43"/>
      <c r="G10" s="38"/>
      <c r="H10" s="38" t="s">
        <v>102</v>
      </c>
      <c r="I10" s="50"/>
    </row>
    <row r="11" spans="1:9" ht="15" customHeight="1">
      <c r="A11" s="40"/>
      <c r="B11" s="41"/>
      <c r="C11" s="41"/>
      <c r="D11" s="41"/>
      <c r="E11" s="41"/>
      <c r="F11" s="41"/>
      <c r="G11" s="41"/>
      <c r="H11" s="41"/>
      <c r="I11" s="51"/>
    </row>
    <row r="12" spans="1:9" ht="22.5" customHeight="1">
      <c r="A12" s="52" t="s">
        <v>20</v>
      </c>
      <c r="B12" s="52"/>
      <c r="C12" s="52"/>
      <c r="D12" s="52"/>
      <c r="E12" s="52"/>
      <c r="F12" s="52"/>
      <c r="G12" s="52"/>
      <c r="H12" s="52"/>
      <c r="I12" s="52"/>
    </row>
    <row r="13" spans="1:9" ht="26.25" customHeight="1">
      <c r="A13" s="4" t="s">
        <v>95</v>
      </c>
      <c r="B13" s="53" t="s">
        <v>17</v>
      </c>
      <c r="C13" s="54"/>
      <c r="D13" s="8" t="s">
        <v>21</v>
      </c>
      <c r="E13" s="53" t="s">
        <v>37</v>
      </c>
      <c r="F13" s="54"/>
      <c r="G13" s="8" t="s">
        <v>63</v>
      </c>
      <c r="H13" s="53" t="s">
        <v>22</v>
      </c>
      <c r="I13" s="54"/>
    </row>
    <row r="14" spans="1:9" ht="15" customHeight="1">
      <c r="A14" s="17" t="s">
        <v>39</v>
      </c>
      <c r="B14" s="9" t="s">
        <v>28</v>
      </c>
      <c r="C14" s="18">
        <v>0</v>
      </c>
      <c r="D14" s="61" t="s">
        <v>74</v>
      </c>
      <c r="E14" s="62"/>
      <c r="F14" s="18">
        <v>0</v>
      </c>
      <c r="G14" s="61" t="s">
        <v>14</v>
      </c>
      <c r="H14" s="62"/>
      <c r="I14" s="18">
        <v>0</v>
      </c>
    </row>
    <row r="15" spans="1:9" ht="15" customHeight="1">
      <c r="A15" s="22" t="s">
        <v>72</v>
      </c>
      <c r="B15" s="9" t="s">
        <v>23</v>
      </c>
      <c r="C15" s="18">
        <v>0</v>
      </c>
      <c r="D15" s="61" t="s">
        <v>12</v>
      </c>
      <c r="E15" s="62"/>
      <c r="F15" s="18">
        <v>0</v>
      </c>
      <c r="G15" s="61" t="s">
        <v>83</v>
      </c>
      <c r="H15" s="62"/>
      <c r="I15" s="18">
        <v>0</v>
      </c>
    </row>
    <row r="16" spans="1:9" ht="15" customHeight="1">
      <c r="A16" s="17" t="s">
        <v>11</v>
      </c>
      <c r="B16" s="9" t="s">
        <v>28</v>
      </c>
      <c r="C16" s="18">
        <v>0</v>
      </c>
      <c r="D16" s="61" t="s">
        <v>76</v>
      </c>
      <c r="E16" s="62"/>
      <c r="F16" s="18">
        <v>0</v>
      </c>
      <c r="G16" s="61" t="s">
        <v>100</v>
      </c>
      <c r="H16" s="62"/>
      <c r="I16" s="18">
        <v>0</v>
      </c>
    </row>
    <row r="17" spans="1:9" ht="15" customHeight="1">
      <c r="A17" s="22" t="s">
        <v>72</v>
      </c>
      <c r="B17" s="9" t="s">
        <v>23</v>
      </c>
      <c r="C17" s="18">
        <v>0</v>
      </c>
      <c r="D17" s="61" t="s">
        <v>72</v>
      </c>
      <c r="E17" s="62"/>
      <c r="F17" s="24" t="s">
        <v>72</v>
      </c>
      <c r="G17" s="61" t="s">
        <v>53</v>
      </c>
      <c r="H17" s="62"/>
      <c r="I17" s="18">
        <v>0</v>
      </c>
    </row>
    <row r="18" spans="1:9" ht="15" customHeight="1">
      <c r="A18" s="17" t="s">
        <v>32</v>
      </c>
      <c r="B18" s="9" t="s">
        <v>28</v>
      </c>
      <c r="C18" s="18">
        <f>SUM('Stavební rozpočet'!Y12:Y33)</f>
        <v>0</v>
      </c>
      <c r="D18" s="61" t="s">
        <v>72</v>
      </c>
      <c r="E18" s="62"/>
      <c r="F18" s="24" t="s">
        <v>72</v>
      </c>
      <c r="G18" s="61" t="s">
        <v>65</v>
      </c>
      <c r="H18" s="62"/>
      <c r="I18" s="18">
        <v>0</v>
      </c>
    </row>
    <row r="19" spans="1:9" ht="15" customHeight="1">
      <c r="A19" s="22" t="s">
        <v>72</v>
      </c>
      <c r="B19" s="9" t="s">
        <v>23</v>
      </c>
      <c r="C19" s="18">
        <f>SUM('Stavební rozpočet'!Z12:Z33)</f>
        <v>0</v>
      </c>
      <c r="D19" s="61" t="s">
        <v>72</v>
      </c>
      <c r="E19" s="62"/>
      <c r="F19" s="24" t="s">
        <v>72</v>
      </c>
      <c r="G19" s="61" t="s">
        <v>104</v>
      </c>
      <c r="H19" s="62"/>
      <c r="I19" s="18">
        <v>0</v>
      </c>
    </row>
    <row r="20" spans="1:9" ht="15" customHeight="1">
      <c r="A20" s="55" t="s">
        <v>7</v>
      </c>
      <c r="B20" s="56"/>
      <c r="C20" s="18">
        <f>SUM('Stavební rozpočet'!AA12:AA33)</f>
        <v>0</v>
      </c>
      <c r="D20" s="61" t="s">
        <v>72</v>
      </c>
      <c r="E20" s="62"/>
      <c r="F20" s="24" t="s">
        <v>72</v>
      </c>
      <c r="G20" s="61" t="s">
        <v>72</v>
      </c>
      <c r="H20" s="62"/>
      <c r="I20" s="24" t="s">
        <v>72</v>
      </c>
    </row>
    <row r="21" spans="1:9" ht="15" customHeight="1">
      <c r="A21" s="57" t="s">
        <v>103</v>
      </c>
      <c r="B21" s="58"/>
      <c r="C21" s="5">
        <f>SUM('Stavební rozpočet'!S12:S33)</f>
        <v>0</v>
      </c>
      <c r="D21" s="63" t="s">
        <v>72</v>
      </c>
      <c r="E21" s="64"/>
      <c r="F21" s="16" t="s">
        <v>72</v>
      </c>
      <c r="G21" s="63" t="s">
        <v>72</v>
      </c>
      <c r="H21" s="64"/>
      <c r="I21" s="16" t="s">
        <v>72</v>
      </c>
    </row>
    <row r="22" spans="1:9" ht="16.5" customHeight="1">
      <c r="A22" s="59" t="s">
        <v>25</v>
      </c>
      <c r="B22" s="60"/>
      <c r="C22" s="20">
        <f>SUM(C12:C21)</f>
        <v>0</v>
      </c>
      <c r="D22" s="65" t="s">
        <v>51</v>
      </c>
      <c r="E22" s="60"/>
      <c r="F22" s="20">
        <f>SUM(F14:F21)</f>
        <v>0</v>
      </c>
      <c r="G22" s="65" t="s">
        <v>109</v>
      </c>
      <c r="H22" s="60"/>
      <c r="I22" s="20">
        <f>SUM(I14:I21)</f>
        <v>0</v>
      </c>
    </row>
    <row r="23" spans="4:9" ht="15" customHeight="1">
      <c r="D23" s="55" t="s">
        <v>85</v>
      </c>
      <c r="E23" s="56"/>
      <c r="F23" s="25">
        <v>0</v>
      </c>
      <c r="G23" s="66" t="s">
        <v>5</v>
      </c>
      <c r="H23" s="56"/>
      <c r="I23" s="18">
        <v>0</v>
      </c>
    </row>
    <row r="24" spans="7:9" ht="15" customHeight="1">
      <c r="G24" s="55" t="s">
        <v>71</v>
      </c>
      <c r="H24" s="56"/>
      <c r="I24" s="18">
        <v>0</v>
      </c>
    </row>
    <row r="25" spans="7:9" ht="15" customHeight="1">
      <c r="G25" s="55" t="s">
        <v>79</v>
      </c>
      <c r="H25" s="56"/>
      <c r="I25" s="18">
        <v>0</v>
      </c>
    </row>
    <row r="27" spans="1:3" ht="15" customHeight="1">
      <c r="A27" s="67" t="s">
        <v>44</v>
      </c>
      <c r="B27" s="68"/>
      <c r="C27" s="15">
        <f>SUM('Stavební rozpočet'!AC12:AC33)</f>
        <v>0</v>
      </c>
    </row>
    <row r="28" spans="1:9" ht="15" customHeight="1">
      <c r="A28" s="69" t="s">
        <v>3</v>
      </c>
      <c r="B28" s="70"/>
      <c r="C28" s="2">
        <f>SUM('Stavební rozpočet'!AD12:AD33)</f>
        <v>0</v>
      </c>
      <c r="D28" s="68" t="s">
        <v>26</v>
      </c>
      <c r="E28" s="68"/>
      <c r="F28" s="15">
        <f>ROUND(C28*(15/100),2)</f>
        <v>0</v>
      </c>
      <c r="G28" s="68" t="s">
        <v>18</v>
      </c>
      <c r="H28" s="68"/>
      <c r="I28" s="15">
        <f>SUM(C27:C29)</f>
        <v>0</v>
      </c>
    </row>
    <row r="29" spans="1:9" ht="15" customHeight="1">
      <c r="A29" s="69" t="s">
        <v>4</v>
      </c>
      <c r="B29" s="70"/>
      <c r="C29" s="2">
        <f>SUM('Stavební rozpočet'!AE12:AE33)+(F22+I22+F23+I23+I24+I25)</f>
        <v>0</v>
      </c>
      <c r="D29" s="70" t="s">
        <v>77</v>
      </c>
      <c r="E29" s="70"/>
      <c r="F29" s="2">
        <f>ROUND(C29*(21/100),2)</f>
        <v>0</v>
      </c>
      <c r="G29" s="70" t="s">
        <v>43</v>
      </c>
      <c r="H29" s="70"/>
      <c r="I29" s="2">
        <f>SUM(F28:F29)+I28</f>
        <v>0</v>
      </c>
    </row>
    <row r="31" spans="1:9" ht="15" customHeight="1">
      <c r="A31" s="77" t="s">
        <v>1</v>
      </c>
      <c r="B31" s="74"/>
      <c r="C31" s="75"/>
      <c r="D31" s="74" t="s">
        <v>98</v>
      </c>
      <c r="E31" s="74"/>
      <c r="F31" s="75"/>
      <c r="G31" s="74" t="s">
        <v>68</v>
      </c>
      <c r="H31" s="74"/>
      <c r="I31" s="75"/>
    </row>
    <row r="32" spans="1:9" ht="15" customHeight="1">
      <c r="A32" s="78" t="s">
        <v>72</v>
      </c>
      <c r="B32" s="63"/>
      <c r="C32" s="76"/>
      <c r="D32" s="63" t="s">
        <v>72</v>
      </c>
      <c r="E32" s="63"/>
      <c r="F32" s="76"/>
      <c r="G32" s="63" t="s">
        <v>72</v>
      </c>
      <c r="H32" s="63"/>
      <c r="I32" s="76"/>
    </row>
    <row r="33" spans="1:9" ht="15" customHeight="1">
      <c r="A33" s="78" t="s">
        <v>72</v>
      </c>
      <c r="B33" s="63"/>
      <c r="C33" s="76"/>
      <c r="D33" s="63" t="s">
        <v>72</v>
      </c>
      <c r="E33" s="63"/>
      <c r="F33" s="76"/>
      <c r="G33" s="63" t="s">
        <v>72</v>
      </c>
      <c r="H33" s="63"/>
      <c r="I33" s="76"/>
    </row>
    <row r="34" spans="1:9" ht="15" customHeight="1">
      <c r="A34" s="78" t="s">
        <v>72</v>
      </c>
      <c r="B34" s="63"/>
      <c r="C34" s="76"/>
      <c r="D34" s="63" t="s">
        <v>72</v>
      </c>
      <c r="E34" s="63"/>
      <c r="F34" s="76"/>
      <c r="G34" s="63" t="s">
        <v>72</v>
      </c>
      <c r="H34" s="63"/>
      <c r="I34" s="76"/>
    </row>
    <row r="35" spans="1:9" ht="15" customHeight="1">
      <c r="A35" s="71" t="s">
        <v>24</v>
      </c>
      <c r="B35" s="72"/>
      <c r="C35" s="73"/>
      <c r="D35" s="72" t="s">
        <v>24</v>
      </c>
      <c r="E35" s="72"/>
      <c r="F35" s="73"/>
      <c r="G35" s="72" t="s">
        <v>24</v>
      </c>
      <c r="H35" s="72"/>
      <c r="I35" s="73"/>
    </row>
    <row r="36" ht="15" customHeight="1">
      <c r="A36" s="7"/>
    </row>
    <row r="37" spans="1:9" ht="40.5" customHeight="1">
      <c r="A37" s="43"/>
      <c r="B37" s="38"/>
      <c r="C37" s="38"/>
      <c r="D37" s="38"/>
      <c r="E37" s="38"/>
      <c r="F37" s="38"/>
      <c r="G37" s="38"/>
      <c r="H37" s="38"/>
      <c r="I37" s="38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showOutlineSymbols="0" zoomScale="130" zoomScaleNormal="130" zoomScalePageLayoutView="0" workbookViewId="0" topLeftCell="A1">
      <pane ySplit="11" topLeftCell="A12" activePane="bottomLeft" state="frozen"/>
      <selection pane="topLeft" activeCell="A49" sqref="A49:N49"/>
      <selection pane="bottomLeft" activeCell="H16" sqref="H16"/>
    </sheetView>
  </sheetViews>
  <sheetFormatPr defaultColWidth="14.16015625" defaultRowHeight="15" customHeight="1"/>
  <cols>
    <col min="1" max="1" width="9.83203125" style="0" customWidth="1"/>
    <col min="2" max="2" width="1.66796875" style="0" customWidth="1"/>
    <col min="3" max="3" width="64" style="0" customWidth="1"/>
    <col min="4" max="4" width="7.5" style="0" customWidth="1"/>
    <col min="5" max="5" width="15" style="0" customWidth="1"/>
    <col min="6" max="6" width="14" style="0" customWidth="1"/>
    <col min="7" max="7" width="18.33203125" style="0" customWidth="1"/>
    <col min="8" max="17" width="14.16015625" style="0" customWidth="1"/>
    <col min="18" max="57" width="14.16015625" style="0" hidden="1" customWidth="1"/>
  </cols>
  <sheetData>
    <row r="1" spans="1:7" ht="46.5" customHeight="1">
      <c r="A1" s="34" t="s">
        <v>55</v>
      </c>
      <c r="B1" s="34"/>
      <c r="C1" s="34"/>
      <c r="D1" s="34"/>
      <c r="E1" s="34"/>
      <c r="F1" s="34"/>
      <c r="G1" s="34"/>
    </row>
    <row r="2" spans="1:7" ht="12" customHeight="1">
      <c r="A2" s="35" t="s">
        <v>6</v>
      </c>
      <c r="B2" s="44" t="s">
        <v>116</v>
      </c>
      <c r="C2" s="45"/>
      <c r="D2" s="36" t="s">
        <v>0</v>
      </c>
      <c r="E2" s="36"/>
      <c r="F2" s="36" t="s">
        <v>97</v>
      </c>
      <c r="G2" s="81"/>
    </row>
    <row r="3" spans="1:7" ht="12" customHeight="1">
      <c r="A3" s="37"/>
      <c r="B3" s="46"/>
      <c r="C3" s="46"/>
      <c r="D3" s="38"/>
      <c r="E3" s="38"/>
      <c r="F3" s="38"/>
      <c r="G3" s="82"/>
    </row>
    <row r="4" spans="1:7" ht="12" customHeight="1">
      <c r="A4" s="39" t="s">
        <v>56</v>
      </c>
      <c r="B4" s="43" t="s">
        <v>117</v>
      </c>
      <c r="C4" s="38"/>
      <c r="D4" s="38" t="s">
        <v>94</v>
      </c>
      <c r="E4" s="38"/>
      <c r="F4" s="38"/>
      <c r="G4" s="82"/>
    </row>
    <row r="5" spans="1:7" ht="12" customHeight="1">
      <c r="A5" s="37"/>
      <c r="B5" s="38"/>
      <c r="C5" s="38"/>
      <c r="D5" s="38"/>
      <c r="E5" s="38"/>
      <c r="F5" s="38"/>
      <c r="G5" s="82"/>
    </row>
    <row r="6" spans="1:7" ht="12" customHeight="1">
      <c r="A6" s="39" t="s">
        <v>9</v>
      </c>
      <c r="B6" s="43"/>
      <c r="C6" s="38"/>
      <c r="D6" s="38" t="s">
        <v>35</v>
      </c>
      <c r="E6" s="38"/>
      <c r="F6" s="38" t="s">
        <v>97</v>
      </c>
      <c r="G6" s="82"/>
    </row>
    <row r="7" spans="1:7" ht="12" customHeight="1">
      <c r="A7" s="37"/>
      <c r="B7" s="38"/>
      <c r="C7" s="38"/>
      <c r="D7" s="38"/>
      <c r="E7" s="38"/>
      <c r="F7" s="38"/>
      <c r="G7" s="82"/>
    </row>
    <row r="8" spans="1:7" ht="12" customHeight="1">
      <c r="A8" s="39" t="s">
        <v>50</v>
      </c>
      <c r="B8" s="43" t="s">
        <v>97</v>
      </c>
      <c r="C8" s="38"/>
      <c r="D8" s="38" t="s">
        <v>57</v>
      </c>
      <c r="E8" s="38"/>
      <c r="F8" s="38"/>
      <c r="G8" s="82"/>
    </row>
    <row r="9" spans="1:7" ht="12" customHeight="1" thickBot="1">
      <c r="A9" s="37"/>
      <c r="B9" s="38"/>
      <c r="C9" s="38"/>
      <c r="D9" s="38"/>
      <c r="E9" s="38"/>
      <c r="F9" s="38"/>
      <c r="G9" s="83"/>
    </row>
    <row r="10" spans="1:57" ht="15" customHeight="1">
      <c r="A10" s="21" t="s">
        <v>8</v>
      </c>
      <c r="B10" s="84" t="s">
        <v>112</v>
      </c>
      <c r="C10" s="85"/>
      <c r="D10" s="14" t="s">
        <v>36</v>
      </c>
      <c r="E10" s="13" t="s">
        <v>60</v>
      </c>
      <c r="F10" s="23" t="s">
        <v>34</v>
      </c>
      <c r="G10" s="27"/>
      <c r="BD10" s="19" t="s">
        <v>42</v>
      </c>
      <c r="BE10" s="1" t="s">
        <v>52</v>
      </c>
    </row>
    <row r="11" spans="1:55" ht="15" customHeight="1">
      <c r="A11" s="28" t="s">
        <v>97</v>
      </c>
      <c r="B11" s="79" t="s">
        <v>107</v>
      </c>
      <c r="C11" s="80"/>
      <c r="D11" s="29" t="s">
        <v>97</v>
      </c>
      <c r="E11" s="29" t="s">
        <v>97</v>
      </c>
      <c r="F11" s="30" t="s">
        <v>99</v>
      </c>
      <c r="G11" s="12" t="s">
        <v>13</v>
      </c>
      <c r="S11" s="19" t="s">
        <v>80</v>
      </c>
      <c r="T11" s="19" t="s">
        <v>61</v>
      </c>
      <c r="U11" s="19" t="s">
        <v>111</v>
      </c>
      <c r="V11" s="19" t="s">
        <v>30</v>
      </c>
      <c r="W11" s="19" t="s">
        <v>90</v>
      </c>
      <c r="X11" s="19" t="s">
        <v>38</v>
      </c>
      <c r="Y11" s="19" t="s">
        <v>96</v>
      </c>
      <c r="Z11" s="19" t="s">
        <v>45</v>
      </c>
      <c r="AA11" s="19" t="s">
        <v>29</v>
      </c>
      <c r="BA11" s="19" t="s">
        <v>81</v>
      </c>
      <c r="BB11" s="19" t="s">
        <v>110</v>
      </c>
      <c r="BC11" s="19" t="s">
        <v>113</v>
      </c>
    </row>
    <row r="12" spans="1:57" ht="14.25" customHeight="1">
      <c r="A12" s="6" t="s">
        <v>105</v>
      </c>
      <c r="B12" s="86" t="s">
        <v>119</v>
      </c>
      <c r="C12" s="86"/>
      <c r="D12" s="10" t="s">
        <v>118</v>
      </c>
      <c r="E12" s="11">
        <v>1</v>
      </c>
      <c r="F12" s="11"/>
      <c r="G12" s="11"/>
      <c r="S12" s="11">
        <f>IF(AJ12="5",BC12,0)</f>
        <v>0</v>
      </c>
      <c r="U12" s="11">
        <f>IF(AJ12="1",BA12,0)</f>
        <v>0</v>
      </c>
      <c r="V12" s="11">
        <f>IF(AJ12="1",BB12,0)</f>
        <v>0</v>
      </c>
      <c r="W12" s="11">
        <f>IF(AJ12="7",BA12,0)</f>
        <v>0</v>
      </c>
      <c r="X12" s="11">
        <f>IF(AJ12="7",BB12,0)</f>
        <v>0</v>
      </c>
      <c r="Y12" s="11">
        <f>IF(AJ12="2",BA12,0)</f>
        <v>0</v>
      </c>
      <c r="Z12" s="11">
        <f>IF(AJ12="2",BB12,0)</f>
        <v>0</v>
      </c>
      <c r="AA12" s="11">
        <f>IF(AJ12="0",BC12,0)</f>
        <v>0</v>
      </c>
      <c r="AB12" s="19" t="s">
        <v>72</v>
      </c>
      <c r="AC12" s="11">
        <f aca="true" t="shared" si="0" ref="AC12:AC33">IF(AG12=0,G12,0)</f>
        <v>0</v>
      </c>
      <c r="AD12" s="11">
        <f aca="true" t="shared" si="1" ref="AD12:AD33">IF(AG12=15,G12,0)</f>
        <v>0</v>
      </c>
      <c r="AE12" s="11">
        <f aca="true" t="shared" si="2" ref="AE12:AE33">IF(AG12=21,G12,0)</f>
        <v>0</v>
      </c>
      <c r="AG12" s="11">
        <v>21</v>
      </c>
      <c r="AH12" s="11">
        <f>F12*0</f>
        <v>0</v>
      </c>
      <c r="AI12" s="11">
        <f>F12*(1-0)</f>
        <v>0</v>
      </c>
      <c r="AJ12" s="3" t="s">
        <v>106</v>
      </c>
      <c r="AO12" s="11">
        <f>AP12+AQ12</f>
        <v>0</v>
      </c>
      <c r="AP12" s="11">
        <f aca="true" t="shared" si="3" ref="AP12:AP33">E12*AH12</f>
        <v>0</v>
      </c>
      <c r="AQ12" s="11">
        <f aca="true" t="shared" si="4" ref="AQ12:AQ33">E12*AI12</f>
        <v>0</v>
      </c>
      <c r="AR12" s="3" t="s">
        <v>86</v>
      </c>
      <c r="AS12" s="3" t="s">
        <v>87</v>
      </c>
      <c r="AT12" s="19" t="s">
        <v>78</v>
      </c>
      <c r="AV12" s="11">
        <f>AP12+AQ12</f>
        <v>0</v>
      </c>
      <c r="AW12" s="11">
        <f aca="true" t="shared" si="5" ref="AW12:AW33">F12/(100-AX12)*100</f>
        <v>0</v>
      </c>
      <c r="AX12" s="11">
        <v>0</v>
      </c>
      <c r="AY12" s="11" t="e">
        <f>#REF!</f>
        <v>#REF!</v>
      </c>
      <c r="BA12" s="11">
        <f aca="true" t="shared" si="6" ref="BA12:BA33">E12*AH12</f>
        <v>0</v>
      </c>
      <c r="BB12" s="11">
        <f aca="true" t="shared" si="7" ref="BB12:BB33">E12*AI12</f>
        <v>0</v>
      </c>
      <c r="BC12" s="11">
        <f>E12*F12</f>
        <v>0</v>
      </c>
      <c r="BD12" s="11"/>
      <c r="BE12" s="11">
        <v>764</v>
      </c>
    </row>
    <row r="13" spans="1:57" ht="15" customHeight="1">
      <c r="A13" s="6" t="s">
        <v>69</v>
      </c>
      <c r="B13" s="86" t="s">
        <v>120</v>
      </c>
      <c r="C13" s="86"/>
      <c r="D13" s="10" t="s">
        <v>118</v>
      </c>
      <c r="E13" s="11">
        <v>1</v>
      </c>
      <c r="F13" s="11"/>
      <c r="G13" s="11"/>
      <c r="S13" s="11">
        <f>IF(AJ13="5",BC13,0)</f>
        <v>0</v>
      </c>
      <c r="U13" s="11">
        <f>IF(AJ13="1",BA13,0)</f>
        <v>0</v>
      </c>
      <c r="V13" s="11">
        <f>IF(AJ13="1",BB13,0)</f>
        <v>0</v>
      </c>
      <c r="W13" s="11">
        <f>IF(AJ13="7",BA13,0)</f>
        <v>0</v>
      </c>
      <c r="X13" s="11">
        <f>IF(AJ13="7",BB13,0)</f>
        <v>0</v>
      </c>
      <c r="Y13" s="11">
        <f>IF(AJ13="2",BA13,0)</f>
        <v>0</v>
      </c>
      <c r="Z13" s="11">
        <f>IF(AJ13="2",BB13,0)</f>
        <v>0</v>
      </c>
      <c r="AA13" s="11">
        <f>IF(AJ13="0",BC13,0)</f>
        <v>0</v>
      </c>
      <c r="AB13" s="19" t="s">
        <v>72</v>
      </c>
      <c r="AC13" s="11">
        <f t="shared" si="0"/>
        <v>0</v>
      </c>
      <c r="AD13" s="11">
        <f t="shared" si="1"/>
        <v>0</v>
      </c>
      <c r="AE13" s="11">
        <f t="shared" si="2"/>
        <v>0</v>
      </c>
      <c r="AG13" s="11">
        <v>21</v>
      </c>
      <c r="AH13" s="11">
        <f>F13*0.168040343397278</f>
        <v>0</v>
      </c>
      <c r="AI13" s="11">
        <f>F13*(1-0.168040343397278)</f>
        <v>0</v>
      </c>
      <c r="AJ13" s="3" t="s">
        <v>106</v>
      </c>
      <c r="AO13" s="11">
        <f>AP13+AQ13</f>
        <v>0</v>
      </c>
      <c r="AP13" s="11">
        <f t="shared" si="3"/>
        <v>0</v>
      </c>
      <c r="AQ13" s="11">
        <f t="shared" si="4"/>
        <v>0</v>
      </c>
      <c r="AR13" s="3" t="s">
        <v>86</v>
      </c>
      <c r="AS13" s="3" t="s">
        <v>87</v>
      </c>
      <c r="AT13" s="19" t="s">
        <v>78</v>
      </c>
      <c r="AV13" s="11">
        <f>AP13+AQ13</f>
        <v>0</v>
      </c>
      <c r="AW13" s="11">
        <f t="shared" si="5"/>
        <v>0</v>
      </c>
      <c r="AX13" s="11">
        <v>0</v>
      </c>
      <c r="AY13" s="11" t="e">
        <f>#REF!</f>
        <v>#REF!</v>
      </c>
      <c r="BA13" s="11">
        <f t="shared" si="6"/>
        <v>0</v>
      </c>
      <c r="BB13" s="11">
        <f t="shared" si="7"/>
        <v>0</v>
      </c>
      <c r="BC13" s="11">
        <f>E13*F13</f>
        <v>0</v>
      </c>
      <c r="BD13" s="11"/>
      <c r="BE13" s="11">
        <v>764</v>
      </c>
    </row>
    <row r="14" spans="1:57" ht="15" customHeight="1">
      <c r="A14" s="6" t="s">
        <v>91</v>
      </c>
      <c r="B14" s="38" t="s">
        <v>121</v>
      </c>
      <c r="C14" s="38"/>
      <c r="D14" s="10" t="s">
        <v>118</v>
      </c>
      <c r="E14" s="11">
        <v>1</v>
      </c>
      <c r="F14" s="11"/>
      <c r="G14" s="11"/>
      <c r="S14" s="11">
        <f aca="true" t="shared" si="8" ref="S14:S22">IF(AJ14="5",BC14,0)</f>
        <v>0</v>
      </c>
      <c r="U14" s="11">
        <f aca="true" t="shared" si="9" ref="U14:U22">IF(AJ14="1",BA14,0)</f>
        <v>0</v>
      </c>
      <c r="V14" s="11">
        <f aca="true" t="shared" si="10" ref="V14:V22">IF(AJ14="1",BB14,0)</f>
        <v>0</v>
      </c>
      <c r="W14" s="11">
        <f aca="true" t="shared" si="11" ref="W14:W22">IF(AJ14="7",BA14,0)</f>
        <v>0</v>
      </c>
      <c r="X14" s="11">
        <f aca="true" t="shared" si="12" ref="X14:X22">IF(AJ14="7",BB14,0)</f>
        <v>0</v>
      </c>
      <c r="Y14" s="11">
        <f aca="true" t="shared" si="13" ref="Y14:Y22">IF(AJ14="2",BA14,0)</f>
        <v>0</v>
      </c>
      <c r="Z14" s="11">
        <f aca="true" t="shared" si="14" ref="Z14:Z22">IF(AJ14="2",BB14,0)</f>
        <v>0</v>
      </c>
      <c r="AA14" s="11">
        <f aca="true" t="shared" si="15" ref="AA14:AA22">IF(AJ14="0",BC14,0)</f>
        <v>0</v>
      </c>
      <c r="AB14" s="19" t="s">
        <v>72</v>
      </c>
      <c r="AC14" s="11">
        <f t="shared" si="0"/>
        <v>0</v>
      </c>
      <c r="AD14" s="11">
        <f t="shared" si="1"/>
        <v>0</v>
      </c>
      <c r="AE14" s="11">
        <f t="shared" si="2"/>
        <v>0</v>
      </c>
      <c r="AG14" s="11">
        <v>21</v>
      </c>
      <c r="AH14" s="11">
        <f>F14*0.809885981757081</f>
        <v>0</v>
      </c>
      <c r="AI14" s="11">
        <f>F14*(1-0.809885981757081)</f>
        <v>0</v>
      </c>
      <c r="AJ14" s="3" t="s">
        <v>106</v>
      </c>
      <c r="AO14" s="11">
        <f aca="true" t="shared" si="16" ref="AO14:AO22">AP14+AQ14</f>
        <v>0</v>
      </c>
      <c r="AP14" s="11">
        <f t="shared" si="3"/>
        <v>0</v>
      </c>
      <c r="AQ14" s="11">
        <f t="shared" si="4"/>
        <v>0</v>
      </c>
      <c r="AR14" s="3" t="s">
        <v>15</v>
      </c>
      <c r="AS14" s="3" t="s">
        <v>87</v>
      </c>
      <c r="AT14" s="19" t="s">
        <v>78</v>
      </c>
      <c r="AV14" s="11">
        <f aca="true" t="shared" si="17" ref="AV14:AV22">AP14+AQ14</f>
        <v>0</v>
      </c>
      <c r="AW14" s="11">
        <f t="shared" si="5"/>
        <v>0</v>
      </c>
      <c r="AX14" s="11">
        <v>0</v>
      </c>
      <c r="AY14" s="11" t="e">
        <f>#REF!</f>
        <v>#REF!</v>
      </c>
      <c r="BA14" s="11">
        <f t="shared" si="6"/>
        <v>0</v>
      </c>
      <c r="BB14" s="11">
        <f t="shared" si="7"/>
        <v>0</v>
      </c>
      <c r="BC14" s="11">
        <f aca="true" t="shared" si="18" ref="BC14:BC22">E14*F14</f>
        <v>0</v>
      </c>
      <c r="BD14" s="11"/>
      <c r="BE14" s="11">
        <v>766</v>
      </c>
    </row>
    <row r="15" spans="1:57" ht="15" customHeight="1">
      <c r="A15" s="6" t="s">
        <v>16</v>
      </c>
      <c r="B15" s="38" t="s">
        <v>122</v>
      </c>
      <c r="C15" s="38"/>
      <c r="D15" s="10" t="s">
        <v>118</v>
      </c>
      <c r="E15" s="11">
        <v>1</v>
      </c>
      <c r="F15" s="11"/>
      <c r="G15" s="11"/>
      <c r="S15" s="11">
        <f t="shared" si="8"/>
        <v>0</v>
      </c>
      <c r="U15" s="11">
        <f t="shared" si="9"/>
        <v>0</v>
      </c>
      <c r="V15" s="11">
        <f t="shared" si="10"/>
        <v>0</v>
      </c>
      <c r="W15" s="11">
        <f t="shared" si="11"/>
        <v>0</v>
      </c>
      <c r="X15" s="11">
        <f t="shared" si="12"/>
        <v>0</v>
      </c>
      <c r="Y15" s="11">
        <f t="shared" si="13"/>
        <v>0</v>
      </c>
      <c r="Z15" s="11">
        <f t="shared" si="14"/>
        <v>0</v>
      </c>
      <c r="AA15" s="11">
        <f t="shared" si="15"/>
        <v>0</v>
      </c>
      <c r="AB15" s="19" t="s">
        <v>72</v>
      </c>
      <c r="AC15" s="11">
        <f t="shared" si="0"/>
        <v>0</v>
      </c>
      <c r="AD15" s="11">
        <f t="shared" si="1"/>
        <v>0</v>
      </c>
      <c r="AE15" s="11">
        <f t="shared" si="2"/>
        <v>0</v>
      </c>
      <c r="AG15" s="11">
        <v>21</v>
      </c>
      <c r="AH15" s="11">
        <f>F15*0.813080145210835</f>
        <v>0</v>
      </c>
      <c r="AI15" s="11">
        <f>F15*(1-0.813080145210835)</f>
        <v>0</v>
      </c>
      <c r="AJ15" s="3" t="s">
        <v>106</v>
      </c>
      <c r="AO15" s="11">
        <f t="shared" si="16"/>
        <v>0</v>
      </c>
      <c r="AP15" s="11">
        <f t="shared" si="3"/>
        <v>0</v>
      </c>
      <c r="AQ15" s="11">
        <f t="shared" si="4"/>
        <v>0</v>
      </c>
      <c r="AR15" s="3" t="s">
        <v>15</v>
      </c>
      <c r="AS15" s="3" t="s">
        <v>87</v>
      </c>
      <c r="AT15" s="19" t="s">
        <v>78</v>
      </c>
      <c r="AV15" s="11">
        <f t="shared" si="17"/>
        <v>0</v>
      </c>
      <c r="AW15" s="11">
        <f t="shared" si="5"/>
        <v>0</v>
      </c>
      <c r="AX15" s="11">
        <v>0</v>
      </c>
      <c r="AY15" s="11" t="e">
        <f>#REF!</f>
        <v>#REF!</v>
      </c>
      <c r="BA15" s="11">
        <f t="shared" si="6"/>
        <v>0</v>
      </c>
      <c r="BB15" s="11">
        <f t="shared" si="7"/>
        <v>0</v>
      </c>
      <c r="BC15" s="11">
        <f t="shared" si="18"/>
        <v>0</v>
      </c>
      <c r="BD15" s="11"/>
      <c r="BE15" s="11">
        <v>766</v>
      </c>
    </row>
    <row r="16" spans="1:57" ht="15" customHeight="1">
      <c r="A16" s="6" t="s">
        <v>54</v>
      </c>
      <c r="B16" s="38" t="s">
        <v>123</v>
      </c>
      <c r="C16" s="38"/>
      <c r="D16" s="10" t="s">
        <v>118</v>
      </c>
      <c r="E16" s="11">
        <v>1</v>
      </c>
      <c r="F16" s="11"/>
      <c r="G16" s="11"/>
      <c r="S16" s="11">
        <f t="shared" si="8"/>
        <v>0</v>
      </c>
      <c r="U16" s="11">
        <f t="shared" si="9"/>
        <v>0</v>
      </c>
      <c r="V16" s="11">
        <f t="shared" si="10"/>
        <v>0</v>
      </c>
      <c r="W16" s="11">
        <f t="shared" si="11"/>
        <v>0</v>
      </c>
      <c r="X16" s="11">
        <f t="shared" si="12"/>
        <v>0</v>
      </c>
      <c r="Y16" s="11">
        <f t="shared" si="13"/>
        <v>0</v>
      </c>
      <c r="Z16" s="11">
        <f t="shared" si="14"/>
        <v>0</v>
      </c>
      <c r="AA16" s="11">
        <f t="shared" si="15"/>
        <v>0</v>
      </c>
      <c r="AB16" s="19" t="s">
        <v>72</v>
      </c>
      <c r="AC16" s="11">
        <f t="shared" si="0"/>
        <v>0</v>
      </c>
      <c r="AD16" s="11">
        <f t="shared" si="1"/>
        <v>0</v>
      </c>
      <c r="AE16" s="11">
        <f t="shared" si="2"/>
        <v>0</v>
      </c>
      <c r="AG16" s="11">
        <v>21</v>
      </c>
      <c r="AH16" s="11">
        <f>F16*0.863832531324053</f>
        <v>0</v>
      </c>
      <c r="AI16" s="11">
        <f>F16*(1-0.863832531324053)</f>
        <v>0</v>
      </c>
      <c r="AJ16" s="3" t="s">
        <v>106</v>
      </c>
      <c r="AO16" s="11">
        <f t="shared" si="16"/>
        <v>0</v>
      </c>
      <c r="AP16" s="11">
        <f t="shared" si="3"/>
        <v>0</v>
      </c>
      <c r="AQ16" s="11">
        <f t="shared" si="4"/>
        <v>0</v>
      </c>
      <c r="AR16" s="3" t="s">
        <v>15</v>
      </c>
      <c r="AS16" s="3" t="s">
        <v>87</v>
      </c>
      <c r="AT16" s="19" t="s">
        <v>78</v>
      </c>
      <c r="AV16" s="11">
        <f t="shared" si="17"/>
        <v>0</v>
      </c>
      <c r="AW16" s="11">
        <f t="shared" si="5"/>
        <v>0</v>
      </c>
      <c r="AX16" s="11">
        <v>0</v>
      </c>
      <c r="AY16" s="11" t="e">
        <f>#REF!</f>
        <v>#REF!</v>
      </c>
      <c r="BA16" s="11">
        <f t="shared" si="6"/>
        <v>0</v>
      </c>
      <c r="BB16" s="11">
        <f t="shared" si="7"/>
        <v>0</v>
      </c>
      <c r="BC16" s="11">
        <f t="shared" si="18"/>
        <v>0</v>
      </c>
      <c r="BD16" s="11"/>
      <c r="BE16" s="11">
        <v>766</v>
      </c>
    </row>
    <row r="17" spans="1:57" ht="24" customHeight="1">
      <c r="A17" s="6" t="s">
        <v>19</v>
      </c>
      <c r="B17" s="86" t="s">
        <v>124</v>
      </c>
      <c r="C17" s="43"/>
      <c r="D17" s="26" t="s">
        <v>118</v>
      </c>
      <c r="E17" s="11">
        <v>1</v>
      </c>
      <c r="F17" s="11"/>
      <c r="G17" s="11"/>
      <c r="S17" s="11">
        <f t="shared" si="8"/>
        <v>0</v>
      </c>
      <c r="U17" s="11">
        <f t="shared" si="9"/>
        <v>0</v>
      </c>
      <c r="V17" s="11">
        <f t="shared" si="10"/>
        <v>0</v>
      </c>
      <c r="W17" s="11">
        <f t="shared" si="11"/>
        <v>0</v>
      </c>
      <c r="X17" s="11">
        <f t="shared" si="12"/>
        <v>0</v>
      </c>
      <c r="Y17" s="11">
        <f t="shared" si="13"/>
        <v>0</v>
      </c>
      <c r="Z17" s="11">
        <f t="shared" si="14"/>
        <v>0</v>
      </c>
      <c r="AA17" s="11">
        <f t="shared" si="15"/>
        <v>0</v>
      </c>
      <c r="AB17" s="19" t="s">
        <v>72</v>
      </c>
      <c r="AC17" s="11">
        <f t="shared" si="0"/>
        <v>0</v>
      </c>
      <c r="AD17" s="11">
        <f t="shared" si="1"/>
        <v>0</v>
      </c>
      <c r="AE17" s="11">
        <f t="shared" si="2"/>
        <v>0</v>
      </c>
      <c r="AG17" s="11">
        <v>21</v>
      </c>
      <c r="AH17" s="11">
        <f>F17*0.863832531324053</f>
        <v>0</v>
      </c>
      <c r="AI17" s="11">
        <f>F17*(1-0.863832531324053)</f>
        <v>0</v>
      </c>
      <c r="AJ17" s="3" t="s">
        <v>106</v>
      </c>
      <c r="AO17" s="11">
        <f t="shared" si="16"/>
        <v>0</v>
      </c>
      <c r="AP17" s="11">
        <f t="shared" si="3"/>
        <v>0</v>
      </c>
      <c r="AQ17" s="11">
        <f t="shared" si="4"/>
        <v>0</v>
      </c>
      <c r="AR17" s="3" t="s">
        <v>15</v>
      </c>
      <c r="AS17" s="3" t="s">
        <v>87</v>
      </c>
      <c r="AT17" s="19" t="s">
        <v>78</v>
      </c>
      <c r="AV17" s="11">
        <f t="shared" si="17"/>
        <v>0</v>
      </c>
      <c r="AW17" s="11">
        <f t="shared" si="5"/>
        <v>0</v>
      </c>
      <c r="AX17" s="11">
        <v>0</v>
      </c>
      <c r="AY17" s="11" t="e">
        <f>#REF!</f>
        <v>#REF!</v>
      </c>
      <c r="BA17" s="11">
        <f t="shared" si="6"/>
        <v>0</v>
      </c>
      <c r="BB17" s="11">
        <f t="shared" si="7"/>
        <v>0</v>
      </c>
      <c r="BC17" s="11">
        <f t="shared" si="18"/>
        <v>0</v>
      </c>
      <c r="BD17" s="11"/>
      <c r="BE17" s="11">
        <v>766</v>
      </c>
    </row>
    <row r="18" spans="1:57" ht="24" customHeight="1">
      <c r="A18" s="6" t="s">
        <v>106</v>
      </c>
      <c r="B18" s="86" t="s">
        <v>126</v>
      </c>
      <c r="C18" s="86"/>
      <c r="D18" s="10" t="s">
        <v>27</v>
      </c>
      <c r="E18" s="11">
        <v>2</v>
      </c>
      <c r="F18" s="11"/>
      <c r="G18" s="11"/>
      <c r="S18" s="11">
        <f t="shared" si="8"/>
        <v>0</v>
      </c>
      <c r="U18" s="11">
        <f t="shared" si="9"/>
        <v>0</v>
      </c>
      <c r="V18" s="11">
        <f t="shared" si="10"/>
        <v>0</v>
      </c>
      <c r="W18" s="11">
        <f t="shared" si="11"/>
        <v>0</v>
      </c>
      <c r="X18" s="11">
        <f t="shared" si="12"/>
        <v>0</v>
      </c>
      <c r="Y18" s="11">
        <f t="shared" si="13"/>
        <v>0</v>
      </c>
      <c r="Z18" s="11">
        <f t="shared" si="14"/>
        <v>0</v>
      </c>
      <c r="AA18" s="11">
        <f t="shared" si="15"/>
        <v>0</v>
      </c>
      <c r="AB18" s="19" t="s">
        <v>72</v>
      </c>
      <c r="AC18" s="11">
        <f t="shared" si="0"/>
        <v>0</v>
      </c>
      <c r="AD18" s="11">
        <f t="shared" si="1"/>
        <v>0</v>
      </c>
      <c r="AE18" s="11">
        <f t="shared" si="2"/>
        <v>0</v>
      </c>
      <c r="AG18" s="11">
        <v>21</v>
      </c>
      <c r="AH18" s="11">
        <f>F18*0.861685469948207</f>
        <v>0</v>
      </c>
      <c r="AI18" s="11">
        <f>F18*(1-0.861685469948207)</f>
        <v>0</v>
      </c>
      <c r="AJ18" s="3" t="s">
        <v>106</v>
      </c>
      <c r="AO18" s="11">
        <f t="shared" si="16"/>
        <v>0</v>
      </c>
      <c r="AP18" s="11">
        <f t="shared" si="3"/>
        <v>0</v>
      </c>
      <c r="AQ18" s="11">
        <f t="shared" si="4"/>
        <v>0</v>
      </c>
      <c r="AR18" s="3" t="s">
        <v>15</v>
      </c>
      <c r="AS18" s="3" t="s">
        <v>87</v>
      </c>
      <c r="AT18" s="19" t="s">
        <v>78</v>
      </c>
      <c r="AV18" s="11">
        <f t="shared" si="17"/>
        <v>0</v>
      </c>
      <c r="AW18" s="11">
        <f t="shared" si="5"/>
        <v>0</v>
      </c>
      <c r="AX18" s="11">
        <v>0</v>
      </c>
      <c r="AY18" s="11" t="e">
        <f>#REF!</f>
        <v>#REF!</v>
      </c>
      <c r="BA18" s="11">
        <f t="shared" si="6"/>
        <v>0</v>
      </c>
      <c r="BB18" s="11">
        <f t="shared" si="7"/>
        <v>0</v>
      </c>
      <c r="BC18" s="11">
        <f t="shared" si="18"/>
        <v>0</v>
      </c>
      <c r="BD18" s="11"/>
      <c r="BE18" s="11">
        <v>766</v>
      </c>
    </row>
    <row r="19" spans="1:57" ht="24.75" customHeight="1">
      <c r="A19" s="6" t="s">
        <v>82</v>
      </c>
      <c r="B19" s="86" t="s">
        <v>125</v>
      </c>
      <c r="C19" s="43"/>
      <c r="D19" s="26" t="s">
        <v>118</v>
      </c>
      <c r="E19" s="11">
        <v>1</v>
      </c>
      <c r="F19" s="11"/>
      <c r="G19" s="11"/>
      <c r="S19" s="11">
        <f t="shared" si="8"/>
        <v>0</v>
      </c>
      <c r="U19" s="11">
        <f t="shared" si="9"/>
        <v>0</v>
      </c>
      <c r="V19" s="11">
        <f t="shared" si="10"/>
        <v>0</v>
      </c>
      <c r="W19" s="11">
        <f t="shared" si="11"/>
        <v>0</v>
      </c>
      <c r="X19" s="11">
        <f t="shared" si="12"/>
        <v>0</v>
      </c>
      <c r="Y19" s="11">
        <f t="shared" si="13"/>
        <v>0</v>
      </c>
      <c r="Z19" s="11">
        <f t="shared" si="14"/>
        <v>0</v>
      </c>
      <c r="AA19" s="11">
        <f t="shared" si="15"/>
        <v>0</v>
      </c>
      <c r="AB19" s="19" t="s">
        <v>72</v>
      </c>
      <c r="AC19" s="11">
        <f t="shared" si="0"/>
        <v>0</v>
      </c>
      <c r="AD19" s="11">
        <f t="shared" si="1"/>
        <v>0</v>
      </c>
      <c r="AE19" s="11">
        <f t="shared" si="2"/>
        <v>0</v>
      </c>
      <c r="AG19" s="11">
        <v>21</v>
      </c>
      <c r="AH19" s="11">
        <f>F19*0.861685469948207</f>
        <v>0</v>
      </c>
      <c r="AI19" s="11">
        <f>F19*(1-0.861685469948207)</f>
        <v>0</v>
      </c>
      <c r="AJ19" s="3" t="s">
        <v>106</v>
      </c>
      <c r="AO19" s="11">
        <f t="shared" si="16"/>
        <v>0</v>
      </c>
      <c r="AP19" s="11">
        <f t="shared" si="3"/>
        <v>0</v>
      </c>
      <c r="AQ19" s="11">
        <f t="shared" si="4"/>
        <v>0</v>
      </c>
      <c r="AR19" s="3" t="s">
        <v>15</v>
      </c>
      <c r="AS19" s="3" t="s">
        <v>87</v>
      </c>
      <c r="AT19" s="19" t="s">
        <v>78</v>
      </c>
      <c r="AV19" s="11">
        <f t="shared" si="17"/>
        <v>0</v>
      </c>
      <c r="AW19" s="11">
        <f t="shared" si="5"/>
        <v>0</v>
      </c>
      <c r="AX19" s="11">
        <v>0</v>
      </c>
      <c r="AY19" s="11" t="e">
        <f>#REF!</f>
        <v>#REF!</v>
      </c>
      <c r="BA19" s="11">
        <f t="shared" si="6"/>
        <v>0</v>
      </c>
      <c r="BB19" s="11">
        <f t="shared" si="7"/>
        <v>0</v>
      </c>
      <c r="BC19" s="11">
        <f t="shared" si="18"/>
        <v>0</v>
      </c>
      <c r="BD19" s="11"/>
      <c r="BE19" s="11">
        <v>766</v>
      </c>
    </row>
    <row r="20" spans="1:57" ht="15" customHeight="1">
      <c r="A20" s="6" t="s">
        <v>40</v>
      </c>
      <c r="B20" s="87" t="s">
        <v>127</v>
      </c>
      <c r="C20" s="38"/>
      <c r="D20" s="26" t="s">
        <v>118</v>
      </c>
      <c r="E20" s="11">
        <v>1</v>
      </c>
      <c r="F20" s="11"/>
      <c r="G20" s="11"/>
      <c r="S20" s="11">
        <f t="shared" si="8"/>
        <v>0</v>
      </c>
      <c r="U20" s="11">
        <f t="shared" si="9"/>
        <v>0</v>
      </c>
      <c r="V20" s="11">
        <f t="shared" si="10"/>
        <v>0</v>
      </c>
      <c r="W20" s="11">
        <f t="shared" si="11"/>
        <v>0</v>
      </c>
      <c r="X20" s="11">
        <f t="shared" si="12"/>
        <v>0</v>
      </c>
      <c r="Y20" s="11">
        <f t="shared" si="13"/>
        <v>0</v>
      </c>
      <c r="Z20" s="11">
        <f t="shared" si="14"/>
        <v>0</v>
      </c>
      <c r="AA20" s="11">
        <f t="shared" si="15"/>
        <v>0</v>
      </c>
      <c r="AB20" s="19" t="s">
        <v>72</v>
      </c>
      <c r="AC20" s="11">
        <f t="shared" si="0"/>
        <v>0</v>
      </c>
      <c r="AD20" s="11">
        <f t="shared" si="1"/>
        <v>0</v>
      </c>
      <c r="AE20" s="11">
        <f t="shared" si="2"/>
        <v>0</v>
      </c>
      <c r="AG20" s="11">
        <v>21</v>
      </c>
      <c r="AH20" s="11">
        <f>F20*0.856649429991814</f>
        <v>0</v>
      </c>
      <c r="AI20" s="11">
        <f>F20*(1-0.856649429991814)</f>
        <v>0</v>
      </c>
      <c r="AJ20" s="3" t="s">
        <v>106</v>
      </c>
      <c r="AO20" s="11">
        <f t="shared" si="16"/>
        <v>0</v>
      </c>
      <c r="AP20" s="11">
        <f t="shared" si="3"/>
        <v>0</v>
      </c>
      <c r="AQ20" s="11">
        <f t="shared" si="4"/>
        <v>0</v>
      </c>
      <c r="AR20" s="3" t="s">
        <v>15</v>
      </c>
      <c r="AS20" s="3" t="s">
        <v>87</v>
      </c>
      <c r="AT20" s="19" t="s">
        <v>78</v>
      </c>
      <c r="AV20" s="11">
        <f t="shared" si="17"/>
        <v>0</v>
      </c>
      <c r="AW20" s="11">
        <f t="shared" si="5"/>
        <v>0</v>
      </c>
      <c r="AX20" s="11">
        <v>0</v>
      </c>
      <c r="AY20" s="11" t="e">
        <f>#REF!</f>
        <v>#REF!</v>
      </c>
      <c r="BA20" s="11">
        <f t="shared" si="6"/>
        <v>0</v>
      </c>
      <c r="BB20" s="11">
        <f t="shared" si="7"/>
        <v>0</v>
      </c>
      <c r="BC20" s="11">
        <f t="shared" si="18"/>
        <v>0</v>
      </c>
      <c r="BD20" s="11"/>
      <c r="BE20" s="11">
        <v>766</v>
      </c>
    </row>
    <row r="21" spans="1:57" ht="24.75" customHeight="1">
      <c r="A21" s="6" t="s">
        <v>58</v>
      </c>
      <c r="B21" s="86" t="s">
        <v>128</v>
      </c>
      <c r="C21" s="43"/>
      <c r="D21" s="26" t="s">
        <v>118</v>
      </c>
      <c r="E21" s="11">
        <v>1</v>
      </c>
      <c r="F21" s="11"/>
      <c r="G21" s="11"/>
      <c r="S21" s="11">
        <f t="shared" si="8"/>
        <v>0</v>
      </c>
      <c r="U21" s="11">
        <f t="shared" si="9"/>
        <v>0</v>
      </c>
      <c r="V21" s="11">
        <f t="shared" si="10"/>
        <v>0</v>
      </c>
      <c r="W21" s="11">
        <f t="shared" si="11"/>
        <v>0</v>
      </c>
      <c r="X21" s="11">
        <f t="shared" si="12"/>
        <v>0</v>
      </c>
      <c r="Y21" s="11">
        <f t="shared" si="13"/>
        <v>0</v>
      </c>
      <c r="Z21" s="11">
        <f t="shared" si="14"/>
        <v>0</v>
      </c>
      <c r="AA21" s="11">
        <f t="shared" si="15"/>
        <v>0</v>
      </c>
      <c r="AB21" s="19" t="s">
        <v>72</v>
      </c>
      <c r="AC21" s="11">
        <f t="shared" si="0"/>
        <v>0</v>
      </c>
      <c r="AD21" s="11">
        <f t="shared" si="1"/>
        <v>0</v>
      </c>
      <c r="AE21" s="11">
        <f t="shared" si="2"/>
        <v>0</v>
      </c>
      <c r="AG21" s="11">
        <v>21</v>
      </c>
      <c r="AH21" s="11">
        <f>F21*0.0625081663051716</f>
        <v>0</v>
      </c>
      <c r="AI21" s="11">
        <f>F21*(1-0.0625081663051716)</f>
        <v>0</v>
      </c>
      <c r="AJ21" s="3" t="s">
        <v>106</v>
      </c>
      <c r="AO21" s="11">
        <f t="shared" si="16"/>
        <v>0</v>
      </c>
      <c r="AP21" s="11">
        <f t="shared" si="3"/>
        <v>0</v>
      </c>
      <c r="AQ21" s="11">
        <f t="shared" si="4"/>
        <v>0</v>
      </c>
      <c r="AR21" s="3" t="s">
        <v>15</v>
      </c>
      <c r="AS21" s="3" t="s">
        <v>87</v>
      </c>
      <c r="AT21" s="19" t="s">
        <v>78</v>
      </c>
      <c r="AV21" s="11">
        <f t="shared" si="17"/>
        <v>0</v>
      </c>
      <c r="AW21" s="11">
        <f t="shared" si="5"/>
        <v>0</v>
      </c>
      <c r="AX21" s="11">
        <v>0</v>
      </c>
      <c r="AY21" s="11" t="e">
        <f>#REF!</f>
        <v>#REF!</v>
      </c>
      <c r="BA21" s="11">
        <f t="shared" si="6"/>
        <v>0</v>
      </c>
      <c r="BB21" s="11">
        <f t="shared" si="7"/>
        <v>0</v>
      </c>
      <c r="BC21" s="11">
        <f t="shared" si="18"/>
        <v>0</v>
      </c>
      <c r="BD21" s="11"/>
      <c r="BE21" s="11">
        <v>766</v>
      </c>
    </row>
    <row r="22" spans="1:57" ht="15" customHeight="1">
      <c r="A22" s="6" t="s">
        <v>88</v>
      </c>
      <c r="B22" s="87" t="s">
        <v>139</v>
      </c>
      <c r="C22" s="38"/>
      <c r="D22" s="26" t="s">
        <v>118</v>
      </c>
      <c r="E22" s="11">
        <v>1</v>
      </c>
      <c r="F22" s="11"/>
      <c r="G22" s="11"/>
      <c r="S22" s="11">
        <f t="shared" si="8"/>
        <v>0</v>
      </c>
      <c r="U22" s="11">
        <f t="shared" si="9"/>
        <v>0</v>
      </c>
      <c r="V22" s="11">
        <f t="shared" si="10"/>
        <v>0</v>
      </c>
      <c r="W22" s="11">
        <f t="shared" si="11"/>
        <v>0</v>
      </c>
      <c r="X22" s="11">
        <f t="shared" si="12"/>
        <v>0</v>
      </c>
      <c r="Y22" s="11">
        <f t="shared" si="13"/>
        <v>0</v>
      </c>
      <c r="Z22" s="11">
        <f t="shared" si="14"/>
        <v>0</v>
      </c>
      <c r="AA22" s="11">
        <f t="shared" si="15"/>
        <v>0</v>
      </c>
      <c r="AB22" s="19" t="s">
        <v>72</v>
      </c>
      <c r="AC22" s="11">
        <f t="shared" si="0"/>
        <v>0</v>
      </c>
      <c r="AD22" s="11">
        <f t="shared" si="1"/>
        <v>0</v>
      </c>
      <c r="AE22" s="11">
        <f t="shared" si="2"/>
        <v>0</v>
      </c>
      <c r="AG22" s="11">
        <v>21</v>
      </c>
      <c r="AH22" s="11">
        <f>F22*0.0685247093023256</f>
        <v>0</v>
      </c>
      <c r="AI22" s="11">
        <f>F22*(1-0.0685247093023256)</f>
        <v>0</v>
      </c>
      <c r="AJ22" s="3" t="s">
        <v>106</v>
      </c>
      <c r="AO22" s="11">
        <f t="shared" si="16"/>
        <v>0</v>
      </c>
      <c r="AP22" s="11">
        <f t="shared" si="3"/>
        <v>0</v>
      </c>
      <c r="AQ22" s="11">
        <f t="shared" si="4"/>
        <v>0</v>
      </c>
      <c r="AR22" s="3" t="s">
        <v>15</v>
      </c>
      <c r="AS22" s="3" t="s">
        <v>87</v>
      </c>
      <c r="AT22" s="19" t="s">
        <v>78</v>
      </c>
      <c r="AV22" s="11">
        <f t="shared" si="17"/>
        <v>0</v>
      </c>
      <c r="AW22" s="11">
        <f t="shared" si="5"/>
        <v>0</v>
      </c>
      <c r="AX22" s="11">
        <v>0</v>
      </c>
      <c r="AY22" s="11" t="e">
        <f>#REF!</f>
        <v>#REF!</v>
      </c>
      <c r="BA22" s="11">
        <f t="shared" si="6"/>
        <v>0</v>
      </c>
      <c r="BB22" s="11">
        <f t="shared" si="7"/>
        <v>0</v>
      </c>
      <c r="BC22" s="11">
        <f t="shared" si="18"/>
        <v>0</v>
      </c>
      <c r="BD22" s="11"/>
      <c r="BE22" s="11">
        <v>766</v>
      </c>
    </row>
    <row r="23" spans="1:57" ht="15" customHeight="1">
      <c r="A23" s="6" t="s">
        <v>75</v>
      </c>
      <c r="B23" s="87" t="s">
        <v>138</v>
      </c>
      <c r="C23" s="38"/>
      <c r="D23" s="26" t="s">
        <v>118</v>
      </c>
      <c r="E23" s="11">
        <v>1</v>
      </c>
      <c r="F23" s="11"/>
      <c r="G23" s="11"/>
      <c r="S23" s="11">
        <f aca="true" t="shared" si="19" ref="S23:S33">IF(AJ23="5",BC23,0)</f>
        <v>0</v>
      </c>
      <c r="U23" s="11">
        <f aca="true" t="shared" si="20" ref="U23:U33">IF(AJ23="1",BA23,0)</f>
        <v>0</v>
      </c>
      <c r="V23" s="11">
        <f aca="true" t="shared" si="21" ref="V23:V33">IF(AJ23="1",BB23,0)</f>
        <v>0</v>
      </c>
      <c r="W23" s="11">
        <f aca="true" t="shared" si="22" ref="W23:W33">IF(AJ23="7",BA23,0)</f>
        <v>0</v>
      </c>
      <c r="X23" s="11">
        <f aca="true" t="shared" si="23" ref="X23:X33">IF(AJ23="7",BB23,0)</f>
        <v>0</v>
      </c>
      <c r="Y23" s="11">
        <f aca="true" t="shared" si="24" ref="Y23:Y33">IF(AJ23="2",BA23,0)</f>
        <v>0</v>
      </c>
      <c r="Z23" s="11">
        <f aca="true" t="shared" si="25" ref="Z23:Z33">IF(AJ23="2",BB23,0)</f>
        <v>0</v>
      </c>
      <c r="AA23" s="11">
        <f aca="true" t="shared" si="26" ref="AA23:AA33">IF(AJ23="0",BC23,0)</f>
        <v>0</v>
      </c>
      <c r="AB23" s="19" t="s">
        <v>72</v>
      </c>
      <c r="AC23" s="11">
        <f t="shared" si="0"/>
        <v>0</v>
      </c>
      <c r="AD23" s="11">
        <f t="shared" si="1"/>
        <v>0</v>
      </c>
      <c r="AE23" s="11">
        <f t="shared" si="2"/>
        <v>0</v>
      </c>
      <c r="AG23" s="11">
        <v>21</v>
      </c>
      <c r="AH23" s="11">
        <f>F23*0.405729550478998</f>
        <v>0</v>
      </c>
      <c r="AI23" s="11">
        <f>F23*(1-0.405729550478998)</f>
        <v>0</v>
      </c>
      <c r="AJ23" s="3" t="s">
        <v>105</v>
      </c>
      <c r="AO23" s="11">
        <f aca="true" t="shared" si="27" ref="AO23:AO33">AP23+AQ23</f>
        <v>0</v>
      </c>
      <c r="AP23" s="11">
        <f t="shared" si="3"/>
        <v>0</v>
      </c>
      <c r="AQ23" s="11">
        <f t="shared" si="4"/>
        <v>0</v>
      </c>
      <c r="AR23" s="3" t="s">
        <v>114</v>
      </c>
      <c r="AS23" s="3" t="s">
        <v>2</v>
      </c>
      <c r="AT23" s="19" t="s">
        <v>78</v>
      </c>
      <c r="AV23" s="11">
        <f aca="true" t="shared" si="28" ref="AV23:AV33">AP23+AQ23</f>
        <v>0</v>
      </c>
      <c r="AW23" s="11">
        <f t="shared" si="5"/>
        <v>0</v>
      </c>
      <c r="AX23" s="11">
        <v>0</v>
      </c>
      <c r="AY23" s="11" t="e">
        <f>#REF!</f>
        <v>#REF!</v>
      </c>
      <c r="BA23" s="11">
        <f t="shared" si="6"/>
        <v>0</v>
      </c>
      <c r="BB23" s="11">
        <f t="shared" si="7"/>
        <v>0</v>
      </c>
      <c r="BC23" s="11">
        <f aca="true" t="shared" si="29" ref="BC23:BC33">E23*F23</f>
        <v>0</v>
      </c>
      <c r="BD23" s="11"/>
      <c r="BE23" s="11">
        <v>94</v>
      </c>
    </row>
    <row r="24" spans="1:57" ht="15" customHeight="1">
      <c r="A24" s="6" t="s">
        <v>31</v>
      </c>
      <c r="B24" s="87" t="s">
        <v>137</v>
      </c>
      <c r="C24" s="38"/>
      <c r="D24" s="26" t="s">
        <v>118</v>
      </c>
      <c r="E24" s="11">
        <v>1</v>
      </c>
      <c r="F24" s="11"/>
      <c r="G24" s="11"/>
      <c r="S24" s="11">
        <f t="shared" si="19"/>
        <v>0</v>
      </c>
      <c r="U24" s="11">
        <f t="shared" si="20"/>
        <v>0</v>
      </c>
      <c r="V24" s="11">
        <f t="shared" si="21"/>
        <v>0</v>
      </c>
      <c r="W24" s="11">
        <f t="shared" si="22"/>
        <v>0</v>
      </c>
      <c r="X24" s="11">
        <f t="shared" si="23"/>
        <v>0</v>
      </c>
      <c r="Y24" s="11">
        <f t="shared" si="24"/>
        <v>0</v>
      </c>
      <c r="Z24" s="11">
        <f t="shared" si="25"/>
        <v>0</v>
      </c>
      <c r="AA24" s="11">
        <f t="shared" si="26"/>
        <v>0</v>
      </c>
      <c r="AB24" s="19" t="s">
        <v>72</v>
      </c>
      <c r="AC24" s="11">
        <f t="shared" si="0"/>
        <v>0</v>
      </c>
      <c r="AD24" s="11">
        <f t="shared" si="1"/>
        <v>0</v>
      </c>
      <c r="AE24" s="11">
        <f t="shared" si="2"/>
        <v>0</v>
      </c>
      <c r="AG24" s="11">
        <v>21</v>
      </c>
      <c r="AH24" s="11">
        <f>F24*0.200474630523394</f>
        <v>0</v>
      </c>
      <c r="AI24" s="11">
        <f>F24*(1-0.200474630523394)</f>
        <v>0</v>
      </c>
      <c r="AJ24" s="3" t="s">
        <v>105</v>
      </c>
      <c r="AO24" s="11">
        <f t="shared" si="27"/>
        <v>0</v>
      </c>
      <c r="AP24" s="11">
        <f t="shared" si="3"/>
        <v>0</v>
      </c>
      <c r="AQ24" s="11">
        <f t="shared" si="4"/>
        <v>0</v>
      </c>
      <c r="AR24" s="3" t="s">
        <v>93</v>
      </c>
      <c r="AS24" s="3" t="s">
        <v>2</v>
      </c>
      <c r="AT24" s="19" t="s">
        <v>78</v>
      </c>
      <c r="AV24" s="11">
        <f t="shared" si="28"/>
        <v>0</v>
      </c>
      <c r="AW24" s="11">
        <f t="shared" si="5"/>
        <v>0</v>
      </c>
      <c r="AX24" s="11">
        <v>0</v>
      </c>
      <c r="AY24" s="11" t="e">
        <f>#REF!</f>
        <v>#REF!</v>
      </c>
      <c r="BA24" s="11">
        <f t="shared" si="6"/>
        <v>0</v>
      </c>
      <c r="BB24" s="11">
        <f t="shared" si="7"/>
        <v>0</v>
      </c>
      <c r="BC24" s="11">
        <f t="shared" si="29"/>
        <v>0</v>
      </c>
      <c r="BD24" s="11"/>
      <c r="BE24" s="11">
        <v>96</v>
      </c>
    </row>
    <row r="25" spans="1:57" ht="15" customHeight="1">
      <c r="A25" s="6" t="s">
        <v>59</v>
      </c>
      <c r="B25" s="87" t="s">
        <v>136</v>
      </c>
      <c r="C25" s="38"/>
      <c r="D25" s="26" t="s">
        <v>118</v>
      </c>
      <c r="E25" s="11">
        <v>1</v>
      </c>
      <c r="F25" s="11"/>
      <c r="G25" s="11"/>
      <c r="S25" s="11">
        <f t="shared" si="19"/>
        <v>0</v>
      </c>
      <c r="U25" s="11">
        <f t="shared" si="20"/>
        <v>0</v>
      </c>
      <c r="V25" s="11">
        <f t="shared" si="21"/>
        <v>0</v>
      </c>
      <c r="W25" s="11">
        <f t="shared" si="22"/>
        <v>0</v>
      </c>
      <c r="X25" s="11">
        <f t="shared" si="23"/>
        <v>0</v>
      </c>
      <c r="Y25" s="11">
        <f t="shared" si="24"/>
        <v>0</v>
      </c>
      <c r="Z25" s="11">
        <f t="shared" si="25"/>
        <v>0</v>
      </c>
      <c r="AA25" s="11">
        <f t="shared" si="26"/>
        <v>0</v>
      </c>
      <c r="AB25" s="19" t="s">
        <v>72</v>
      </c>
      <c r="AC25" s="11">
        <f t="shared" si="0"/>
        <v>0</v>
      </c>
      <c r="AD25" s="11">
        <f t="shared" si="1"/>
        <v>0</v>
      </c>
      <c r="AE25" s="11">
        <f t="shared" si="2"/>
        <v>0</v>
      </c>
      <c r="AG25" s="11">
        <v>21</v>
      </c>
      <c r="AH25" s="11">
        <f>F25*0.153846153846154</f>
        <v>0</v>
      </c>
      <c r="AI25" s="11">
        <f>F25*(1-0.153846153846154)</f>
        <v>0</v>
      </c>
      <c r="AJ25" s="3" t="s">
        <v>105</v>
      </c>
      <c r="AO25" s="11">
        <f t="shared" si="27"/>
        <v>0</v>
      </c>
      <c r="AP25" s="11">
        <f t="shared" si="3"/>
        <v>0</v>
      </c>
      <c r="AQ25" s="11">
        <f t="shared" si="4"/>
        <v>0</v>
      </c>
      <c r="AR25" s="3" t="s">
        <v>93</v>
      </c>
      <c r="AS25" s="3" t="s">
        <v>2</v>
      </c>
      <c r="AT25" s="19" t="s">
        <v>78</v>
      </c>
      <c r="AV25" s="11">
        <f t="shared" si="28"/>
        <v>0</v>
      </c>
      <c r="AW25" s="11">
        <f t="shared" si="5"/>
        <v>0</v>
      </c>
      <c r="AX25" s="11">
        <v>0</v>
      </c>
      <c r="AY25" s="11" t="e">
        <f>#REF!</f>
        <v>#REF!</v>
      </c>
      <c r="BA25" s="11">
        <f t="shared" si="6"/>
        <v>0</v>
      </c>
      <c r="BB25" s="11">
        <f t="shared" si="7"/>
        <v>0</v>
      </c>
      <c r="BC25" s="11">
        <f t="shared" si="29"/>
        <v>0</v>
      </c>
      <c r="BD25" s="11"/>
      <c r="BE25" s="11">
        <v>96</v>
      </c>
    </row>
    <row r="26" spans="1:57" ht="15" customHeight="1">
      <c r="A26" s="6" t="s">
        <v>41</v>
      </c>
      <c r="B26" s="87" t="s">
        <v>135</v>
      </c>
      <c r="C26" s="38"/>
      <c r="D26" s="26" t="s">
        <v>118</v>
      </c>
      <c r="E26" s="11">
        <v>1</v>
      </c>
      <c r="F26" s="11"/>
      <c r="G26" s="11"/>
      <c r="S26" s="11">
        <f t="shared" si="19"/>
        <v>0</v>
      </c>
      <c r="U26" s="11">
        <f t="shared" si="20"/>
        <v>0</v>
      </c>
      <c r="V26" s="11">
        <f t="shared" si="21"/>
        <v>0</v>
      </c>
      <c r="W26" s="11">
        <f t="shared" si="22"/>
        <v>0</v>
      </c>
      <c r="X26" s="11">
        <f t="shared" si="23"/>
        <v>0</v>
      </c>
      <c r="Y26" s="11">
        <f t="shared" si="24"/>
        <v>0</v>
      </c>
      <c r="Z26" s="11">
        <f t="shared" si="25"/>
        <v>0</v>
      </c>
      <c r="AA26" s="11">
        <f t="shared" si="26"/>
        <v>0</v>
      </c>
      <c r="AB26" s="19" t="s">
        <v>72</v>
      </c>
      <c r="AC26" s="11">
        <f t="shared" si="0"/>
        <v>0</v>
      </c>
      <c r="AD26" s="11">
        <f t="shared" si="1"/>
        <v>0</v>
      </c>
      <c r="AE26" s="11">
        <f t="shared" si="2"/>
        <v>0</v>
      </c>
      <c r="AG26" s="11">
        <v>21</v>
      </c>
      <c r="AH26" s="11">
        <f>F26*0</f>
        <v>0</v>
      </c>
      <c r="AI26" s="11">
        <f>F26*(1-0)</f>
        <v>0</v>
      </c>
      <c r="AJ26" s="3" t="s">
        <v>105</v>
      </c>
      <c r="AO26" s="11">
        <f t="shared" si="27"/>
        <v>0</v>
      </c>
      <c r="AP26" s="11">
        <f t="shared" si="3"/>
        <v>0</v>
      </c>
      <c r="AQ26" s="11">
        <f t="shared" si="4"/>
        <v>0</v>
      </c>
      <c r="AR26" s="3" t="s">
        <v>49</v>
      </c>
      <c r="AS26" s="3" t="s">
        <v>46</v>
      </c>
      <c r="AT26" s="19" t="s">
        <v>78</v>
      </c>
      <c r="AV26" s="11">
        <f t="shared" si="28"/>
        <v>0</v>
      </c>
      <c r="AW26" s="11">
        <f t="shared" si="5"/>
        <v>0</v>
      </c>
      <c r="AX26" s="11">
        <v>0</v>
      </c>
      <c r="AY26" s="11" t="e">
        <f>#REF!</f>
        <v>#REF!</v>
      </c>
      <c r="BA26" s="11">
        <f t="shared" si="6"/>
        <v>0</v>
      </c>
      <c r="BB26" s="11">
        <f t="shared" si="7"/>
        <v>0</v>
      </c>
      <c r="BC26" s="11">
        <f t="shared" si="29"/>
        <v>0</v>
      </c>
      <c r="BD26" s="11"/>
      <c r="BE26" s="11"/>
    </row>
    <row r="27" spans="1:57" ht="15" customHeight="1">
      <c r="A27" s="6" t="s">
        <v>10</v>
      </c>
      <c r="B27" s="87" t="s">
        <v>134</v>
      </c>
      <c r="C27" s="38"/>
      <c r="D27" s="26" t="s">
        <v>118</v>
      </c>
      <c r="E27" s="11">
        <v>1</v>
      </c>
      <c r="F27" s="11"/>
      <c r="G27" s="11"/>
      <c r="S27" s="11">
        <f t="shared" si="19"/>
        <v>0</v>
      </c>
      <c r="U27" s="11">
        <f t="shared" si="20"/>
        <v>0</v>
      </c>
      <c r="V27" s="11">
        <f t="shared" si="21"/>
        <v>0</v>
      </c>
      <c r="W27" s="11">
        <f t="shared" si="22"/>
        <v>0</v>
      </c>
      <c r="X27" s="11">
        <f t="shared" si="23"/>
        <v>0</v>
      </c>
      <c r="Y27" s="11">
        <f t="shared" si="24"/>
        <v>0</v>
      </c>
      <c r="Z27" s="11">
        <f t="shared" si="25"/>
        <v>0</v>
      </c>
      <c r="AA27" s="11">
        <f t="shared" si="26"/>
        <v>0</v>
      </c>
      <c r="AB27" s="19" t="s">
        <v>72</v>
      </c>
      <c r="AC27" s="11">
        <f t="shared" si="0"/>
        <v>0</v>
      </c>
      <c r="AD27" s="11">
        <f t="shared" si="1"/>
        <v>0</v>
      </c>
      <c r="AE27" s="11">
        <f t="shared" si="2"/>
        <v>0</v>
      </c>
      <c r="AG27" s="11">
        <v>21</v>
      </c>
      <c r="AH27" s="11">
        <f>F27*0</f>
        <v>0</v>
      </c>
      <c r="AI27" s="11">
        <f>F27*(1-0)</f>
        <v>0</v>
      </c>
      <c r="AJ27" s="3" t="s">
        <v>105</v>
      </c>
      <c r="AO27" s="11">
        <f t="shared" si="27"/>
        <v>0</v>
      </c>
      <c r="AP27" s="11">
        <f t="shared" si="3"/>
        <v>0</v>
      </c>
      <c r="AQ27" s="11">
        <f t="shared" si="4"/>
        <v>0</v>
      </c>
      <c r="AR27" s="3" t="s">
        <v>49</v>
      </c>
      <c r="AS27" s="3" t="s">
        <v>46</v>
      </c>
      <c r="AT27" s="19" t="s">
        <v>78</v>
      </c>
      <c r="AV27" s="11">
        <f t="shared" si="28"/>
        <v>0</v>
      </c>
      <c r="AW27" s="11">
        <f t="shared" si="5"/>
        <v>0</v>
      </c>
      <c r="AX27" s="11">
        <v>0</v>
      </c>
      <c r="AY27" s="11" t="e">
        <f>#REF!</f>
        <v>#REF!</v>
      </c>
      <c r="BA27" s="11">
        <f t="shared" si="6"/>
        <v>0</v>
      </c>
      <c r="BB27" s="11">
        <f t="shared" si="7"/>
        <v>0</v>
      </c>
      <c r="BC27" s="11">
        <f t="shared" si="29"/>
        <v>0</v>
      </c>
      <c r="BD27" s="11"/>
      <c r="BE27" s="11"/>
    </row>
    <row r="28" spans="1:57" ht="15" customHeight="1">
      <c r="A28" s="6" t="s">
        <v>73</v>
      </c>
      <c r="B28" s="87" t="s">
        <v>133</v>
      </c>
      <c r="C28" s="38"/>
      <c r="D28" s="26" t="s">
        <v>118</v>
      </c>
      <c r="E28" s="11">
        <v>1</v>
      </c>
      <c r="F28" s="11"/>
      <c r="G28" s="11"/>
      <c r="S28" s="11">
        <f t="shared" si="19"/>
        <v>0</v>
      </c>
      <c r="U28" s="11">
        <f t="shared" si="20"/>
        <v>0</v>
      </c>
      <c r="V28" s="11">
        <f t="shared" si="21"/>
        <v>0</v>
      </c>
      <c r="W28" s="11">
        <f t="shared" si="22"/>
        <v>0</v>
      </c>
      <c r="X28" s="11">
        <f t="shared" si="23"/>
        <v>0</v>
      </c>
      <c r="Y28" s="11">
        <f t="shared" si="24"/>
        <v>0</v>
      </c>
      <c r="Z28" s="11">
        <f t="shared" si="25"/>
        <v>0</v>
      </c>
      <c r="AA28" s="11">
        <f t="shared" si="26"/>
        <v>0</v>
      </c>
      <c r="AB28" s="19" t="s">
        <v>72</v>
      </c>
      <c r="AC28" s="11">
        <f t="shared" si="0"/>
        <v>0</v>
      </c>
      <c r="AD28" s="11">
        <f t="shared" si="1"/>
        <v>0</v>
      </c>
      <c r="AE28" s="11">
        <f t="shared" si="2"/>
        <v>0</v>
      </c>
      <c r="AG28" s="11">
        <v>21</v>
      </c>
      <c r="AH28" s="11">
        <f>F28*0.291550433687745</f>
        <v>0</v>
      </c>
      <c r="AI28" s="11">
        <f>F28*(1-0.291550433687745)</f>
        <v>0</v>
      </c>
      <c r="AJ28" s="3" t="s">
        <v>105</v>
      </c>
      <c r="AO28" s="11">
        <f t="shared" si="27"/>
        <v>0</v>
      </c>
      <c r="AP28" s="11">
        <f t="shared" si="3"/>
        <v>0</v>
      </c>
      <c r="AQ28" s="11">
        <f t="shared" si="4"/>
        <v>0</v>
      </c>
      <c r="AR28" s="3" t="s">
        <v>62</v>
      </c>
      <c r="AS28" s="3" t="s">
        <v>101</v>
      </c>
      <c r="AT28" s="19" t="s">
        <v>78</v>
      </c>
      <c r="AV28" s="11">
        <f t="shared" si="28"/>
        <v>0</v>
      </c>
      <c r="AW28" s="11">
        <f t="shared" si="5"/>
        <v>0</v>
      </c>
      <c r="AX28" s="11">
        <v>0</v>
      </c>
      <c r="AY28" s="11" t="e">
        <f>#REF!</f>
        <v>#REF!</v>
      </c>
      <c r="BA28" s="11">
        <f t="shared" si="6"/>
        <v>0</v>
      </c>
      <c r="BB28" s="11">
        <f t="shared" si="7"/>
        <v>0</v>
      </c>
      <c r="BC28" s="11">
        <f t="shared" si="29"/>
        <v>0</v>
      </c>
      <c r="BD28" s="11"/>
      <c r="BE28" s="11">
        <v>61</v>
      </c>
    </row>
    <row r="29" spans="1:57" ht="15" customHeight="1">
      <c r="A29" s="6" t="s">
        <v>84</v>
      </c>
      <c r="B29" s="87" t="s">
        <v>132</v>
      </c>
      <c r="C29" s="38"/>
      <c r="D29" s="26" t="s">
        <v>118</v>
      </c>
      <c r="E29" s="11">
        <v>1</v>
      </c>
      <c r="F29" s="11"/>
      <c r="G29" s="11"/>
      <c r="S29" s="11">
        <f t="shared" si="19"/>
        <v>0</v>
      </c>
      <c r="U29" s="11">
        <f t="shared" si="20"/>
        <v>0</v>
      </c>
      <c r="V29" s="11">
        <f t="shared" si="21"/>
        <v>0</v>
      </c>
      <c r="W29" s="11">
        <f t="shared" si="22"/>
        <v>0</v>
      </c>
      <c r="X29" s="11">
        <f t="shared" si="23"/>
        <v>0</v>
      </c>
      <c r="Y29" s="11">
        <f t="shared" si="24"/>
        <v>0</v>
      </c>
      <c r="Z29" s="11">
        <f t="shared" si="25"/>
        <v>0</v>
      </c>
      <c r="AA29" s="11">
        <f t="shared" si="26"/>
        <v>0</v>
      </c>
      <c r="AB29" s="19" t="s">
        <v>72</v>
      </c>
      <c r="AC29" s="11">
        <f t="shared" si="0"/>
        <v>0</v>
      </c>
      <c r="AD29" s="11">
        <f t="shared" si="1"/>
        <v>0</v>
      </c>
      <c r="AE29" s="11">
        <f t="shared" si="2"/>
        <v>0</v>
      </c>
      <c r="AG29" s="11">
        <v>21</v>
      </c>
      <c r="AH29" s="11">
        <f>F29*0.494623655913978</f>
        <v>0</v>
      </c>
      <c r="AI29" s="11">
        <f>F29*(1-0.494623655913978)</f>
        <v>0</v>
      </c>
      <c r="AJ29" s="3" t="s">
        <v>105</v>
      </c>
      <c r="AO29" s="11">
        <f t="shared" si="27"/>
        <v>0</v>
      </c>
      <c r="AP29" s="11">
        <f t="shared" si="3"/>
        <v>0</v>
      </c>
      <c r="AQ29" s="11">
        <f t="shared" si="4"/>
        <v>0</v>
      </c>
      <c r="AR29" s="3" t="s">
        <v>48</v>
      </c>
      <c r="AS29" s="3" t="s">
        <v>101</v>
      </c>
      <c r="AT29" s="19" t="s">
        <v>78</v>
      </c>
      <c r="AV29" s="11">
        <f t="shared" si="28"/>
        <v>0</v>
      </c>
      <c r="AW29" s="11">
        <f t="shared" si="5"/>
        <v>0</v>
      </c>
      <c r="AX29" s="11">
        <v>0</v>
      </c>
      <c r="AY29" s="11" t="e">
        <f>#REF!</f>
        <v>#REF!</v>
      </c>
      <c r="BA29" s="11">
        <f t="shared" si="6"/>
        <v>0</v>
      </c>
      <c r="BB29" s="11">
        <f t="shared" si="7"/>
        <v>0</v>
      </c>
      <c r="BC29" s="11">
        <f t="shared" si="29"/>
        <v>0</v>
      </c>
      <c r="BD29" s="11"/>
      <c r="BE29" s="11">
        <v>62</v>
      </c>
    </row>
    <row r="30" spans="1:57" ht="25.5" customHeight="1">
      <c r="A30" s="31">
        <v>19</v>
      </c>
      <c r="B30" s="86" t="s">
        <v>140</v>
      </c>
      <c r="C30" s="43"/>
      <c r="D30" s="32" t="s">
        <v>141</v>
      </c>
      <c r="E30" s="11">
        <v>4</v>
      </c>
      <c r="F30" s="11"/>
      <c r="G30" s="11"/>
      <c r="S30" s="11">
        <f>IF(AJ30="5",BC30,0)</f>
        <v>0</v>
      </c>
      <c r="U30" s="11">
        <f>IF(AJ30="1",BA30,0)</f>
        <v>0</v>
      </c>
      <c r="V30" s="11">
        <f>IF(AJ30="1",BB30,0)</f>
        <v>0</v>
      </c>
      <c r="W30" s="11">
        <f>IF(AJ30="7",BA30,0)</f>
        <v>0</v>
      </c>
      <c r="X30" s="11">
        <f>IF(AJ30="7",BB30,0)</f>
        <v>0</v>
      </c>
      <c r="Y30" s="11">
        <f>IF(AJ30="2",BA30,0)</f>
        <v>0</v>
      </c>
      <c r="Z30" s="11">
        <f>IF(AJ30="2",BB30,0)</f>
        <v>0</v>
      </c>
      <c r="AA30" s="11">
        <f>IF(AJ30="0",BC30,0)</f>
        <v>0</v>
      </c>
      <c r="AB30" s="19" t="s">
        <v>72</v>
      </c>
      <c r="AC30" s="11">
        <f>IF(AG30=0,G30,0)</f>
        <v>0</v>
      </c>
      <c r="AD30" s="11">
        <f>IF(AG30=15,G30,0)</f>
        <v>0</v>
      </c>
      <c r="AE30" s="11">
        <f>IF(AG30=21,G30,0)</f>
        <v>0</v>
      </c>
      <c r="AG30" s="11">
        <v>21</v>
      </c>
      <c r="AH30" s="11">
        <f>F30*0.494623655913978</f>
        <v>0</v>
      </c>
      <c r="AI30" s="11">
        <f>F30*(1-0.494623655913978)</f>
        <v>0</v>
      </c>
      <c r="AJ30" s="3" t="s">
        <v>105</v>
      </c>
      <c r="AO30" s="11">
        <f>AP30+AQ30</f>
        <v>0</v>
      </c>
      <c r="AP30" s="11">
        <f>E30*AH30</f>
        <v>0</v>
      </c>
      <c r="AQ30" s="11">
        <f>E30*AI30</f>
        <v>0</v>
      </c>
      <c r="AR30" s="3" t="s">
        <v>48</v>
      </c>
      <c r="AS30" s="3" t="s">
        <v>101</v>
      </c>
      <c r="AT30" s="19" t="s">
        <v>78</v>
      </c>
      <c r="AV30" s="11">
        <f>AP30+AQ30</f>
        <v>0</v>
      </c>
      <c r="AW30" s="11">
        <f>F30/(100-AX30)*100</f>
        <v>0</v>
      </c>
      <c r="AX30" s="11">
        <v>0</v>
      </c>
      <c r="AY30" s="11" t="e">
        <f>#REF!</f>
        <v>#REF!</v>
      </c>
      <c r="BA30" s="11">
        <f>E30*AH30</f>
        <v>0</v>
      </c>
      <c r="BB30" s="11">
        <f>E30*AI30</f>
        <v>0</v>
      </c>
      <c r="BC30" s="11">
        <f>E30*F30</f>
        <v>0</v>
      </c>
      <c r="BD30" s="11"/>
      <c r="BE30" s="11">
        <v>62</v>
      </c>
    </row>
    <row r="31" spans="1:57" ht="15" customHeight="1">
      <c r="A31" s="6">
        <v>20</v>
      </c>
      <c r="B31" s="87" t="s">
        <v>131</v>
      </c>
      <c r="C31" s="38"/>
      <c r="D31" s="26" t="s">
        <v>118</v>
      </c>
      <c r="E31" s="11">
        <v>1</v>
      </c>
      <c r="F31" s="11"/>
      <c r="G31" s="11"/>
      <c r="S31" s="11">
        <f t="shared" si="19"/>
        <v>0</v>
      </c>
      <c r="U31" s="11">
        <f t="shared" si="20"/>
        <v>0</v>
      </c>
      <c r="V31" s="11">
        <f t="shared" si="21"/>
        <v>0</v>
      </c>
      <c r="W31" s="11">
        <f t="shared" si="22"/>
        <v>0</v>
      </c>
      <c r="X31" s="11">
        <f t="shared" si="23"/>
        <v>0</v>
      </c>
      <c r="Y31" s="11">
        <f t="shared" si="24"/>
        <v>0</v>
      </c>
      <c r="Z31" s="11">
        <f t="shared" si="25"/>
        <v>0</v>
      </c>
      <c r="AA31" s="11">
        <f t="shared" si="26"/>
        <v>0</v>
      </c>
      <c r="AB31" s="19" t="s">
        <v>72</v>
      </c>
      <c r="AC31" s="11">
        <f t="shared" si="0"/>
        <v>0</v>
      </c>
      <c r="AD31" s="11">
        <f t="shared" si="1"/>
        <v>0</v>
      </c>
      <c r="AE31" s="11">
        <f t="shared" si="2"/>
        <v>0</v>
      </c>
      <c r="AG31" s="11">
        <v>21</v>
      </c>
      <c r="AH31" s="11">
        <f>F31*0.291782853752596</f>
        <v>0</v>
      </c>
      <c r="AI31" s="11">
        <f>F31*(1-0.291782853752596)</f>
        <v>0</v>
      </c>
      <c r="AJ31" s="3" t="s">
        <v>105</v>
      </c>
      <c r="AO31" s="11">
        <f t="shared" si="27"/>
        <v>0</v>
      </c>
      <c r="AP31" s="11">
        <f t="shared" si="3"/>
        <v>0</v>
      </c>
      <c r="AQ31" s="11">
        <f t="shared" si="4"/>
        <v>0</v>
      </c>
      <c r="AR31" s="3" t="s">
        <v>48</v>
      </c>
      <c r="AS31" s="3" t="s">
        <v>101</v>
      </c>
      <c r="AT31" s="19" t="s">
        <v>78</v>
      </c>
      <c r="AV31" s="11">
        <f t="shared" si="28"/>
        <v>0</v>
      </c>
      <c r="AW31" s="11">
        <f t="shared" si="5"/>
        <v>0</v>
      </c>
      <c r="AX31" s="11">
        <v>0</v>
      </c>
      <c r="AY31" s="11" t="e">
        <f>#REF!</f>
        <v>#REF!</v>
      </c>
      <c r="BA31" s="11">
        <f t="shared" si="6"/>
        <v>0</v>
      </c>
      <c r="BB31" s="11">
        <f t="shared" si="7"/>
        <v>0</v>
      </c>
      <c r="BC31" s="11">
        <f t="shared" si="29"/>
        <v>0</v>
      </c>
      <c r="BD31" s="11"/>
      <c r="BE31" s="11">
        <v>62</v>
      </c>
    </row>
    <row r="32" spans="1:57" ht="15" customHeight="1">
      <c r="A32" s="6">
        <v>21</v>
      </c>
      <c r="B32" s="86" t="s">
        <v>130</v>
      </c>
      <c r="C32" s="43"/>
      <c r="D32" s="26" t="s">
        <v>118</v>
      </c>
      <c r="E32" s="11">
        <v>1</v>
      </c>
      <c r="F32" s="11"/>
      <c r="G32" s="11"/>
      <c r="S32" s="11">
        <f t="shared" si="19"/>
        <v>0</v>
      </c>
      <c r="U32" s="11">
        <f t="shared" si="20"/>
        <v>0</v>
      </c>
      <c r="V32" s="11">
        <f t="shared" si="21"/>
        <v>0</v>
      </c>
      <c r="W32" s="11">
        <f t="shared" si="22"/>
        <v>0</v>
      </c>
      <c r="X32" s="11">
        <f t="shared" si="23"/>
        <v>0</v>
      </c>
      <c r="Y32" s="11">
        <f t="shared" si="24"/>
        <v>0</v>
      </c>
      <c r="Z32" s="11">
        <f t="shared" si="25"/>
        <v>0</v>
      </c>
      <c r="AA32" s="11">
        <f t="shared" si="26"/>
        <v>0</v>
      </c>
      <c r="AB32" s="19" t="s">
        <v>72</v>
      </c>
      <c r="AC32" s="11">
        <f t="shared" si="0"/>
        <v>0</v>
      </c>
      <c r="AD32" s="11">
        <f t="shared" si="1"/>
        <v>0</v>
      </c>
      <c r="AE32" s="11">
        <f t="shared" si="2"/>
        <v>0</v>
      </c>
      <c r="AG32" s="11">
        <v>21</v>
      </c>
      <c r="AH32" s="11">
        <f>F32*0.0524712643678161</f>
        <v>0</v>
      </c>
      <c r="AI32" s="11">
        <f>F32*(1-0.0524712643678161)</f>
        <v>0</v>
      </c>
      <c r="AJ32" s="3" t="s">
        <v>105</v>
      </c>
      <c r="AO32" s="11">
        <f t="shared" si="27"/>
        <v>0</v>
      </c>
      <c r="AP32" s="11">
        <f t="shared" si="3"/>
        <v>0</v>
      </c>
      <c r="AQ32" s="11">
        <f t="shared" si="4"/>
        <v>0</v>
      </c>
      <c r="AR32" s="3" t="s">
        <v>67</v>
      </c>
      <c r="AS32" s="3" t="s">
        <v>101</v>
      </c>
      <c r="AT32" s="19" t="s">
        <v>78</v>
      </c>
      <c r="AV32" s="11">
        <f t="shared" si="28"/>
        <v>0</v>
      </c>
      <c r="AW32" s="11">
        <f t="shared" si="5"/>
        <v>0</v>
      </c>
      <c r="AX32" s="11">
        <v>0</v>
      </c>
      <c r="AY32" s="11" t="e">
        <f>#REF!</f>
        <v>#REF!</v>
      </c>
      <c r="BA32" s="11">
        <f t="shared" si="6"/>
        <v>0</v>
      </c>
      <c r="BB32" s="11">
        <f t="shared" si="7"/>
        <v>0</v>
      </c>
      <c r="BC32" s="11">
        <f t="shared" si="29"/>
        <v>0</v>
      </c>
      <c r="BD32" s="11"/>
      <c r="BE32" s="11">
        <v>64</v>
      </c>
    </row>
    <row r="33" spans="1:57" ht="15" customHeight="1">
      <c r="A33" s="6">
        <v>22</v>
      </c>
      <c r="B33" s="87" t="s">
        <v>129</v>
      </c>
      <c r="C33" s="38"/>
      <c r="D33" s="26" t="s">
        <v>118</v>
      </c>
      <c r="E33" s="11">
        <v>1</v>
      </c>
      <c r="F33" s="11"/>
      <c r="G33" s="11"/>
      <c r="S33" s="11">
        <f t="shared" si="19"/>
        <v>0</v>
      </c>
      <c r="U33" s="11">
        <f t="shared" si="20"/>
        <v>0</v>
      </c>
      <c r="V33" s="11">
        <f t="shared" si="21"/>
        <v>0</v>
      </c>
      <c r="W33" s="11">
        <f t="shared" si="22"/>
        <v>0</v>
      </c>
      <c r="X33" s="11">
        <f t="shared" si="23"/>
        <v>0</v>
      </c>
      <c r="Y33" s="11">
        <f t="shared" si="24"/>
        <v>0</v>
      </c>
      <c r="Z33" s="11">
        <f t="shared" si="25"/>
        <v>0</v>
      </c>
      <c r="AA33" s="11">
        <f t="shared" si="26"/>
        <v>0</v>
      </c>
      <c r="AB33" s="19" t="s">
        <v>72</v>
      </c>
      <c r="AC33" s="11">
        <f t="shared" si="0"/>
        <v>0</v>
      </c>
      <c r="AD33" s="11">
        <f t="shared" si="1"/>
        <v>0</v>
      </c>
      <c r="AE33" s="11">
        <f t="shared" si="2"/>
        <v>0</v>
      </c>
      <c r="AG33" s="11">
        <v>21</v>
      </c>
      <c r="AH33" s="11">
        <f>F33*0.164306569343066</f>
        <v>0</v>
      </c>
      <c r="AI33" s="11">
        <f>F33*(1-0.164306569343066)</f>
        <v>0</v>
      </c>
      <c r="AJ33" s="3" t="s">
        <v>106</v>
      </c>
      <c r="AO33" s="11">
        <f t="shared" si="27"/>
        <v>0</v>
      </c>
      <c r="AP33" s="11">
        <f t="shared" si="3"/>
        <v>0</v>
      </c>
      <c r="AQ33" s="11">
        <f t="shared" si="4"/>
        <v>0</v>
      </c>
      <c r="AR33" s="3" t="s">
        <v>47</v>
      </c>
      <c r="AS33" s="3" t="s">
        <v>115</v>
      </c>
      <c r="AT33" s="19" t="s">
        <v>78</v>
      </c>
      <c r="AV33" s="11">
        <f t="shared" si="28"/>
        <v>0</v>
      </c>
      <c r="AW33" s="11">
        <f t="shared" si="5"/>
        <v>0</v>
      </c>
      <c r="AX33" s="11">
        <v>0</v>
      </c>
      <c r="AY33" s="11" t="e">
        <f>#REF!</f>
        <v>#REF!</v>
      </c>
      <c r="BA33" s="11">
        <f t="shared" si="6"/>
        <v>0</v>
      </c>
      <c r="BB33" s="11">
        <f t="shared" si="7"/>
        <v>0</v>
      </c>
      <c r="BC33" s="11">
        <f t="shared" si="29"/>
        <v>0</v>
      </c>
      <c r="BD33" s="11"/>
      <c r="BE33" s="11">
        <v>712</v>
      </c>
    </row>
    <row r="34" spans="1:7" ht="27" customHeight="1">
      <c r="A34" s="43"/>
      <c r="B34" s="38"/>
      <c r="C34" s="38"/>
      <c r="D34" s="38"/>
      <c r="E34" s="38"/>
      <c r="F34" s="38"/>
      <c r="G34" s="38"/>
    </row>
  </sheetData>
  <sheetProtection/>
  <mergeCells count="46">
    <mergeCell ref="A34:G34"/>
    <mergeCell ref="B32:C32"/>
    <mergeCell ref="B33:C33"/>
    <mergeCell ref="B27:C27"/>
    <mergeCell ref="B28:C28"/>
    <mergeCell ref="B29:C29"/>
    <mergeCell ref="B31:C31"/>
    <mergeCell ref="B30:C30"/>
    <mergeCell ref="B26:C26"/>
    <mergeCell ref="B18:C18"/>
    <mergeCell ref="B19:C19"/>
    <mergeCell ref="B20:C20"/>
    <mergeCell ref="B21:C21"/>
    <mergeCell ref="B22:C22"/>
    <mergeCell ref="B16:C16"/>
    <mergeCell ref="B17:C17"/>
    <mergeCell ref="B12:C12"/>
    <mergeCell ref="B23:C23"/>
    <mergeCell ref="B24:C24"/>
    <mergeCell ref="B25:C25"/>
    <mergeCell ref="B4:C5"/>
    <mergeCell ref="B6:C7"/>
    <mergeCell ref="B8:C9"/>
    <mergeCell ref="B13:C13"/>
    <mergeCell ref="B14:C14"/>
    <mergeCell ref="B15:C15"/>
    <mergeCell ref="D6:E7"/>
    <mergeCell ref="D8:E9"/>
    <mergeCell ref="F2:F3"/>
    <mergeCell ref="B11:C11"/>
    <mergeCell ref="G2:G3"/>
    <mergeCell ref="G4:G5"/>
    <mergeCell ref="G6:G7"/>
    <mergeCell ref="G8:G9"/>
    <mergeCell ref="B10:C10"/>
    <mergeCell ref="B2:C3"/>
    <mergeCell ref="F4:F5"/>
    <mergeCell ref="F6:F7"/>
    <mergeCell ref="F8:F9"/>
    <mergeCell ref="A1:G1"/>
    <mergeCell ref="A2:A3"/>
    <mergeCell ref="A4:A5"/>
    <mergeCell ref="A6:A7"/>
    <mergeCell ref="A8:A9"/>
    <mergeCell ref="D2:E3"/>
    <mergeCell ref="D4:E5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Motl</cp:lastModifiedBy>
  <cp:lastPrinted>2022-11-01T14:48:20Z</cp:lastPrinted>
  <dcterms:created xsi:type="dcterms:W3CDTF">2021-06-10T20:06:38Z</dcterms:created>
  <dcterms:modified xsi:type="dcterms:W3CDTF">2023-05-03T07:00:04Z</dcterms:modified>
  <cp:category/>
  <cp:version/>
  <cp:contentType/>
  <cp:contentStatus/>
</cp:coreProperties>
</file>