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iaconsultcz-my.sharepoint.com/personal/kosmakova_advientender_cz/Documents/Plocha/DARJA/ZNOJMO/Kravi Hora/01_Zadavaci dokumentace/02_ZD_rev zadavatele/zasilka-LJIIZIXX2XI3IA6W/PD - ZADÁNÍ STAVBY/"/>
    </mc:Choice>
  </mc:AlternateContent>
  <xr:revisionPtr revIDLastSave="2" documentId="11_DD76096040138C977C2C25815C067BA1ECD74412" xr6:coauthVersionLast="47" xr6:coauthVersionMax="47" xr10:uidLastSave="{E80A7D1E-279D-450D-9BAF-541924217217}"/>
  <bookViews>
    <workbookView xWindow="-108" yWindow="-108" windowWidth="23256" windowHeight="12576" activeTab="4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D.1.2.1 Komunikace" sheetId="12" r:id="rId4"/>
    <sheet name="D.1.2.2 Odvodnění" sheetId="14" r:id="rId5"/>
    <sheet name="D.1.2.3 Veřejné osvětlení " sheetId="13" r:id="rId6"/>
  </sheets>
  <externalReferences>
    <externalReference r:id="rId7"/>
  </externalReferences>
  <definedNames>
    <definedName name="CelkemDPHVypocet" localSheetId="1">Stavba!$H$44</definedName>
    <definedName name="CenaCelkem">Stavba!$G$30</definedName>
    <definedName name="CenaCelkemBezDPH">Stavba!$G$29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Stavba!$J$30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'D.1.2.1 Komunikace'!$1:$7</definedName>
    <definedName name="_xlnm.Print_Titles" localSheetId="4">'D.1.2.2 Odvodnění'!$1:$7</definedName>
    <definedName name="_xlnm.Print_Titles" localSheetId="5">'D.1.2.3 Veřejné osvětlení '!$1:$7</definedName>
    <definedName name="oadresa">Stavba!$D$6</definedName>
    <definedName name="Objednatel" localSheetId="1">Stavba!$D$5</definedName>
    <definedName name="Objekt" localSheetId="1">Stavba!$B$39</definedName>
    <definedName name="_xlnm.Print_Area" localSheetId="3">'D.1.2.1 Komunikace'!$A$1:$X$146</definedName>
    <definedName name="_xlnm.Print_Area" localSheetId="4">'D.1.2.2 Odvodnění'!$A$1:$X$117</definedName>
    <definedName name="_xlnm.Print_Area" localSheetId="5">'D.1.2.3 Veřejné osvětlení '!$A$1:$X$84</definedName>
    <definedName name="_xlnm.Print_Area" localSheetId="1">Stavba!$A$1:$J$93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 localSheetId="4">#REF!</definedName>
    <definedName name="PocetMJ" localSheetId="5">#REF!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 localSheetId="4">#REF!</definedName>
    <definedName name="SloupecCC" localSheetId="5">#REF!</definedName>
    <definedName name="SloupecCC">#REF!</definedName>
    <definedName name="SloupecCisloPol" localSheetId="4">#REF!</definedName>
    <definedName name="SloupecCisloPol" localSheetId="5">#REF!</definedName>
    <definedName name="SloupecCisloPol">#REF!</definedName>
    <definedName name="SloupecJC" localSheetId="4">#REF!</definedName>
    <definedName name="SloupecJC" localSheetId="5">#REF!</definedName>
    <definedName name="SloupecJC">#REF!</definedName>
    <definedName name="SloupecMJ" localSheetId="4">#REF!</definedName>
    <definedName name="SloupecMJ" localSheetId="5">#REF!</definedName>
    <definedName name="SloupecMJ">#REF!</definedName>
    <definedName name="SloupecMnozstvi" localSheetId="4">#REF!</definedName>
    <definedName name="SloupecMnozstvi" localSheetId="5">#REF!</definedName>
    <definedName name="SloupecMnozstvi">#REF!</definedName>
    <definedName name="SloupecNazPol" localSheetId="4">#REF!</definedName>
    <definedName name="SloupecNazPol" localSheetId="5">#REF!</definedName>
    <definedName name="SloupecNazPol">#REF!</definedName>
    <definedName name="SloupecPC" localSheetId="4">#REF!</definedName>
    <definedName name="SloupecPC" localSheetId="5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Stavba!$B$1:$J$37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Stavba!$G$35</definedName>
    <definedName name="Zaokrouhleni">Stavba!$G$28</definedName>
    <definedName name="ZaZhotovitele">Stavba!$D$35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2" l="1"/>
  <c r="E23" i="13" l="1"/>
  <c r="E20" i="13"/>
  <c r="E32" i="13"/>
  <c r="O32" i="13" s="1"/>
  <c r="E29" i="13"/>
  <c r="E9" i="13"/>
  <c r="E15" i="13" s="1"/>
  <c r="Q49" i="13"/>
  <c r="O49" i="13"/>
  <c r="K49" i="13"/>
  <c r="I49" i="13"/>
  <c r="G49" i="13"/>
  <c r="M49" i="13" s="1"/>
  <c r="Q58" i="13"/>
  <c r="O58" i="13"/>
  <c r="K58" i="13"/>
  <c r="I58" i="13"/>
  <c r="G58" i="13"/>
  <c r="M58" i="13" s="1"/>
  <c r="M57" i="13" s="1"/>
  <c r="E83" i="14"/>
  <c r="Q43" i="14"/>
  <c r="O43" i="14"/>
  <c r="K43" i="14"/>
  <c r="I43" i="14"/>
  <c r="G43" i="14"/>
  <c r="M43" i="14" s="1"/>
  <c r="Q79" i="14"/>
  <c r="O79" i="14"/>
  <c r="K79" i="14"/>
  <c r="I79" i="14"/>
  <c r="G79" i="14"/>
  <c r="M79" i="14" s="1"/>
  <c r="E38" i="14"/>
  <c r="E57" i="14"/>
  <c r="E85" i="14" s="1"/>
  <c r="Q53" i="14"/>
  <c r="O53" i="14"/>
  <c r="K53" i="14"/>
  <c r="I53" i="14"/>
  <c r="G53" i="14"/>
  <c r="M53" i="14" s="1"/>
  <c r="E71" i="14"/>
  <c r="O71" i="14" s="1"/>
  <c r="Q68" i="14"/>
  <c r="O68" i="14"/>
  <c r="K68" i="14"/>
  <c r="I68" i="14"/>
  <c r="G68" i="14"/>
  <c r="M68" i="14" s="1"/>
  <c r="G57" i="13" l="1"/>
  <c r="I90" i="1" s="1"/>
  <c r="I32" i="13"/>
  <c r="Q32" i="13"/>
  <c r="G32" i="13"/>
  <c r="M32" i="13" s="1"/>
  <c r="K32" i="13"/>
  <c r="Q71" i="14"/>
  <c r="G71" i="14"/>
  <c r="M71" i="14" l="1"/>
  <c r="E49" i="14"/>
  <c r="E17" i="14"/>
  <c r="E20" i="14"/>
  <c r="E22" i="14" s="1"/>
  <c r="E12" i="14"/>
  <c r="E88" i="14" s="1"/>
  <c r="E92" i="14" l="1"/>
  <c r="K88" i="14"/>
  <c r="Q88" i="14"/>
  <c r="G88" i="14"/>
  <c r="M88" i="14" s="1"/>
  <c r="E90" i="14"/>
  <c r="O88" i="14"/>
  <c r="I88" i="14"/>
  <c r="O90" i="14" l="1"/>
  <c r="K90" i="14"/>
  <c r="I90" i="14"/>
  <c r="G90" i="14"/>
  <c r="M90" i="14" s="1"/>
  <c r="Q90" i="14"/>
  <c r="Q92" i="14"/>
  <c r="G92" i="14"/>
  <c r="O92" i="14"/>
  <c r="I92" i="14"/>
  <c r="K92" i="14"/>
  <c r="M92" i="14" l="1"/>
  <c r="G87" i="14"/>
  <c r="AE116" i="14"/>
  <c r="BA113" i="14"/>
  <c r="V112" i="14"/>
  <c r="Q112" i="14"/>
  <c r="O112" i="14"/>
  <c r="K112" i="14"/>
  <c r="I112" i="14"/>
  <c r="G112" i="14"/>
  <c r="M112" i="14" s="1"/>
  <c r="BA110" i="14"/>
  <c r="V109" i="14"/>
  <c r="Q109" i="14"/>
  <c r="O109" i="14"/>
  <c r="K109" i="14"/>
  <c r="I109" i="14"/>
  <c r="G109" i="14"/>
  <c r="M109" i="14" s="1"/>
  <c r="BA107" i="14"/>
  <c r="V106" i="14"/>
  <c r="Q106" i="14"/>
  <c r="O106" i="14"/>
  <c r="K106" i="14"/>
  <c r="I106" i="14"/>
  <c r="G106" i="14"/>
  <c r="Q102" i="14"/>
  <c r="O102" i="14"/>
  <c r="K102" i="14"/>
  <c r="I102" i="14"/>
  <c r="G102" i="14"/>
  <c r="Q100" i="14"/>
  <c r="O100" i="14"/>
  <c r="K100" i="14"/>
  <c r="I100" i="14"/>
  <c r="G100" i="14"/>
  <c r="M100" i="14" s="1"/>
  <c r="BA98" i="14"/>
  <c r="V97" i="14"/>
  <c r="V94" i="14" s="1"/>
  <c r="Q97" i="14"/>
  <c r="Q94" i="14" s="1"/>
  <c r="O97" i="14"/>
  <c r="O94" i="14" s="1"/>
  <c r="K97" i="14"/>
  <c r="K94" i="14" s="1"/>
  <c r="I97" i="14"/>
  <c r="I94" i="14" s="1"/>
  <c r="G97" i="14"/>
  <c r="Q95" i="14"/>
  <c r="O95" i="14"/>
  <c r="K95" i="14"/>
  <c r="I95" i="14"/>
  <c r="G95" i="14"/>
  <c r="M95" i="14" s="1"/>
  <c r="V88" i="14"/>
  <c r="O85" i="14"/>
  <c r="V83" i="14"/>
  <c r="Q78" i="14"/>
  <c r="O78" i="14"/>
  <c r="I78" i="14"/>
  <c r="M78" i="14"/>
  <c r="K78" i="14"/>
  <c r="Q75" i="14"/>
  <c r="O75" i="14"/>
  <c r="K75" i="14"/>
  <c r="I75" i="14"/>
  <c r="G75" i="14"/>
  <c r="M75" i="14" s="1"/>
  <c r="M74" i="14" s="1"/>
  <c r="Q65" i="14"/>
  <c r="O65" i="14"/>
  <c r="G65" i="14"/>
  <c r="Q62" i="14"/>
  <c r="O62" i="14"/>
  <c r="K62" i="14"/>
  <c r="I62" i="14"/>
  <c r="G62" i="14"/>
  <c r="M62" i="14" s="1"/>
  <c r="V60" i="14"/>
  <c r="Q60" i="14"/>
  <c r="O60" i="14"/>
  <c r="K60" i="14"/>
  <c r="I60" i="14"/>
  <c r="G60" i="14"/>
  <c r="M60" i="14" s="1"/>
  <c r="G57" i="14"/>
  <c r="M57" i="14" s="1"/>
  <c r="Q55" i="14"/>
  <c r="Q49" i="14"/>
  <c r="Q48" i="14" s="1"/>
  <c r="O49" i="14"/>
  <c r="O48" i="14" s="1"/>
  <c r="K49" i="14"/>
  <c r="K48" i="14" s="1"/>
  <c r="I49" i="14"/>
  <c r="I48" i="14" s="1"/>
  <c r="G49" i="14"/>
  <c r="M49" i="14" s="1"/>
  <c r="M48" i="14" s="1"/>
  <c r="Q40" i="14"/>
  <c r="O40" i="14"/>
  <c r="K40" i="14"/>
  <c r="I40" i="14"/>
  <c r="G40" i="14"/>
  <c r="M40" i="14" s="1"/>
  <c r="Q38" i="14"/>
  <c r="O38" i="14"/>
  <c r="K38" i="14"/>
  <c r="I38" i="14"/>
  <c r="G38" i="14"/>
  <c r="M38" i="14" s="1"/>
  <c r="Q35" i="14"/>
  <c r="O35" i="14"/>
  <c r="K35" i="14"/>
  <c r="I35" i="14"/>
  <c r="G35" i="14"/>
  <c r="M35" i="14" s="1"/>
  <c r="V32" i="14"/>
  <c r="Q32" i="14"/>
  <c r="O32" i="14"/>
  <c r="K32" i="14"/>
  <c r="I32" i="14"/>
  <c r="G32" i="14"/>
  <c r="M32" i="14" s="1"/>
  <c r="Q24" i="14"/>
  <c r="O24" i="14"/>
  <c r="K24" i="14"/>
  <c r="I24" i="14"/>
  <c r="G24" i="14"/>
  <c r="M24" i="14" s="1"/>
  <c r="E27" i="14"/>
  <c r="BA15" i="14"/>
  <c r="V14" i="14"/>
  <c r="Q14" i="14"/>
  <c r="O14" i="14"/>
  <c r="K14" i="14"/>
  <c r="I14" i="14"/>
  <c r="G14" i="14"/>
  <c r="M14" i="14" s="1"/>
  <c r="Q12" i="14"/>
  <c r="Q9" i="14"/>
  <c r="O9" i="14"/>
  <c r="K9" i="14"/>
  <c r="I9" i="14"/>
  <c r="G9" i="14"/>
  <c r="E68" i="12"/>
  <c r="E50" i="12"/>
  <c r="E48" i="12"/>
  <c r="E58" i="12"/>
  <c r="Q58" i="12" s="1"/>
  <c r="E60" i="12"/>
  <c r="Q60" i="12" s="1"/>
  <c r="E56" i="12"/>
  <c r="O56" i="12" s="1"/>
  <c r="E100" i="12"/>
  <c r="E98" i="12"/>
  <c r="Q106" i="12"/>
  <c r="O106" i="12"/>
  <c r="K106" i="12"/>
  <c r="I106" i="12"/>
  <c r="G106" i="12"/>
  <c r="M106" i="12" s="1"/>
  <c r="Q75" i="12"/>
  <c r="O75" i="12"/>
  <c r="K75" i="12"/>
  <c r="I75" i="12"/>
  <c r="G75" i="12"/>
  <c r="Q87" i="12"/>
  <c r="O87" i="12"/>
  <c r="K87" i="12"/>
  <c r="I87" i="12"/>
  <c r="G87" i="12"/>
  <c r="M87" i="12" s="1"/>
  <c r="Q84" i="12"/>
  <c r="O84" i="12"/>
  <c r="K84" i="12"/>
  <c r="I84" i="12"/>
  <c r="G84" i="12"/>
  <c r="M84" i="12" s="1"/>
  <c r="M65" i="14" l="1"/>
  <c r="M102" i="14"/>
  <c r="G94" i="14"/>
  <c r="I80" i="1" s="1"/>
  <c r="E112" i="12"/>
  <c r="M9" i="14"/>
  <c r="Q105" i="14"/>
  <c r="I105" i="14"/>
  <c r="M75" i="12"/>
  <c r="E54" i="12"/>
  <c r="I54" i="12" s="1"/>
  <c r="G48" i="14"/>
  <c r="I74" i="1" s="1"/>
  <c r="G78" i="14"/>
  <c r="I77" i="1" s="1"/>
  <c r="G12" i="14"/>
  <c r="M12" i="14" s="1"/>
  <c r="O12" i="14"/>
  <c r="Q17" i="14"/>
  <c r="G20" i="14"/>
  <c r="M20" i="14" s="1"/>
  <c r="O20" i="14"/>
  <c r="G74" i="14"/>
  <c r="I76" i="1" s="1"/>
  <c r="V82" i="14"/>
  <c r="O105" i="14"/>
  <c r="V105" i="14"/>
  <c r="K12" i="14"/>
  <c r="V12" i="14"/>
  <c r="K20" i="14"/>
  <c r="V20" i="14"/>
  <c r="K105" i="14"/>
  <c r="E110" i="12"/>
  <c r="E114" i="12"/>
  <c r="I56" i="12"/>
  <c r="Q56" i="12"/>
  <c r="G56" i="12"/>
  <c r="M56" i="12" s="1"/>
  <c r="K56" i="12"/>
  <c r="V27" i="14"/>
  <c r="K27" i="14"/>
  <c r="E30" i="14"/>
  <c r="Q27" i="14"/>
  <c r="I27" i="14"/>
  <c r="O27" i="14"/>
  <c r="G27" i="14"/>
  <c r="M27" i="14" s="1"/>
  <c r="I12" i="14"/>
  <c r="K17" i="14"/>
  <c r="I20" i="14"/>
  <c r="Q20" i="14"/>
  <c r="V52" i="14"/>
  <c r="G55" i="14"/>
  <c r="G52" i="14" s="1"/>
  <c r="K55" i="14"/>
  <c r="O55" i="14"/>
  <c r="O74" i="14"/>
  <c r="I55" i="14"/>
  <c r="M97" i="14"/>
  <c r="G105" i="14"/>
  <c r="M106" i="14"/>
  <c r="M105" i="14" s="1"/>
  <c r="Q74" i="14"/>
  <c r="I83" i="14"/>
  <c r="Q83" i="14"/>
  <c r="I85" i="14"/>
  <c r="Q85" i="14"/>
  <c r="G83" i="14"/>
  <c r="K83" i="14"/>
  <c r="O83" i="14"/>
  <c r="O82" i="14" s="1"/>
  <c r="G85" i="14"/>
  <c r="M85" i="14" s="1"/>
  <c r="K85" i="14"/>
  <c r="K58" i="12"/>
  <c r="G58" i="12"/>
  <c r="M58" i="12" s="1"/>
  <c r="O58" i="12"/>
  <c r="G54" i="12"/>
  <c r="M54" i="12" s="1"/>
  <c r="O54" i="12"/>
  <c r="I58" i="12"/>
  <c r="G60" i="12"/>
  <c r="M60" i="12" s="1"/>
  <c r="K60" i="12"/>
  <c r="O60" i="12"/>
  <c r="I60" i="12"/>
  <c r="M94" i="14" l="1"/>
  <c r="I81" i="1"/>
  <c r="M55" i="14"/>
  <c r="M52" i="14" s="1"/>
  <c r="I75" i="1"/>
  <c r="K54" i="12"/>
  <c r="Q54" i="12"/>
  <c r="I74" i="14"/>
  <c r="K74" i="14"/>
  <c r="K82" i="14"/>
  <c r="O17" i="14"/>
  <c r="G17" i="14"/>
  <c r="I17" i="14"/>
  <c r="V87" i="14"/>
  <c r="O87" i="14"/>
  <c r="K87" i="14"/>
  <c r="Q87" i="14"/>
  <c r="I87" i="14"/>
  <c r="I82" i="14"/>
  <c r="I52" i="14"/>
  <c r="Q52" i="14"/>
  <c r="O52" i="14"/>
  <c r="G82" i="14"/>
  <c r="I78" i="1" s="1"/>
  <c r="M83" i="14"/>
  <c r="M82" i="14" s="1"/>
  <c r="Q82" i="14"/>
  <c r="K52" i="14"/>
  <c r="K22" i="14"/>
  <c r="Q22" i="14"/>
  <c r="I22" i="14"/>
  <c r="V22" i="14"/>
  <c r="O22" i="14"/>
  <c r="G22" i="14"/>
  <c r="M22" i="14" s="1"/>
  <c r="O30" i="14"/>
  <c r="E46" i="14"/>
  <c r="Q30" i="14"/>
  <c r="I30" i="14"/>
  <c r="V30" i="14"/>
  <c r="K30" i="14"/>
  <c r="G30" i="14"/>
  <c r="M30" i="14" s="1"/>
  <c r="M17" i="14" l="1"/>
  <c r="O46" i="14"/>
  <c r="O8" i="14" s="1"/>
  <c r="G46" i="14"/>
  <c r="Q46" i="14"/>
  <c r="Q8" i="14" s="1"/>
  <c r="I46" i="14"/>
  <c r="I8" i="14" s="1"/>
  <c r="V46" i="14"/>
  <c r="V8" i="14" s="1"/>
  <c r="K46" i="14"/>
  <c r="K8" i="14" s="1"/>
  <c r="M87" i="14"/>
  <c r="M46" i="14" l="1"/>
  <c r="G8" i="14"/>
  <c r="I73" i="1" s="1"/>
  <c r="I79" i="1"/>
  <c r="M8" i="14"/>
  <c r="AF116" i="14"/>
  <c r="I82" i="1" l="1"/>
  <c r="J74" i="1" s="1"/>
  <c r="G116" i="14"/>
  <c r="E72" i="12"/>
  <c r="E22" i="12"/>
  <c r="E12" i="12"/>
  <c r="E117" i="12" s="1"/>
  <c r="E119" i="12" s="1"/>
  <c r="J73" i="1" l="1"/>
  <c r="J76" i="1"/>
  <c r="J79" i="1"/>
  <c r="J80" i="1"/>
  <c r="J77" i="1"/>
  <c r="J78" i="1"/>
  <c r="I49" i="1"/>
  <c r="J81" i="1"/>
  <c r="J75" i="1"/>
  <c r="Q119" i="12"/>
  <c r="O119" i="12"/>
  <c r="G119" i="12"/>
  <c r="M119" i="12" s="1"/>
  <c r="K119" i="12"/>
  <c r="I119" i="12"/>
  <c r="E19" i="12"/>
  <c r="E29" i="12"/>
  <c r="E24" i="12"/>
  <c r="Q90" i="12"/>
  <c r="O90" i="12"/>
  <c r="K90" i="12"/>
  <c r="I90" i="12"/>
  <c r="G90" i="12"/>
  <c r="M90" i="12" s="1"/>
  <c r="Q81" i="12"/>
  <c r="O81" i="12"/>
  <c r="K81" i="12"/>
  <c r="I81" i="12"/>
  <c r="G81" i="12"/>
  <c r="M81" i="12" s="1"/>
  <c r="J82" i="1" l="1"/>
  <c r="E34" i="12"/>
  <c r="AE83" i="13"/>
  <c r="BA80" i="13"/>
  <c r="V79" i="13"/>
  <c r="Q79" i="13"/>
  <c r="O79" i="13"/>
  <c r="K79" i="13"/>
  <c r="I79" i="13"/>
  <c r="G79" i="13"/>
  <c r="BA77" i="13"/>
  <c r="V76" i="13"/>
  <c r="Q76" i="13"/>
  <c r="O76" i="13"/>
  <c r="K76" i="13"/>
  <c r="I76" i="13"/>
  <c r="G76" i="13"/>
  <c r="M76" i="13" s="1"/>
  <c r="BA74" i="13"/>
  <c r="V73" i="13"/>
  <c r="Q73" i="13"/>
  <c r="O73" i="13"/>
  <c r="K73" i="13"/>
  <c r="I73" i="13"/>
  <c r="G73" i="13"/>
  <c r="M73" i="13" s="1"/>
  <c r="Q69" i="13"/>
  <c r="O69" i="13"/>
  <c r="K69" i="13"/>
  <c r="I69" i="13"/>
  <c r="G69" i="13"/>
  <c r="Q67" i="13"/>
  <c r="O67" i="13"/>
  <c r="K67" i="13"/>
  <c r="I67" i="13"/>
  <c r="G67" i="13"/>
  <c r="M67" i="13" s="1"/>
  <c r="BA65" i="13"/>
  <c r="V64" i="13"/>
  <c r="V61" i="13" s="1"/>
  <c r="Q64" i="13"/>
  <c r="Q61" i="13" s="1"/>
  <c r="O64" i="13"/>
  <c r="O61" i="13" s="1"/>
  <c r="K64" i="13"/>
  <c r="K61" i="13" s="1"/>
  <c r="I64" i="13"/>
  <c r="I61" i="13" s="1"/>
  <c r="G64" i="13"/>
  <c r="M64" i="13" s="1"/>
  <c r="Q62" i="13"/>
  <c r="O62" i="13"/>
  <c r="O57" i="13" s="1"/>
  <c r="K62" i="13"/>
  <c r="I62" i="13"/>
  <c r="G62" i="13"/>
  <c r="Q55" i="13"/>
  <c r="O55" i="13"/>
  <c r="K55" i="13"/>
  <c r="I55" i="13"/>
  <c r="G55" i="13"/>
  <c r="Q53" i="13"/>
  <c r="O53" i="13"/>
  <c r="K53" i="13"/>
  <c r="I53" i="13"/>
  <c r="G53" i="13"/>
  <c r="M53" i="13" s="1"/>
  <c r="Q51" i="13"/>
  <c r="O51" i="13"/>
  <c r="K51" i="13"/>
  <c r="I51" i="13"/>
  <c r="G51" i="13"/>
  <c r="M51" i="13" s="1"/>
  <c r="Q47" i="13"/>
  <c r="O47" i="13"/>
  <c r="K47" i="13"/>
  <c r="I47" i="13"/>
  <c r="G47" i="13"/>
  <c r="M47" i="13" s="1"/>
  <c r="Q44" i="13"/>
  <c r="O44" i="13"/>
  <c r="K44" i="13"/>
  <c r="I44" i="13"/>
  <c r="G44" i="13"/>
  <c r="M44" i="13" s="1"/>
  <c r="Q41" i="13"/>
  <c r="O41" i="13"/>
  <c r="K41" i="13"/>
  <c r="I41" i="13"/>
  <c r="G41" i="13"/>
  <c r="M41" i="13" s="1"/>
  <c r="Q39" i="13"/>
  <c r="O39" i="13"/>
  <c r="K39" i="13"/>
  <c r="I39" i="13"/>
  <c r="G39" i="13"/>
  <c r="M39" i="13" s="1"/>
  <c r="Q36" i="13"/>
  <c r="O36" i="13"/>
  <c r="K36" i="13"/>
  <c r="I36" i="13"/>
  <c r="G36" i="13"/>
  <c r="O29" i="13"/>
  <c r="O28" i="13" s="1"/>
  <c r="V23" i="13"/>
  <c r="Q23" i="13"/>
  <c r="O23" i="13"/>
  <c r="K23" i="13"/>
  <c r="I23" i="13"/>
  <c r="G23" i="13"/>
  <c r="M23" i="13" s="1"/>
  <c r="Q9" i="13"/>
  <c r="I57" i="13" l="1"/>
  <c r="M55" i="13"/>
  <c r="G35" i="13"/>
  <c r="M69" i="13"/>
  <c r="G61" i="13"/>
  <c r="M79" i="13"/>
  <c r="M72" i="13" s="1"/>
  <c r="G72" i="13"/>
  <c r="M36" i="13"/>
  <c r="K57" i="13"/>
  <c r="Q57" i="13"/>
  <c r="O72" i="13"/>
  <c r="I72" i="13"/>
  <c r="V72" i="13"/>
  <c r="G20" i="13"/>
  <c r="M20" i="13" s="1"/>
  <c r="K35" i="13"/>
  <c r="E18" i="13"/>
  <c r="K72" i="13"/>
  <c r="Q72" i="13"/>
  <c r="K9" i="13"/>
  <c r="K29" i="13"/>
  <c r="K28" i="13" s="1"/>
  <c r="G9" i="13"/>
  <c r="M9" i="13" s="1"/>
  <c r="O9" i="13"/>
  <c r="G29" i="13"/>
  <c r="Q29" i="13"/>
  <c r="Q28" i="13" s="1"/>
  <c r="Q35" i="13"/>
  <c r="O35" i="13"/>
  <c r="O15" i="13"/>
  <c r="I35" i="13"/>
  <c r="I12" i="13"/>
  <c r="Q12" i="13"/>
  <c r="I9" i="13"/>
  <c r="G12" i="13"/>
  <c r="M12" i="13" s="1"/>
  <c r="K12" i="13"/>
  <c r="O12" i="13"/>
  <c r="I29" i="13"/>
  <c r="I28" i="13" s="1"/>
  <c r="M62" i="13"/>
  <c r="I91" i="1"/>
  <c r="M35" i="13" l="1"/>
  <c r="I92" i="1"/>
  <c r="M29" i="13"/>
  <c r="M28" i="13" s="1"/>
  <c r="G28" i="13"/>
  <c r="I88" i="1" s="1"/>
  <c r="V15" i="13"/>
  <c r="Q15" i="13"/>
  <c r="M61" i="13"/>
  <c r="I89" i="1"/>
  <c r="I18" i="1" s="1"/>
  <c r="G15" i="13"/>
  <c r="M15" i="13" s="1"/>
  <c r="K15" i="13"/>
  <c r="I15" i="13"/>
  <c r="Q18" i="13"/>
  <c r="I18" i="13"/>
  <c r="O18" i="13"/>
  <c r="G18" i="13"/>
  <c r="M18" i="13" s="1"/>
  <c r="E26" i="13"/>
  <c r="V18" i="13"/>
  <c r="K18" i="13"/>
  <c r="E121" i="12"/>
  <c r="V26" i="13" l="1"/>
  <c r="O26" i="13"/>
  <c r="O8" i="13" s="1"/>
  <c r="K26" i="13"/>
  <c r="K8" i="13" s="1"/>
  <c r="G26" i="13"/>
  <c r="Q26" i="13"/>
  <c r="Q8" i="13" s="1"/>
  <c r="I26" i="13"/>
  <c r="I8" i="13" s="1"/>
  <c r="V8" i="13"/>
  <c r="AF83" i="13" l="1"/>
  <c r="G8" i="13"/>
  <c r="G83" i="13" s="1"/>
  <c r="M26" i="13"/>
  <c r="M8" i="13" s="1"/>
  <c r="G34" i="12"/>
  <c r="M34" i="12" s="1"/>
  <c r="Q62" i="12"/>
  <c r="O62" i="12"/>
  <c r="K62" i="12"/>
  <c r="I62" i="12"/>
  <c r="G62" i="12"/>
  <c r="M62" i="12" s="1"/>
  <c r="I87" i="1" l="1"/>
  <c r="O70" i="12"/>
  <c r="Q70" i="12" l="1"/>
  <c r="G70" i="12"/>
  <c r="M70" i="12" s="1"/>
  <c r="O98" i="12"/>
  <c r="I98" i="12" l="1"/>
  <c r="Q98" i="12"/>
  <c r="G98" i="12"/>
  <c r="M98" i="12" s="1"/>
  <c r="K98" i="12"/>
  <c r="Q43" i="12" l="1"/>
  <c r="G43" i="12" l="1"/>
  <c r="M43" i="12" s="1"/>
  <c r="O43" i="12"/>
  <c r="K43" i="12"/>
  <c r="I43" i="12"/>
  <c r="Q105" i="12" l="1"/>
  <c r="O105" i="12"/>
  <c r="K105" i="12"/>
  <c r="I105" i="12"/>
  <c r="Q78" i="12"/>
  <c r="O78" i="12"/>
  <c r="K78" i="12"/>
  <c r="I78" i="12"/>
  <c r="G78" i="12"/>
  <c r="Q40" i="12"/>
  <c r="O40" i="12"/>
  <c r="K40" i="12"/>
  <c r="I40" i="12"/>
  <c r="G40" i="12"/>
  <c r="M40" i="12" s="1"/>
  <c r="O50" i="12"/>
  <c r="Q52" i="12"/>
  <c r="O52" i="12"/>
  <c r="K52" i="12"/>
  <c r="I52" i="12"/>
  <c r="G52" i="12"/>
  <c r="M52" i="12" s="1"/>
  <c r="O19" i="12"/>
  <c r="Q26" i="12"/>
  <c r="O26" i="12"/>
  <c r="K26" i="12"/>
  <c r="I26" i="12"/>
  <c r="G26" i="12"/>
  <c r="M105" i="12" l="1"/>
  <c r="G105" i="12"/>
  <c r="I63" i="1" s="1"/>
  <c r="M26" i="12"/>
  <c r="M78" i="12"/>
  <c r="K50" i="12"/>
  <c r="Q50" i="12"/>
  <c r="G50" i="12"/>
  <c r="M50" i="12" s="1"/>
  <c r="I50" i="12"/>
  <c r="O12" i="12"/>
  <c r="E32" i="12"/>
  <c r="K19" i="12"/>
  <c r="I19" i="12"/>
  <c r="Q19" i="12"/>
  <c r="G19" i="12"/>
  <c r="M19" i="12" s="1"/>
  <c r="I9" i="12"/>
  <c r="G9" i="12"/>
  <c r="Q9" i="12"/>
  <c r="K9" i="12"/>
  <c r="O9" i="12"/>
  <c r="Q12" i="12"/>
  <c r="M9" i="12" l="1"/>
  <c r="Q112" i="12"/>
  <c r="I112" i="12"/>
  <c r="K112" i="12"/>
  <c r="G112" i="12"/>
  <c r="M112" i="12" s="1"/>
  <c r="O112" i="12"/>
  <c r="K12" i="12"/>
  <c r="G12" i="12"/>
  <c r="M12" i="12" s="1"/>
  <c r="I12" i="12"/>
  <c r="J27" i="1" l="1"/>
  <c r="Q95" i="12" l="1"/>
  <c r="O95" i="12"/>
  <c r="K95" i="12"/>
  <c r="I95" i="12"/>
  <c r="G95" i="12"/>
  <c r="M95" i="12" s="1"/>
  <c r="E45" i="12"/>
  <c r="Q16" i="12" l="1"/>
  <c r="O16" i="12"/>
  <c r="K16" i="12"/>
  <c r="I16" i="12"/>
  <c r="G16" i="12"/>
  <c r="M16" i="12" s="1"/>
  <c r="Q131" i="12" l="1"/>
  <c r="O131" i="12"/>
  <c r="K131" i="12"/>
  <c r="I131" i="12"/>
  <c r="G131" i="12"/>
  <c r="M131" i="12" s="1"/>
  <c r="Q129" i="12"/>
  <c r="O129" i="12"/>
  <c r="K129" i="12"/>
  <c r="I129" i="12"/>
  <c r="G129" i="12"/>
  <c r="M129" i="12" s="1"/>
  <c r="Q124" i="12"/>
  <c r="O124" i="12"/>
  <c r="K124" i="12"/>
  <c r="I124" i="12"/>
  <c r="G124" i="12"/>
  <c r="Q100" i="12"/>
  <c r="O100" i="12"/>
  <c r="K100" i="12"/>
  <c r="I100" i="12"/>
  <c r="G100" i="12"/>
  <c r="Q68" i="12"/>
  <c r="O68" i="12"/>
  <c r="G72" i="12"/>
  <c r="G68" i="12"/>
  <c r="M68" i="12" s="1"/>
  <c r="M72" i="12" l="1"/>
  <c r="M100" i="12"/>
  <c r="M124" i="12"/>
  <c r="G45" i="12"/>
  <c r="M45" i="12" s="1"/>
  <c r="Q72" i="12"/>
  <c r="O72" i="12"/>
  <c r="BA142" i="12"/>
  <c r="BA139" i="12"/>
  <c r="BA136" i="12"/>
  <c r="BA127" i="12"/>
  <c r="BA66" i="12"/>
  <c r="V12" i="12"/>
  <c r="G14" i="12"/>
  <c r="I14" i="12"/>
  <c r="K14" i="12"/>
  <c r="O14" i="12"/>
  <c r="Q14" i="12"/>
  <c r="V14" i="12"/>
  <c r="G22" i="12"/>
  <c r="M22" i="12" s="1"/>
  <c r="I22" i="12"/>
  <c r="K22" i="12"/>
  <c r="O22" i="12"/>
  <c r="Q22" i="12"/>
  <c r="V22" i="12"/>
  <c r="G24" i="12"/>
  <c r="M24" i="12" s="1"/>
  <c r="I24" i="12"/>
  <c r="K24" i="12"/>
  <c r="O24" i="12"/>
  <c r="Q24" i="12"/>
  <c r="V24" i="12"/>
  <c r="G29" i="12"/>
  <c r="I29" i="12"/>
  <c r="K29" i="12"/>
  <c r="O29" i="12"/>
  <c r="Q29" i="12"/>
  <c r="V29" i="12"/>
  <c r="G32" i="12"/>
  <c r="M32" i="12" s="1"/>
  <c r="I32" i="12"/>
  <c r="K32" i="12"/>
  <c r="O32" i="12"/>
  <c r="Q32" i="12"/>
  <c r="V32" i="12"/>
  <c r="G37" i="12"/>
  <c r="I37" i="12"/>
  <c r="K37" i="12"/>
  <c r="O37" i="12"/>
  <c r="Q37" i="12"/>
  <c r="V37" i="12"/>
  <c r="O45" i="12"/>
  <c r="G48" i="12"/>
  <c r="I48" i="12"/>
  <c r="K48" i="12"/>
  <c r="O48" i="12"/>
  <c r="Q48" i="12"/>
  <c r="V48" i="12"/>
  <c r="V52" i="12"/>
  <c r="V57" i="12"/>
  <c r="G65" i="12"/>
  <c r="M65" i="12" s="1"/>
  <c r="I65" i="12"/>
  <c r="K65" i="12"/>
  <c r="O65" i="12"/>
  <c r="Q65" i="12"/>
  <c r="V65" i="12"/>
  <c r="G92" i="12"/>
  <c r="I92" i="12"/>
  <c r="K92" i="12"/>
  <c r="O92" i="12"/>
  <c r="Q92" i="12"/>
  <c r="V92" i="12"/>
  <c r="G102" i="12"/>
  <c r="M102" i="12" s="1"/>
  <c r="I102" i="12"/>
  <c r="K102" i="12"/>
  <c r="O102" i="12"/>
  <c r="Q102" i="12"/>
  <c r="V102" i="12"/>
  <c r="G110" i="12"/>
  <c r="M110" i="12" s="1"/>
  <c r="I110" i="12"/>
  <c r="K110" i="12"/>
  <c r="O110" i="12"/>
  <c r="Q110" i="12"/>
  <c r="V110" i="12"/>
  <c r="G114" i="12"/>
  <c r="I114" i="12"/>
  <c r="K114" i="12"/>
  <c r="O114" i="12"/>
  <c r="Q114" i="12"/>
  <c r="V114" i="12"/>
  <c r="G117" i="12"/>
  <c r="M117" i="12" s="1"/>
  <c r="I117" i="12"/>
  <c r="K117" i="12"/>
  <c r="O117" i="12"/>
  <c r="Q117" i="12"/>
  <c r="V117" i="12"/>
  <c r="G121" i="12"/>
  <c r="M121" i="12" s="1"/>
  <c r="I121" i="12"/>
  <c r="K121" i="12"/>
  <c r="O121" i="12"/>
  <c r="Q121" i="12"/>
  <c r="V121" i="12"/>
  <c r="G126" i="12"/>
  <c r="G123" i="12" s="1"/>
  <c r="I66" i="1" s="1"/>
  <c r="I19" i="1" s="1"/>
  <c r="I126" i="12"/>
  <c r="I123" i="12" s="1"/>
  <c r="K126" i="12"/>
  <c r="K123" i="12" s="1"/>
  <c r="O126" i="12"/>
  <c r="O123" i="12" s="1"/>
  <c r="Q126" i="12"/>
  <c r="Q123" i="12" s="1"/>
  <c r="V126" i="12"/>
  <c r="V123" i="12" s="1"/>
  <c r="G135" i="12"/>
  <c r="M135" i="12" s="1"/>
  <c r="I135" i="12"/>
  <c r="K135" i="12"/>
  <c r="O135" i="12"/>
  <c r="Q135" i="12"/>
  <c r="V135" i="12"/>
  <c r="G138" i="12"/>
  <c r="M138" i="12" s="1"/>
  <c r="I138" i="12"/>
  <c r="K138" i="12"/>
  <c r="O138" i="12"/>
  <c r="Q138" i="12"/>
  <c r="V138" i="12"/>
  <c r="G141" i="12"/>
  <c r="M141" i="12" s="1"/>
  <c r="I141" i="12"/>
  <c r="K141" i="12"/>
  <c r="O141" i="12"/>
  <c r="Q141" i="12"/>
  <c r="V141" i="12"/>
  <c r="AE145" i="12"/>
  <c r="F43" i="1" s="1"/>
  <c r="H44" i="1"/>
  <c r="G74" i="12" l="1"/>
  <c r="I62" i="1" s="1"/>
  <c r="M114" i="12"/>
  <c r="M109" i="12" s="1"/>
  <c r="G47" i="12"/>
  <c r="I61" i="1" s="1"/>
  <c r="M37" i="12"/>
  <c r="G8" i="12"/>
  <c r="I60" i="1" s="1"/>
  <c r="M14" i="12"/>
  <c r="M29" i="12"/>
  <c r="M92" i="12"/>
  <c r="M74" i="12" s="1"/>
  <c r="V45" i="12"/>
  <c r="I45" i="12"/>
  <c r="I8" i="12" s="1"/>
  <c r="M48" i="12"/>
  <c r="M47" i="12" s="1"/>
  <c r="Q45" i="12"/>
  <c r="K45" i="12"/>
  <c r="O8" i="12"/>
  <c r="V74" i="12"/>
  <c r="O74" i="12"/>
  <c r="M134" i="12"/>
  <c r="O134" i="12"/>
  <c r="Q134" i="12"/>
  <c r="I134" i="12"/>
  <c r="Q116" i="12"/>
  <c r="I116" i="12"/>
  <c r="V116" i="12"/>
  <c r="O116" i="12"/>
  <c r="Q109" i="12"/>
  <c r="I109" i="12"/>
  <c r="V109" i="12"/>
  <c r="O109" i="12"/>
  <c r="K74" i="12"/>
  <c r="Q74" i="12"/>
  <c r="I74" i="12"/>
  <c r="Q47" i="12"/>
  <c r="I47" i="12"/>
  <c r="V134" i="12"/>
  <c r="K134" i="12"/>
  <c r="G134" i="12"/>
  <c r="K116" i="12"/>
  <c r="G116" i="12"/>
  <c r="I65" i="1" s="1"/>
  <c r="K109" i="12"/>
  <c r="G109" i="12"/>
  <c r="I64" i="1" s="1"/>
  <c r="V47" i="12"/>
  <c r="O47" i="12"/>
  <c r="K47" i="12"/>
  <c r="AF145" i="12"/>
  <c r="G43" i="1" s="1"/>
  <c r="I43" i="1" s="1"/>
  <c r="F40" i="1"/>
  <c r="F42" i="1"/>
  <c r="I17" i="1"/>
  <c r="M126" i="12"/>
  <c r="M123" i="12" s="1"/>
  <c r="M116" i="12"/>
  <c r="J29" i="1"/>
  <c r="J26" i="1"/>
  <c r="G39" i="1"/>
  <c r="F39" i="1"/>
  <c r="J23" i="1"/>
  <c r="J24" i="1"/>
  <c r="J25" i="1"/>
  <c r="J28" i="1"/>
  <c r="E24" i="1"/>
  <c r="E26" i="1"/>
  <c r="I67" i="1" l="1"/>
  <c r="I20" i="1" s="1"/>
  <c r="G145" i="12"/>
  <c r="I68" i="1"/>
  <c r="M8" i="12"/>
  <c r="K8" i="12"/>
  <c r="V8" i="12"/>
  <c r="Q8" i="12"/>
  <c r="G40" i="1"/>
  <c r="G44" i="1" s="1"/>
  <c r="G42" i="1"/>
  <c r="I42" i="1" s="1"/>
  <c r="F44" i="1"/>
  <c r="G23" i="1" s="1"/>
  <c r="J67" i="1" l="1"/>
  <c r="I48" i="1"/>
  <c r="J63" i="1"/>
  <c r="J61" i="1"/>
  <c r="J66" i="1"/>
  <c r="J60" i="1"/>
  <c r="J64" i="1"/>
  <c r="J62" i="1"/>
  <c r="J65" i="1"/>
  <c r="I40" i="1"/>
  <c r="I44" i="1" s="1"/>
  <c r="J43" i="1" s="1"/>
  <c r="I93" i="1"/>
  <c r="I50" i="1" l="1"/>
  <c r="I51" i="1" s="1"/>
  <c r="J49" i="1" s="1"/>
  <c r="J90" i="1"/>
  <c r="J68" i="1"/>
  <c r="J88" i="1"/>
  <c r="J89" i="1"/>
  <c r="J42" i="1"/>
  <c r="J40" i="1"/>
  <c r="J44" i="1" s="1"/>
  <c r="J92" i="1"/>
  <c r="J91" i="1"/>
  <c r="J87" i="1"/>
  <c r="J50" i="1" l="1"/>
  <c r="I21" i="1"/>
  <c r="I16" i="1" s="1"/>
  <c r="J48" i="1"/>
  <c r="J93" i="1"/>
  <c r="G25" i="1" l="1"/>
  <c r="G27" i="1" s="1"/>
  <c r="A28" i="1" l="1"/>
  <c r="A29" i="1" s="1"/>
  <c r="G29" i="1"/>
  <c r="G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3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4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TSC</author>
  </authors>
  <commentList>
    <comment ref="S6" authorId="0" shapeId="0" xr:uid="{00000000-0006-0000-0500-000001000000}">
      <text>
        <r>
          <rPr>
            <sz val="8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8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<sst xmlns="http://schemas.openxmlformats.org/spreadsheetml/2006/main" count="1283" uniqueCount="352">
  <si>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</si>
  <si>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</si>
  <si>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</si>
  <si>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</si>
  <si>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</si>
  <si>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</si>
  <si>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</si>
  <si>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</si>
  <si>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</si>
  <si>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</si>
  <si>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</si>
  <si>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</si>
  <si>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</si>
  <si>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</si>
  <si>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</si>
  <si>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</si>
  <si>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</si>
  <si>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</si>
  <si>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</si>
  <si>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</si>
  <si>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</si>
  <si>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</si>
  <si>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</si>
  <si>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</si>
  <si>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</si>
  <si>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</si>
  <si>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</si>
  <si>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</si>
  <si>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</si>
  <si>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</si>
  <si>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</si>
  <si>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</si>
  <si>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</si>
  <si>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</si>
  <si>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</si>
  <si>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</si>
  <si>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</si>
  <si>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</si>
  <si>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</si>
  <si>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</si>
  <si>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</si>
  <si>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01285</t>
  </si>
  <si>
    <t>Rekonstrukce chodníků v ulici V Podlískách v obci Braškov</t>
  </si>
  <si>
    <t>SO 01</t>
  </si>
  <si>
    <t>Chodník</t>
  </si>
  <si>
    <t>Objekt:</t>
  </si>
  <si>
    <t>Rozpočet:</t>
  </si>
  <si>
    <t>Stavba</t>
  </si>
  <si>
    <t>Stavební objekt</t>
  </si>
  <si>
    <t>Celkem za stavbu</t>
  </si>
  <si>
    <t>CZK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</si>
  <si>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</si>
  <si>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</si>
  <si>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</si>
  <si>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</si>
  <si>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</si>
  <si>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</si>
  <si>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</si>
  <si>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</si>
  <si>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</si>
  <si>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</si>
  <si>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</si>
  <si>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</si>
  <si>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</si>
  <si>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</si>
  <si>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</si>
  <si>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</si>
  <si>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</si>
  <si>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</si>
  <si>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</si>
  <si>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</si>
  <si>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</si>
  <si>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</si>
  <si>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</si>
  <si>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</si>
  <si>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</si>
  <si>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</si>
  <si>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</si>
  <si>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</si>
  <si>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</si>
  <si>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</si>
  <si>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</si>
  <si>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</si>
  <si>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</si>
  <si>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</si>
  <si>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</si>
  <si>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</si>
  <si>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</si>
  <si>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</si>
  <si>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</si>
  <si>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</si>
  <si>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</si>
  <si>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</si>
  <si>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RTS 20/ I</t>
  </si>
  <si>
    <t>SPU</t>
  </si>
  <si>
    <t>SPCM</t>
  </si>
  <si>
    <t>kus</t>
  </si>
  <si>
    <t>59217010R</t>
  </si>
  <si>
    <t>obrubník silniční materiál beton; l = 1000,0 mm; š = 150,0 mm; h = 250,0 mm; barva přírodní</t>
  </si>
  <si>
    <t>m2</t>
  </si>
  <si>
    <t>59248031R</t>
  </si>
  <si>
    <t xml:space="preserve">Geodetické práce </t>
  </si>
  <si>
    <t>Soubor</t>
  </si>
  <si>
    <t>Indiv</t>
  </si>
  <si>
    <t>VRN</t>
  </si>
  <si>
    <t>POL99_2</t>
  </si>
  <si>
    <t>Zařízení staveniště</t>
  </si>
  <si>
    <t>POP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</si>
  <si>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</si>
  <si>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</si>
  <si>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</si>
  <si>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822-1</t>
  </si>
  <si>
    <t>Práce</t>
  </si>
  <si>
    <t>POL1_</t>
  </si>
  <si>
    <t>SPI</t>
  </si>
  <si>
    <t>113201111R00</t>
  </si>
  <si>
    <t>m</t>
  </si>
  <si>
    <t>119001421R00</t>
  </si>
  <si>
    <t>Dočasné zajištění podzemního potrubí nebo vedení kabelů do 3 kabelů</t>
  </si>
  <si>
    <t>800-1</t>
  </si>
  <si>
    <t>m3</t>
  </si>
  <si>
    <t>122201109R00</t>
  </si>
  <si>
    <t>Odkopávky a  prokopávky nezapažené v hornině 3_x000D_
 příplatek k cenám za lepivost horniny</t>
  </si>
  <si>
    <t>162701105RT3</t>
  </si>
  <si>
    <t>Vodorovné přemístění výkopku z horniny 1 až 4, na vzdálenost přes 9 000  do 10 000 m</t>
  </si>
  <si>
    <t>po suchu, bez naložení výkopku, avšak se složením bez rozhrnutí, zpáteční cesta vozidla.</t>
  </si>
  <si>
    <t>167101101R00</t>
  </si>
  <si>
    <t>180402111R00</t>
  </si>
  <si>
    <t>823-1</t>
  </si>
  <si>
    <t>na půdě předem připravené s pokosením, naložením, odvozem odpadu do 20 km a se složením,</t>
  </si>
  <si>
    <t>199000002R00</t>
  </si>
  <si>
    <t>Poplatky za skládku horniny 1- 4, skupina 17 05 04 z Katalogu odpadů</t>
  </si>
  <si>
    <t>t</t>
  </si>
  <si>
    <t>596215041R00</t>
  </si>
  <si>
    <t>s provedením lože z kameniva drceného, s vyplněním spár, s dvojitým hutněním a se smetením přebytečného materiálu na krajnici. S dodáním hmot pro lože a výplň spár.</t>
  </si>
  <si>
    <t>919735112R00</t>
  </si>
  <si>
    <t>Řezání stávajících krytů nebo podkladů živičných, hloubky přes 50 do 100 mm</t>
  </si>
  <si>
    <t>včetně spotřeby vody</t>
  </si>
  <si>
    <t>Přesun hmot</t>
  </si>
  <si>
    <t>POL7_</t>
  </si>
  <si>
    <t>Přesun hmot pozemních komunikací, kryt dlážděný jakékoliv délky objektu</t>
  </si>
  <si>
    <t>Přesun suti</t>
  </si>
  <si>
    <t>POL8_</t>
  </si>
  <si>
    <t>801-3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</si>
  <si>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</si>
  <si>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</si>
  <si>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</si>
  <si>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005211030R</t>
  </si>
  <si>
    <t xml:space="preserve">Dočasná dopravní opatření 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</si>
  <si>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</si>
  <si>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</si>
  <si>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</si>
  <si>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005281010R</t>
  </si>
  <si>
    <t>Propagace</t>
  </si>
  <si>
    <t>SUM</t>
  </si>
  <si>
    <t>END</t>
  </si>
  <si>
    <t>Vytrhání obrub silničních stojatých nebo ležatých</t>
  </si>
  <si>
    <t>12224441R00</t>
  </si>
  <si>
    <t>917855111RT7</t>
  </si>
  <si>
    <t>998200011R00</t>
  </si>
  <si>
    <t>998213111R00</t>
  </si>
  <si>
    <t>Poplatek za skládku stavební suti</t>
  </si>
  <si>
    <t>979188001R00</t>
  </si>
  <si>
    <t>005131 R</t>
  </si>
  <si>
    <t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t>
  </si>
  <si>
    <t>Náklady spojené s povinnou publicitou. Zahrnuje zejména náklady na propagační a informační billboardy, tabule, internetovou propagaci, tiskoviny apod.</t>
  </si>
  <si>
    <t>ve výkopišti ve stavu a poloze, ve kterých byla na začátku zemních prací, a to především ochranným bedněním, se zřízením a odstraněním zajišťovací konstrukce a včetně opotřebení použitých materiálů,</t>
  </si>
  <si>
    <t>Založení trávníku parkový trávník, výsevem v rovině, vč. travního smene</t>
  </si>
  <si>
    <t>005121029 R</t>
  </si>
  <si>
    <t>Kladení zámkové dlažby do drtě tloušťka dlažby 60 mm, tloušťka lože 40 mm</t>
  </si>
  <si>
    <t>Kladení zámkové dlažby do drtě tloušťka dlažby 80 mm, tloušťka lože 40 mm</t>
  </si>
  <si>
    <t>Nakládání výkopku, skládání, překládání neulehlého výkopku_x000D_ z hornin 1 až 4</t>
  </si>
  <si>
    <t>dlažba betonová, zámková, přírodní šedá; tl. 80 mm</t>
  </si>
  <si>
    <t>S dodáním hmot pro lože a opěry</t>
  </si>
  <si>
    <t>Osazení silničního betonového obrubníku, s boční opěrou z betonu prostého, do lože z betonu prostého C 12/15</t>
  </si>
  <si>
    <t>917855101RT7</t>
  </si>
  <si>
    <t>592215021R00</t>
  </si>
  <si>
    <t>Osazení chodníkového nebo parkového betonového obrubníku, s boční opěrou z betonu prostého, do lože z betonu prostého C 12/15</t>
  </si>
  <si>
    <t xml:space="preserve">             Artendr s.r.o.</t>
  </si>
  <si>
    <t>Zadavatel:</t>
  </si>
  <si>
    <t>Celkem bez DPH</t>
  </si>
  <si>
    <t>Základní DPH</t>
  </si>
  <si>
    <t>Bourání konstrukcí</t>
  </si>
  <si>
    <t>96</t>
  </si>
  <si>
    <t>120001101R00</t>
  </si>
  <si>
    <t>Ztížené vykopávky v horninách jakékoliv třídy</t>
  </si>
  <si>
    <t>139601102R00</t>
  </si>
  <si>
    <t>Ruční výkop jam, rýh a šachet v hornině 3</t>
  </si>
  <si>
    <t>s přehozením na vzdálenost do 5 m nebo s naložením na ruční dopravní prostředek</t>
  </si>
  <si>
    <t>567123811R00</t>
  </si>
  <si>
    <t>Podklad z kameniva zpevněného cementem KZC, tloušťka po zhutnění 120 mm</t>
  </si>
  <si>
    <t>823-2</t>
  </si>
  <si>
    <t>Rozprostření zemin schopných zúrodnění v rovině nebo svahu do 1:5, tloušťka 200 mm</t>
  </si>
  <si>
    <t>vč. dodávky zeminy, naložení, dovozu do 20 km a se složením,</t>
  </si>
  <si>
    <t>184807111R00</t>
  </si>
  <si>
    <t>95</t>
  </si>
  <si>
    <t>Dokončovací konstrukce na pozemních stavbách</t>
  </si>
  <si>
    <t>801-1</t>
  </si>
  <si>
    <t>998222011R00</t>
  </si>
  <si>
    <t>Přesun hmot pozemních komunikací, kryt z kameniva jakékoliv délky objektu</t>
  </si>
  <si>
    <t>181101102R00</t>
  </si>
  <si>
    <t>Úprava pláně v zářezech v hornině 1 až 4, se zhutněním</t>
  </si>
  <si>
    <t>113106236R00</t>
  </si>
  <si>
    <t>113108310R00</t>
  </si>
  <si>
    <r>
      <t xml:space="preserve">Odstranění podkladů nebo krytů živičných, v ploše jednotlivě do 50 m2, tloušťka vrstvy do </t>
    </r>
    <r>
      <rPr>
        <sz val="8"/>
        <color theme="1"/>
        <rFont val="Arial CE"/>
        <charset val="238"/>
      </rPr>
      <t>100</t>
    </r>
    <r>
      <rPr>
        <sz val="8"/>
        <rFont val="Arial CE"/>
        <charset val="238"/>
      </rPr>
      <t xml:space="preserve"> mm</t>
    </r>
  </si>
  <si>
    <t>181006190RT2</t>
  </si>
  <si>
    <t>Podklad ze štěrkodrti s rozprostřením a zhutněním (frakce 0-32 mm), tloušťka po zhutnění 150 mm</t>
  </si>
  <si>
    <t>564851111RT2</t>
  </si>
  <si>
    <t>Město Znojmo</t>
  </si>
  <si>
    <t>Obroková 1/12</t>
  </si>
  <si>
    <t>669 22</t>
  </si>
  <si>
    <t>Znojmo</t>
  </si>
  <si>
    <t>00293881</t>
  </si>
  <si>
    <t>Podklad ze štěrkodrti s rozprostřením a zhutněním (frakce 0-32mm), tloušťka po zhutnění 200mm</t>
  </si>
  <si>
    <t>564851112RT3</t>
  </si>
  <si>
    <t xml:space="preserve">dlažba betonová, zámková; přírodní šedá, tl. 60 mm </t>
  </si>
  <si>
    <t>59245255R</t>
  </si>
  <si>
    <t xml:space="preserve">dlažba betonová, zámková; červená, slepecká, tl. 60 mm </t>
  </si>
  <si>
    <t>914001199RT9</t>
  </si>
  <si>
    <t>příplatek k cenám vykopávek za ztížení vykopávky v blízkosti podzemního vedení v horninách jakékoliv třídy,</t>
  </si>
  <si>
    <t>s vybouráním lože, s přemístěním hmot na skládku na vzdálenost do 3 m nebo naložením na dopravní prostředek,</t>
  </si>
  <si>
    <t>s přemístěním hmot na skládku na vzdálenost do 3 m nebo s naložením na dopravní prostředek,</t>
  </si>
  <si>
    <t>564972189RT3</t>
  </si>
  <si>
    <t>174101101R00</t>
  </si>
  <si>
    <t>z jakékoliv horniny s uložením výkopku po vrstvách,</t>
  </si>
  <si>
    <t xml:space="preserve">Zásyp sypaninou se zhutněním jam, šachet, rýh nebo kolem objektů </t>
  </si>
  <si>
    <t>132201110R00</t>
  </si>
  <si>
    <t>Hloubení rýh šířky do 60 cm do 50 m3, v hornině 3, hloubení strojně</t>
  </si>
  <si>
    <t>zapažených i nezapažených s urovnáním dna do předepsaného profilu a spádu, s přehozením výkopku na přilehlém terénu na vzdálenost do 3 m od podélné osy rýhy nebo s naložením výkopku na dopravní prostředek.</t>
  </si>
  <si>
    <t>4</t>
  </si>
  <si>
    <t>Vodorovné konstrukce</t>
  </si>
  <si>
    <t>827-1</t>
  </si>
  <si>
    <t>v otevřeném výkopu,</t>
  </si>
  <si>
    <t>Lože kabelové z písku a štěrkopísku do 100 mm</t>
  </si>
  <si>
    <t>451573119R00</t>
  </si>
  <si>
    <t>M21</t>
  </si>
  <si>
    <t>Elektromontáže</t>
  </si>
  <si>
    <t>210202115R00</t>
  </si>
  <si>
    <t>210204002RT1</t>
  </si>
  <si>
    <t>210810368R00</t>
  </si>
  <si>
    <t>210172189RT5</t>
  </si>
  <si>
    <t>Dodávka a montáž rozvaděče, venkovní sloupek vč.vybavení (jištění, soumrakový spínač, časové hodinym elektroměr, zapojení)</t>
  </si>
  <si>
    <t>Fólie výstražná z PVC, šířka 33 cm</t>
  </si>
  <si>
    <t>210890012R00</t>
  </si>
  <si>
    <t>Dodávka a montáž chráničky PVC DN63</t>
  </si>
  <si>
    <t>Dodávka a montáž zemnícího drátu FeZn-D10 vč. svorek</t>
  </si>
  <si>
    <t>210810376R00</t>
  </si>
  <si>
    <t>210810388R00</t>
  </si>
  <si>
    <t>210204130R00</t>
  </si>
  <si>
    <t>Montáž chrániček dělených na stávající vedení v případě, že nebude nutná přeložka těvhto vedení.</t>
  </si>
  <si>
    <t>210810379RT1</t>
  </si>
  <si>
    <t>Dodávka a montáž chráničky dělené do DN 160</t>
  </si>
  <si>
    <t>Cena celkem bez DPH</t>
  </si>
  <si>
    <t>vč. základu, nové kotevní šrouby</t>
  </si>
  <si>
    <t>91400R01</t>
  </si>
  <si>
    <t>210168</t>
  </si>
  <si>
    <t>Rekonstrukce místní komunikace Konice směr Kraví Hora</t>
  </si>
  <si>
    <t>Znojmo - Konice - komunikace a VO</t>
  </si>
  <si>
    <t>Odstranění podkladů nebo krytů z kameniva hrubého drceného, v ploše jednotlivě nad 50 m2</t>
  </si>
  <si>
    <t>113107539R00</t>
  </si>
  <si>
    <t>Značka dopravní, vč. sloupku 60mm, délky 2,5m + patice</t>
  </si>
  <si>
    <t xml:space="preserve">Osazení a montáž svislých sloupků plotových a jiných, výšky do 2m, do betonového základu,  </t>
  </si>
  <si>
    <t>vč. základu, nové kotevní šrouby (stávající koše)</t>
  </si>
  <si>
    <t>Dodávka a montáž dopravní značky doplňujícího charakteru na sloupek, vč. objímek</t>
  </si>
  <si>
    <t>RTS 21/II</t>
  </si>
  <si>
    <t>914001268RT9</t>
  </si>
  <si>
    <t>911011206RT9</t>
  </si>
  <si>
    <t>Demontáž svislých dopravních značek, vč. sloupků a patek</t>
  </si>
  <si>
    <t xml:space="preserve">vč. zásypu jamky, zemních prací, likvidace </t>
  </si>
  <si>
    <t>954431111R00</t>
  </si>
  <si>
    <t xml:space="preserve">Výšková úprava uličního vstupu, vpustě nebo šoupěte do 20 cm </t>
  </si>
  <si>
    <t>odbouráním dosavadního krytu, podkladu, nadezdívky nebo prstence s odklizením vybouraných hmot do 3 m, zarovnání plochy nadezdívky cementovou maltou, podbetonování nebo podezdění rámu, odstranění a znovuosazení rámu, poklopu, mříže, krycího hrnce nebo hydrantu, úpravy a doplnění krytu popř. podkladu vozovky v místě provedené výškové úpravy,</t>
  </si>
  <si>
    <t>obrubník chodníkový betonový; l = 1000,0 mm; š = 80 mm; h = 250,0 mm; barva přírodní</t>
  </si>
  <si>
    <t>59217002R</t>
  </si>
  <si>
    <t>573231130R00</t>
  </si>
  <si>
    <t>Postřik živičný spojovací bez posypu kamenivem z asfaltu silničního, v množství od 0,3 do 0,5 kg/m2</t>
  </si>
  <si>
    <t>577151107RT2</t>
  </si>
  <si>
    <t>577151123RT2</t>
  </si>
  <si>
    <t>577132111RT2</t>
  </si>
  <si>
    <t>Beton asfaltový s rozprostřením a zhutněním v pruhu šířky přes 3 m, ACO 8-11 SMA NH, tloušťky 40 mm (tichý asfalt)</t>
  </si>
  <si>
    <t>914001014R04</t>
  </si>
  <si>
    <t>Demontáž, uskladnění a montáž dřevěného rozcestníku, vč. zemních prací  a betonu pro patku</t>
  </si>
  <si>
    <t>s očištěním, přemístěním hmot na skládku na vzdálenost do 3 m nebo s naložením na dopravní prostředek,</t>
  </si>
  <si>
    <t>Odvodnění pozemní komunikace</t>
  </si>
  <si>
    <t>Veřejné osvětlení pozemní komunikace</t>
  </si>
  <si>
    <t>Přesun hmot komunikací, kryt živičný, nebo betonový jakékoliv délky objektu</t>
  </si>
  <si>
    <t>979086112R00</t>
  </si>
  <si>
    <t>Odvoz suti a vybouraných hmot na skládku do 1 km</t>
  </si>
  <si>
    <t>979081111R00</t>
  </si>
  <si>
    <t>Odvoz suti a vybouraných hmot na skládku příplatek za každý další 1 km</t>
  </si>
  <si>
    <t xml:space="preserve">Rozebrání komunikací z dlaždic betonových s jakýmkoliv ložem a výplní spár_x000D_ </t>
  </si>
  <si>
    <t>Odkopávky a  prokopávky nezapažené v hornině 3_x000D_ příplatek k cenám za lepivost horniny</t>
  </si>
  <si>
    <t>Odkopávky a  prokopávky nezapažené v hornině 3_x000D_ do 100 m3</t>
  </si>
  <si>
    <t>592119111R00</t>
  </si>
  <si>
    <t>Kladení betonových vegetačních dlaždic tl. do 80mm, tloušťka lože 50mm</t>
  </si>
  <si>
    <t>s provedením lože z kameniva drceného, s vyplněním spári. S dodáním hmot pro lože a výplň spár.</t>
  </si>
  <si>
    <t>59211971R</t>
  </si>
  <si>
    <t>Vegetační dlažba šedá, přírodní tl. 8cm</t>
  </si>
  <si>
    <t>dodávka a montáž vegetační dlažby (např. Hydroset, nebo Akvagras)</t>
  </si>
  <si>
    <t>Podklad ze štěrkodrti s rozprostřením a zhutněním (frakce 16-22mm), tloušťka po zhutnění 200mm</t>
  </si>
  <si>
    <t>Podklad ze štěrkopísku, tloušťka 100 mm</t>
  </si>
  <si>
    <t>s rozprostřením a zhutněním, kamenivo tříděné 0/6</t>
  </si>
  <si>
    <t>Dodávka a kladení kostek kamenných 8/10cm do lože z betonu</t>
  </si>
  <si>
    <t>Podklad ze štěrkodrti s rozprostřením a zhutněním (frakce 16-22mm), tloušťka po zhutnění 250mm</t>
  </si>
  <si>
    <t>564851312RT3</t>
  </si>
  <si>
    <t>564851317RT3</t>
  </si>
  <si>
    <t>564972111R00</t>
  </si>
  <si>
    <t>Podklad z mechanicky zpevněného kameniva, tloušťka po zhutnění 250 mm</t>
  </si>
  <si>
    <t>564991130R00</t>
  </si>
  <si>
    <t>Zřízení opevnění vtoku, štěrk granitový</t>
  </si>
  <si>
    <t>dodávka a montáž kostek žulových štípaných 8/10cm, vč. lože z betonu C12/15 tl. min. 200mm, vč. doprav</t>
  </si>
  <si>
    <t>s rozprostřením a zhutněním, vč. dopravy</t>
  </si>
  <si>
    <t>953004750RT8</t>
  </si>
  <si>
    <t>Ochranné dřevěné bednění kolem stromu</t>
  </si>
  <si>
    <t>Zřízení, demontáž, vč. potřebného materiálu a ztratného</t>
  </si>
  <si>
    <t xml:space="preserve">Dodávka a výsadba sazenic stromů, do jamky 60x60x60cm, se zalitím </t>
  </si>
  <si>
    <t>včetně dodávky stromu výšky do 2m - vrba  2ks</t>
  </si>
  <si>
    <t>184807139R00</t>
  </si>
  <si>
    <t xml:space="preserve">Dodávka a výsadba sazenic keřů, výšky do 60cm vč. zalití </t>
  </si>
  <si>
    <t>včetně dodávky keřů výšky do 60cm - max 2ks /m2</t>
  </si>
  <si>
    <t>Dodávka a montáž svítidla veřejného osvětlení (LED, např. Dekora 33W/2700 K)</t>
  </si>
  <si>
    <t>961041078R00</t>
  </si>
  <si>
    <t xml:space="preserve">Demontáž stávajících svítidel VO </t>
  </si>
  <si>
    <t>vč. likvidace, výsuvné plošiny</t>
  </si>
  <si>
    <t>Dodávka a montáž výložníku veřejného osvětlení, ocelového, včetně nového přívodu a elektrovýzbroje - svorkovnice s pojistkou 1A, zvýšená IP, montáž na sloup</t>
  </si>
  <si>
    <t>viz. specifikace v PD</t>
  </si>
  <si>
    <t>Montáž výložníku na stávající sloup, jejich rozvoz po trase, osazení, vyrovnání a definitivní zajištění vč. kabeláže a výzbroje, zapojení, výsuvná plošina, dle PD</t>
  </si>
  <si>
    <t xml:space="preserve">Dodávka a montáž kabelu CYKY 4b x 16 mm2, </t>
  </si>
  <si>
    <t>210810307R00</t>
  </si>
  <si>
    <t xml:space="preserve">Dodávka a montáž kabelu CYKY 3x1,5 mm2, </t>
  </si>
  <si>
    <t xml:space="preserve">Dodávka a montáž el. trubky ocelové </t>
  </si>
  <si>
    <t>451573137R00</t>
  </si>
  <si>
    <t>Písek tříděný 0/4 nebo 0/6</t>
  </si>
  <si>
    <t>dodávka písku, doprava vč. manipulace</t>
  </si>
  <si>
    <t>Rekapitulace objektů SO 01 - Komunikace a VO</t>
  </si>
  <si>
    <t>D.1.2.1 Komunikace</t>
  </si>
  <si>
    <t>D.1.2.2 Odvodnění Komunikace</t>
  </si>
  <si>
    <t>D.1.2.3 Veřejné osvětlení</t>
  </si>
  <si>
    <t>Rekapitulace dílů - D.1.2.2 Odvodnění komunikace</t>
  </si>
  <si>
    <t xml:space="preserve">Rekapitulace dílů - D.1.2.3 Veřejné osvětlení </t>
  </si>
  <si>
    <t>D.1.2.1</t>
  </si>
  <si>
    <t>D.1.2.2</t>
  </si>
  <si>
    <t>D.1.2.3</t>
  </si>
  <si>
    <t>Rekapitulace dílů - D.1.2.1 Komunikace</t>
  </si>
  <si>
    <r>
      <t xml:space="preserve">Rozebrání komunikací pro pěší s jakýmkoliv ložem a výplní spár ze zámkové </t>
    </r>
    <r>
      <rPr>
        <sz val="8"/>
        <color theme="1"/>
        <rFont val="Arial CE"/>
        <charset val="238"/>
      </rPr>
      <t>dlažby tl. do 80mm</t>
    </r>
  </si>
  <si>
    <t>dle PD</t>
  </si>
  <si>
    <t>Beton asfaltový s rozprostřením a zhutněním v pruhu šířky přes 3 m, ACP 16+, tloušťky 120 mm</t>
  </si>
  <si>
    <t>Beton asfaltový s rozprostřením a zhutněním v pruhu šířky přes 3 m, ACL 22+, tloušťky 70 mm</t>
  </si>
  <si>
    <t xml:space="preserve">Osazení a montáž svislých dopravních sloupků, do betonového základu,  </t>
  </si>
  <si>
    <t>Komunikace, odvodnění a VO</t>
  </si>
  <si>
    <t>Znojmo - Konice - komunikace, odvodnění a VO</t>
  </si>
  <si>
    <t>Rekonstrukce místní komunikace Konice                                       směr Kraví 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</si>
</sst>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2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color indexed="81"/>
      <name val="Tahoma"/>
      <family val="2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6" xfId="0" applyNumberFormat="1" applyFont="1" applyFill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3" fontId="7" fillId="3" borderId="36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3" borderId="36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8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8" fillId="0" borderId="0" xfId="0" applyFont="1" applyAlignment="1">
      <alignment vertical="top"/>
    </xf>
    <xf numFmtId="49" fontId="18" fillId="0" borderId="0" xfId="0" applyNumberFormat="1" applyFont="1" applyAlignment="1">
      <alignment vertical="top"/>
    </xf>
    <xf numFmtId="4" fontId="18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0" fontId="18" fillId="0" borderId="38" xfId="0" applyFont="1" applyBorder="1" applyAlignment="1">
      <alignment vertical="top"/>
    </xf>
    <xf numFmtId="49" fontId="18" fillId="0" borderId="39" xfId="0" applyNumberFormat="1" applyFont="1" applyBorder="1" applyAlignment="1">
      <alignment vertical="top"/>
    </xf>
    <xf numFmtId="0" fontId="18" fillId="0" borderId="39" xfId="0" applyFont="1" applyBorder="1" applyAlignment="1">
      <alignment horizontal="center" vertical="top" shrinkToFit="1"/>
    </xf>
    <xf numFmtId="164" fontId="18" fillId="0" borderId="39" xfId="0" applyNumberFormat="1" applyFont="1" applyBorder="1" applyAlignment="1">
      <alignment vertical="top" shrinkToFit="1"/>
    </xf>
    <xf numFmtId="4" fontId="18" fillId="4" borderId="39" xfId="0" applyNumberFormat="1" applyFont="1" applyFill="1" applyBorder="1" applyAlignment="1" applyProtection="1">
      <alignment vertical="top" shrinkToFit="1"/>
      <protection locked="0"/>
    </xf>
    <xf numFmtId="4" fontId="18" fillId="0" borderId="39" xfId="0" applyNumberFormat="1" applyFont="1" applyBorder="1" applyAlignment="1">
      <alignment vertical="top" shrinkToFit="1"/>
    </xf>
    <xf numFmtId="4" fontId="18" fillId="0" borderId="40" xfId="0" applyNumberFormat="1" applyFont="1" applyBorder="1" applyAlignment="1">
      <alignment vertical="top" shrinkToFit="1"/>
    </xf>
    <xf numFmtId="49" fontId="18" fillId="4" borderId="0" xfId="0" applyNumberFormat="1" applyFont="1" applyFill="1" applyAlignment="1" applyProtection="1">
      <alignment vertical="top"/>
      <protection locked="0"/>
    </xf>
    <xf numFmtId="0" fontId="20" fillId="0" borderId="0" xfId="0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8" fillId="0" borderId="39" xfId="0" applyNumberFormat="1" applyFont="1" applyBorder="1" applyAlignment="1">
      <alignment horizontal="left"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8" fillId="0" borderId="35" xfId="0" applyFont="1" applyBorder="1" applyAlignment="1">
      <alignment vertical="top"/>
    </xf>
    <xf numFmtId="49" fontId="8" fillId="0" borderId="35" xfId="0" applyNumberFormat="1" applyFont="1" applyBorder="1" applyAlignment="1">
      <alignment vertical="top"/>
    </xf>
    <xf numFmtId="4" fontId="8" fillId="0" borderId="35" xfId="0" applyNumberFormat="1" applyFont="1" applyBorder="1" applyAlignment="1">
      <alignment vertical="top" shrinkToFit="1"/>
    </xf>
    <xf numFmtId="4" fontId="18" fillId="0" borderId="0" xfId="0" applyNumberFormat="1" applyFont="1"/>
    <xf numFmtId="0" fontId="0" fillId="0" borderId="17" xfId="0" applyBorder="1" applyAlignment="1">
      <alignment horizontal="left" vertical="center" indent="1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49" fontId="0" fillId="0" borderId="35" xfId="0" applyNumberFormat="1" applyBorder="1" applyAlignment="1">
      <alignment vertical="center"/>
    </xf>
    <xf numFmtId="49" fontId="0" fillId="3" borderId="35" xfId="0" applyNumberFormat="1" applyFill="1" applyBorder="1" applyAlignment="1">
      <alignment vertical="center"/>
    </xf>
    <xf numFmtId="4" fontId="18" fillId="4" borderId="0" xfId="0" applyNumberFormat="1" applyFont="1" applyFill="1" applyAlignment="1" applyProtection="1">
      <alignment vertical="top" shrinkToFit="1"/>
      <protection locked="0"/>
    </xf>
    <xf numFmtId="49" fontId="18" fillId="0" borderId="18" xfId="0" applyNumberFormat="1" applyFont="1" applyBorder="1" applyAlignment="1">
      <alignment horizontal="left" vertical="top" wrapText="1"/>
    </xf>
    <xf numFmtId="0" fontId="18" fillId="0" borderId="18" xfId="0" applyFont="1" applyBorder="1" applyAlignment="1">
      <alignment horizontal="center" vertical="top" shrinkToFit="1"/>
    </xf>
    <xf numFmtId="164" fontId="18" fillId="0" borderId="18" xfId="0" applyNumberFormat="1" applyFont="1" applyBorder="1" applyAlignment="1">
      <alignment vertical="top" shrinkToFit="1"/>
    </xf>
    <xf numFmtId="4" fontId="18" fillId="4" borderId="18" xfId="0" applyNumberFormat="1" applyFont="1" applyFill="1" applyBorder="1" applyAlignment="1" applyProtection="1">
      <alignment vertical="top" shrinkToFit="1"/>
      <protection locked="0"/>
    </xf>
    <xf numFmtId="4" fontId="18" fillId="0" borderId="18" xfId="0" applyNumberFormat="1" applyFont="1" applyBorder="1" applyAlignment="1">
      <alignment vertical="top" shrinkToFit="1"/>
    </xf>
    <xf numFmtId="0" fontId="0" fillId="0" borderId="37" xfId="0" applyBorder="1"/>
    <xf numFmtId="0" fontId="0" fillId="0" borderId="36" xfId="0" applyBorder="1" applyAlignment="1">
      <alignment vertical="center"/>
    </xf>
    <xf numFmtId="0" fontId="0" fillId="0" borderId="41" xfId="0" applyBorder="1"/>
    <xf numFmtId="0" fontId="0" fillId="3" borderId="36" xfId="0" applyFill="1" applyBorder="1" applyAlignment="1">
      <alignment vertical="center"/>
    </xf>
    <xf numFmtId="0" fontId="0" fillId="0" borderId="26" xfId="0" applyBorder="1"/>
    <xf numFmtId="49" fontId="8" fillId="0" borderId="0" xfId="0" applyNumberFormat="1" applyFont="1" applyAlignment="1">
      <alignment horizontal="left" vertical="center"/>
    </xf>
    <xf numFmtId="4" fontId="18" fillId="0" borderId="18" xfId="0" applyNumberFormat="1" applyFont="1" applyBorder="1" applyAlignment="1" applyProtection="1">
      <alignment vertical="top" shrinkToFit="1"/>
      <protection locked="0"/>
    </xf>
    <xf numFmtId="49" fontId="8" fillId="0" borderId="35" xfId="0" applyNumberFormat="1" applyFont="1" applyBorder="1" applyAlignment="1">
      <alignment vertical="center"/>
    </xf>
    <xf numFmtId="0" fontId="16" fillId="5" borderId="36" xfId="0" applyFont="1" applyFill="1" applyBorder="1" applyAlignment="1">
      <alignment horizontal="center" vertical="center" wrapText="1"/>
    </xf>
    <xf numFmtId="4" fontId="7" fillId="0" borderId="36" xfId="0" applyNumberFormat="1" applyFont="1" applyBorder="1" applyAlignment="1">
      <alignment vertical="center"/>
    </xf>
    <xf numFmtId="3" fontId="7" fillId="0" borderId="26" xfId="0" applyNumberFormat="1" applyFont="1" applyBorder="1" applyAlignment="1">
      <alignment vertical="center"/>
    </xf>
    <xf numFmtId="4" fontId="16" fillId="0" borderId="36" xfId="0" applyNumberFormat="1" applyFont="1" applyBorder="1" applyAlignment="1">
      <alignment vertical="center"/>
    </xf>
    <xf numFmtId="4" fontId="16" fillId="3" borderId="36" xfId="0" applyNumberFormat="1" applyFont="1" applyFill="1" applyBorder="1" applyAlignment="1">
      <alignment vertical="center"/>
    </xf>
    <xf numFmtId="3" fontId="16" fillId="3" borderId="36" xfId="0" applyNumberFormat="1" applyFont="1" applyFill="1" applyBorder="1" applyAlignment="1">
      <alignment vertical="center"/>
    </xf>
    <xf numFmtId="4" fontId="18" fillId="0" borderId="39" xfId="0" applyNumberFormat="1" applyFont="1" applyBorder="1" applyAlignment="1" applyProtection="1">
      <alignment vertical="top" shrinkToFit="1"/>
      <protection locked="0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4" fontId="18" fillId="0" borderId="43" xfId="0" applyNumberFormat="1" applyFont="1" applyBorder="1" applyAlignment="1">
      <alignment vertical="top" shrinkToFit="1"/>
    </xf>
    <xf numFmtId="0" fontId="18" fillId="0" borderId="18" xfId="0" applyFont="1" applyBorder="1" applyAlignment="1">
      <alignment vertical="top"/>
    </xf>
    <xf numFmtId="49" fontId="18" fillId="0" borderId="18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4" fontId="8" fillId="0" borderId="0" xfId="0" applyNumberFormat="1" applyFont="1" applyAlignment="1">
      <alignment vertical="top" shrinkToFit="1"/>
    </xf>
    <xf numFmtId="4" fontId="8" fillId="0" borderId="6" xfId="0" applyNumberFormat="1" applyFont="1" applyBorder="1" applyAlignment="1">
      <alignment vertical="top" shrinkToFit="1"/>
    </xf>
    <xf numFmtId="49" fontId="18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 vertical="top" shrinkToFit="1"/>
    </xf>
    <xf numFmtId="164" fontId="18" fillId="0" borderId="0" xfId="0" applyNumberFormat="1" applyFont="1" applyAlignment="1">
      <alignment vertical="top" shrinkToFit="1"/>
    </xf>
    <xf numFmtId="4" fontId="18" fillId="0" borderId="0" xfId="0" applyNumberFormat="1" applyFont="1" applyAlignment="1" applyProtection="1">
      <alignment vertical="top" shrinkToFit="1"/>
      <protection locked="0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49" fontId="16" fillId="0" borderId="34" xfId="0" applyNumberFormat="1" applyFont="1" applyBorder="1" applyAlignment="1">
      <alignment horizontal="left" vertical="center"/>
    </xf>
    <xf numFmtId="49" fontId="16" fillId="0" borderId="35" xfId="0" applyNumberFormat="1" applyFont="1" applyBorder="1" applyAlignment="1">
      <alignment horizontal="left" vertical="center"/>
    </xf>
    <xf numFmtId="49" fontId="16" fillId="0" borderId="22" xfId="0" applyNumberFormat="1" applyFont="1" applyBorder="1" applyAlignment="1">
      <alignment horizontal="left" vertical="center"/>
    </xf>
    <xf numFmtId="0" fontId="16" fillId="3" borderId="34" xfId="0" applyFont="1" applyFill="1" applyBorder="1" applyAlignment="1">
      <alignment horizontal="left" vertical="center"/>
    </xf>
    <xf numFmtId="0" fontId="16" fillId="3" borderId="35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18" xfId="0" applyFont="1" applyBorder="1" applyAlignment="1">
      <alignment horizontal="left" vertical="top" wrapText="1"/>
    </xf>
    <xf numFmtId="0" fontId="18" fillId="0" borderId="18" xfId="0" applyFont="1" applyBorder="1" applyAlignment="1">
      <alignment vertical="top" wrapText="1"/>
    </xf>
    <xf numFmtId="49" fontId="18" fillId="4" borderId="0" xfId="0" applyNumberFormat="1" applyFont="1" applyFill="1" applyAlignment="1" applyProtection="1">
      <alignment horizontal="left" vertical="top" wrapText="1"/>
      <protection locked="0"/>
    </xf>
    <xf numFmtId="49" fontId="18" fillId="4" borderId="0" xfId="0" applyNumberFormat="1" applyFont="1" applyFill="1" applyAlignment="1" applyProtection="1">
      <alignment vertical="top"/>
      <protection locked="0"/>
    </xf>
    <xf numFmtId="49" fontId="18" fillId="4" borderId="18" xfId="0" applyNumberFormat="1" applyFont="1" applyFill="1" applyBorder="1" applyAlignment="1" applyProtection="1">
      <alignment horizontal="left" vertical="top" wrapText="1"/>
      <protection locked="0"/>
    </xf>
    <xf numFmtId="49" fontId="18" fillId="4" borderId="18" xfId="0" applyNumberFormat="1" applyFont="1" applyFill="1" applyBorder="1" applyAlignment="1" applyProtection="1">
      <alignment vertical="top"/>
      <protection locked="0"/>
    </xf>
    <xf numFmtId="0" fontId="19" fillId="0" borderId="18" xfId="0" applyFont="1" applyBorder="1" applyAlignment="1">
      <alignment horizontal="left" vertical="top" wrapText="1"/>
    </xf>
    <xf numFmtId="0" fontId="19" fillId="0" borderId="18" xfId="0" applyFont="1" applyBorder="1" applyAlignment="1">
      <alignment vertical="top" wrapText="1"/>
    </xf>
    <xf numFmtId="49" fontId="18" fillId="4" borderId="35" xfId="0" applyNumberFormat="1" applyFont="1" applyFill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49" fontId="8" fillId="0" borderId="35" xfId="0" applyNumberFormat="1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49" fontId="6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37" xfId="0" applyBorder="1" applyAlignment="1">
      <alignment wrapText="1"/>
    </xf>
    <xf numFmtId="49" fontId="0" fillId="3" borderId="6" xfId="0" applyNumberFormat="1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vertical="top" wrapText="1"/>
    </xf>
    <xf numFmtId="49" fontId="18" fillId="4" borderId="6" xfId="0" applyNumberFormat="1" applyFont="1" applyFill="1" applyBorder="1" applyAlignment="1" applyProtection="1">
      <alignment horizontal="left"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37</v>
      </c>
    </row>
    <row r="2" spans="1:7" ht="57.75" customHeight="1" x14ac:dyDescent="0.25">
      <c r="A2" s="222" t="s">
        <v>38</v>
      </c>
      <c r="B2" s="222"/>
      <c r="C2" s="222"/>
      <c r="D2" s="222"/>
      <c r="E2" s="222"/>
      <c r="F2" s="222"/>
      <c r="G2" s="222"/>
    </row>
  </sheetData>
  <sheetProtection password="C730" sheet="1" objects="1" scenarios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99"/>
  <sheetViews>
    <sheetView showGridLines="0" topLeftCell="B32" zoomScale="130" zoomScaleNormal="130" zoomScaleSheetLayoutView="75" workbookViewId="0">
      <selection activeCell="E3" sqref="E3:J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1" customWidth="1"/>
    <col min="4" max="4" width="13" style="51" customWidth="1"/>
    <col min="5" max="5" width="9.6640625" style="51" customWidth="1"/>
    <col min="6" max="6" width="11.6640625" customWidth="1"/>
    <col min="7" max="7" width="13" customWidth="1"/>
    <col min="8" max="8" width="11.554687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6" t="s">
        <v>35</v>
      </c>
      <c r="B1" s="265" t="s">
        <v>40</v>
      </c>
      <c r="C1" s="266"/>
      <c r="D1" s="266"/>
      <c r="E1" s="266"/>
      <c r="F1" s="266"/>
      <c r="G1" s="266"/>
      <c r="H1" s="266"/>
      <c r="I1" s="266"/>
      <c r="J1" s="267"/>
    </row>
    <row r="2" spans="1:15" ht="36" customHeight="1" x14ac:dyDescent="0.25">
      <c r="A2" s="2"/>
      <c r="B2" s="74" t="s">
        <v>22</v>
      </c>
      <c r="C2" s="75"/>
      <c r="D2" s="76" t="s">
        <v>255</v>
      </c>
      <c r="E2" s="271" t="s">
        <v>351</v>
      </c>
      <c r="F2" s="272"/>
      <c r="G2" s="272"/>
      <c r="H2" s="272"/>
      <c r="I2" s="272"/>
      <c r="J2" s="273"/>
      <c r="O2" s="1"/>
    </row>
    <row r="3" spans="1:15" ht="27" customHeight="1" x14ac:dyDescent="0.25">
      <c r="A3" s="2"/>
      <c r="B3" s="77" t="s">
        <v>45</v>
      </c>
      <c r="C3" s="75"/>
      <c r="D3" s="78" t="s">
        <v>43</v>
      </c>
      <c r="E3" s="274" t="s">
        <v>349</v>
      </c>
      <c r="F3" s="275"/>
      <c r="G3" s="275"/>
      <c r="H3" s="275"/>
      <c r="I3" s="275"/>
      <c r="J3" s="276"/>
    </row>
    <row r="4" spans="1:15" ht="23.25" customHeight="1" x14ac:dyDescent="0.25">
      <c r="A4" s="73">
        <v>203</v>
      </c>
      <c r="B4" s="79" t="s">
        <v>46</v>
      </c>
      <c r="C4" s="80"/>
      <c r="D4" s="81" t="s">
        <v>255</v>
      </c>
      <c r="E4" s="256" t="s">
        <v>350</v>
      </c>
      <c r="F4" s="257"/>
      <c r="G4" s="257"/>
      <c r="H4" s="257"/>
      <c r="I4" s="257"/>
      <c r="J4" s="258"/>
    </row>
    <row r="5" spans="1:15" ht="24" customHeight="1" x14ac:dyDescent="0.25">
      <c r="A5" s="2"/>
      <c r="B5" s="31" t="s">
        <v>179</v>
      </c>
      <c r="D5" s="261" t="s">
        <v>208</v>
      </c>
      <c r="E5" s="261"/>
      <c r="F5" s="261"/>
      <c r="G5" s="261"/>
      <c r="H5" s="18" t="s">
        <v>39</v>
      </c>
      <c r="I5" s="199" t="s">
        <v>212</v>
      </c>
      <c r="J5" s="8"/>
    </row>
    <row r="6" spans="1:15" ht="15.75" customHeight="1" x14ac:dyDescent="0.25">
      <c r="A6" s="2"/>
      <c r="B6" s="28"/>
      <c r="C6" s="54"/>
      <c r="D6" s="262" t="s">
        <v>209</v>
      </c>
      <c r="E6" s="263"/>
      <c r="F6" s="263"/>
      <c r="G6" s="263"/>
      <c r="H6" s="18" t="s">
        <v>33</v>
      </c>
      <c r="I6" s="22"/>
      <c r="J6" s="8"/>
    </row>
    <row r="7" spans="1:15" ht="15.75" customHeight="1" x14ac:dyDescent="0.25">
      <c r="A7" s="2"/>
      <c r="B7" s="29"/>
      <c r="C7" s="55"/>
      <c r="D7" s="52" t="s">
        <v>210</v>
      </c>
      <c r="E7" s="264" t="s">
        <v>211</v>
      </c>
      <c r="F7" s="264"/>
      <c r="G7" s="264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0"/>
      <c r="H8" s="18" t="s">
        <v>39</v>
      </c>
      <c r="I8" s="22"/>
      <c r="J8" s="8"/>
    </row>
    <row r="9" spans="1:15" ht="15.75" hidden="1" customHeight="1" x14ac:dyDescent="0.25">
      <c r="A9" s="2"/>
      <c r="B9" s="2"/>
      <c r="D9" s="50"/>
      <c r="H9" s="18" t="s">
        <v>33</v>
      </c>
      <c r="I9" s="22"/>
      <c r="J9" s="8"/>
    </row>
    <row r="10" spans="1:15" ht="15.75" hidden="1" customHeight="1" x14ac:dyDescent="0.25">
      <c r="A10" s="2"/>
      <c r="B10" s="35"/>
      <c r="C10" s="55"/>
      <c r="D10" s="52"/>
      <c r="E10" s="56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278"/>
      <c r="E11" s="278"/>
      <c r="F11" s="278"/>
      <c r="G11" s="278"/>
      <c r="H11" s="18" t="s">
        <v>39</v>
      </c>
      <c r="I11" s="83"/>
      <c r="J11" s="8"/>
    </row>
    <row r="12" spans="1:15" ht="15.75" customHeight="1" x14ac:dyDescent="0.25">
      <c r="A12" s="2"/>
      <c r="B12" s="28"/>
      <c r="C12" s="54"/>
      <c r="D12" s="255"/>
      <c r="E12" s="255"/>
      <c r="F12" s="255"/>
      <c r="G12" s="255"/>
      <c r="H12" s="18" t="s">
        <v>33</v>
      </c>
      <c r="I12" s="83"/>
      <c r="J12" s="8"/>
    </row>
    <row r="13" spans="1:15" ht="15.75" customHeight="1" x14ac:dyDescent="0.25">
      <c r="A13" s="2"/>
      <c r="B13" s="29"/>
      <c r="C13" s="55"/>
      <c r="D13" s="82"/>
      <c r="E13" s="259"/>
      <c r="F13" s="260"/>
      <c r="G13" s="260"/>
      <c r="H13" s="19"/>
      <c r="I13" s="23"/>
      <c r="J13" s="34"/>
    </row>
    <row r="14" spans="1:15" ht="24" customHeight="1" x14ac:dyDescent="0.25">
      <c r="A14" s="2"/>
      <c r="B14" s="183" t="s">
        <v>21</v>
      </c>
      <c r="C14" s="261" t="s">
        <v>178</v>
      </c>
      <c r="D14" s="261"/>
      <c r="E14" s="57"/>
      <c r="F14" s="43"/>
      <c r="G14" s="43"/>
      <c r="H14" s="44"/>
      <c r="I14" s="43"/>
      <c r="J14" s="45"/>
    </row>
    <row r="15" spans="1:15" ht="32.25" customHeight="1" x14ac:dyDescent="0.25">
      <c r="A15" s="2"/>
      <c r="B15" s="35" t="s">
        <v>31</v>
      </c>
      <c r="C15" s="58"/>
      <c r="D15" s="53"/>
      <c r="E15" s="277"/>
      <c r="F15" s="277"/>
      <c r="G15" s="279"/>
      <c r="H15" s="279"/>
      <c r="I15" s="279" t="s">
        <v>28</v>
      </c>
      <c r="J15" s="280"/>
    </row>
    <row r="16" spans="1:15" ht="23.25" customHeight="1" x14ac:dyDescent="0.25">
      <c r="A16" s="140" t="s">
        <v>23</v>
      </c>
      <c r="B16" s="38" t="s">
        <v>23</v>
      </c>
      <c r="C16" s="59"/>
      <c r="D16" s="60"/>
      <c r="E16" s="243"/>
      <c r="F16" s="244"/>
      <c r="G16" s="243"/>
      <c r="H16" s="244"/>
      <c r="I16" s="243">
        <f>I21-I20-I19-I18</f>
        <v>0</v>
      </c>
      <c r="J16" s="245"/>
    </row>
    <row r="17" spans="1:10" ht="23.25" customHeight="1" x14ac:dyDescent="0.25">
      <c r="A17" s="140" t="s">
        <v>24</v>
      </c>
      <c r="B17" s="38" t="s">
        <v>24</v>
      </c>
      <c r="C17" s="59"/>
      <c r="D17" s="60"/>
      <c r="E17" s="243"/>
      <c r="F17" s="244"/>
      <c r="G17" s="243"/>
      <c r="H17" s="244"/>
      <c r="I17" s="243">
        <f>SUMIF(F87:F92,A17,I87:I92)</f>
        <v>0</v>
      </c>
      <c r="J17" s="245"/>
    </row>
    <row r="18" spans="1:10" ht="23.25" customHeight="1" x14ac:dyDescent="0.25">
      <c r="A18" s="140" t="s">
        <v>25</v>
      </c>
      <c r="B18" s="38" t="s">
        <v>25</v>
      </c>
      <c r="C18" s="59"/>
      <c r="D18" s="60"/>
      <c r="E18" s="243"/>
      <c r="F18" s="244"/>
      <c r="G18" s="243"/>
      <c r="H18" s="244"/>
      <c r="I18" s="243">
        <f>I89</f>
        <v>0</v>
      </c>
      <c r="J18" s="245"/>
    </row>
    <row r="19" spans="1:10" ht="23.25" customHeight="1" x14ac:dyDescent="0.25">
      <c r="A19" s="140" t="s">
        <v>63</v>
      </c>
      <c r="B19" s="38" t="s">
        <v>26</v>
      </c>
      <c r="C19" s="59"/>
      <c r="D19" s="60"/>
      <c r="E19" s="243"/>
      <c r="F19" s="244"/>
      <c r="G19" s="243"/>
      <c r="H19" s="244"/>
      <c r="I19" s="243">
        <f>I66+I80+I91</f>
        <v>0</v>
      </c>
      <c r="J19" s="245"/>
    </row>
    <row r="20" spans="1:10" ht="23.25" customHeight="1" x14ac:dyDescent="0.25">
      <c r="A20" s="140" t="s">
        <v>64</v>
      </c>
      <c r="B20" s="38" t="s">
        <v>27</v>
      </c>
      <c r="C20" s="59"/>
      <c r="D20" s="60"/>
      <c r="E20" s="243"/>
      <c r="F20" s="244"/>
      <c r="G20" s="243"/>
      <c r="H20" s="244"/>
      <c r="I20" s="243">
        <f>I67+I81+I92</f>
        <v>0</v>
      </c>
      <c r="J20" s="245"/>
    </row>
    <row r="21" spans="1:10" ht="23.25" customHeight="1" x14ac:dyDescent="0.25">
      <c r="A21" s="2"/>
      <c r="B21" s="47" t="s">
        <v>180</v>
      </c>
      <c r="C21" s="61"/>
      <c r="D21" s="62"/>
      <c r="E21" s="246"/>
      <c r="F21" s="254"/>
      <c r="G21" s="246"/>
      <c r="H21" s="254"/>
      <c r="I21" s="246">
        <f>I51</f>
        <v>0</v>
      </c>
      <c r="J21" s="247"/>
    </row>
    <row r="22" spans="1:10" ht="33" customHeight="1" x14ac:dyDescent="0.25">
      <c r="A22" s="2"/>
      <c r="B22" s="42" t="s">
        <v>32</v>
      </c>
      <c r="C22" s="59"/>
      <c r="D22" s="60"/>
      <c r="E22" s="63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59"/>
      <c r="D23" s="60"/>
      <c r="E23" s="64">
        <v>15</v>
      </c>
      <c r="F23" s="39" t="s">
        <v>0</v>
      </c>
      <c r="G23" s="241">
        <f>ZakladDPHSniVypocet</f>
        <v>0</v>
      </c>
      <c r="H23" s="242"/>
      <c r="I23" s="242"/>
      <c r="J23" s="40" t="str">
        <f t="shared" ref="J23:J29" si="0">Mena</f>
        <v>CZK</v>
      </c>
    </row>
    <row r="24" spans="1:10" ht="23.25" hidden="1" customHeight="1" x14ac:dyDescent="0.25">
      <c r="A24" s="2"/>
      <c r="B24" s="38" t="s">
        <v>13</v>
      </c>
      <c r="C24" s="59"/>
      <c r="D24" s="60"/>
      <c r="E24" s="64">
        <f>SazbaDPH1</f>
        <v>15</v>
      </c>
      <c r="F24" s="39" t="s">
        <v>0</v>
      </c>
      <c r="G24" s="239">
        <v>0</v>
      </c>
      <c r="H24" s="240"/>
      <c r="I24" s="240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59"/>
      <c r="D25" s="60"/>
      <c r="E25" s="64">
        <v>21</v>
      </c>
      <c r="F25" s="39" t="s">
        <v>0</v>
      </c>
      <c r="G25" s="241">
        <f>I21</f>
        <v>0</v>
      </c>
      <c r="H25" s="242"/>
      <c r="I25" s="242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5"/>
      <c r="D26" s="53"/>
      <c r="E26" s="66">
        <f>SazbaDPH2</f>
        <v>21</v>
      </c>
      <c r="F26" s="30" t="s">
        <v>0</v>
      </c>
      <c r="G26" s="268">
        <v>0</v>
      </c>
      <c r="H26" s="269"/>
      <c r="I26" s="269"/>
      <c r="J26" s="37" t="str">
        <f t="shared" si="0"/>
        <v>CZK</v>
      </c>
    </row>
    <row r="27" spans="1:10" ht="23.25" customHeight="1" x14ac:dyDescent="0.25">
      <c r="A27" s="2"/>
      <c r="B27" s="38" t="s">
        <v>181</v>
      </c>
      <c r="C27" s="59"/>
      <c r="D27" s="60"/>
      <c r="E27" s="64">
        <v>21</v>
      </c>
      <c r="F27" s="39" t="s">
        <v>0</v>
      </c>
      <c r="G27" s="241">
        <f>ZakladDPHZakl/100*21</f>
        <v>0</v>
      </c>
      <c r="H27" s="242"/>
      <c r="I27" s="242"/>
      <c r="J27" s="40" t="str">
        <f t="shared" si="0"/>
        <v>CZK</v>
      </c>
    </row>
    <row r="28" spans="1:10" ht="23.25" customHeight="1" thickBot="1" x14ac:dyDescent="0.3">
      <c r="A28" s="2">
        <f>ZakladDPHSni+ZakladDPHZakl</f>
        <v>0</v>
      </c>
      <c r="B28" s="31" t="s">
        <v>4</v>
      </c>
      <c r="C28" s="67"/>
      <c r="D28" s="68"/>
      <c r="E28" s="67"/>
      <c r="F28" s="16"/>
      <c r="G28" s="270">
        <v>0</v>
      </c>
      <c r="H28" s="270"/>
      <c r="I28" s="270"/>
      <c r="J28" s="41" t="str">
        <f t="shared" si="0"/>
        <v>CZK</v>
      </c>
    </row>
    <row r="29" spans="1:10" ht="27.75" customHeight="1" thickBot="1" x14ac:dyDescent="0.3">
      <c r="A29" s="2">
        <f>(A28-INT(A28))*100</f>
        <v>0</v>
      </c>
      <c r="B29" s="114" t="s">
        <v>34</v>
      </c>
      <c r="C29" s="115"/>
      <c r="D29" s="115"/>
      <c r="E29" s="116"/>
      <c r="F29" s="117"/>
      <c r="G29" s="248">
        <f>ZakladDPHZakl*1.21</f>
        <v>0</v>
      </c>
      <c r="H29" s="249"/>
      <c r="I29" s="249"/>
      <c r="J29" s="118" t="str">
        <f t="shared" si="0"/>
        <v>CZK</v>
      </c>
    </row>
    <row r="30" spans="1:10" ht="27.75" hidden="1" customHeight="1" thickBot="1" x14ac:dyDescent="0.3">
      <c r="A30" s="2"/>
      <c r="B30" s="114" t="s">
        <v>34</v>
      </c>
      <c r="C30" s="119"/>
      <c r="D30" s="119"/>
      <c r="E30" s="119"/>
      <c r="F30" s="120"/>
      <c r="G30" s="248">
        <f>ZakladDPHSni+DPHSni+ZakladDPHZakl+DPHZakl+Zaokrouhleni</f>
        <v>0</v>
      </c>
      <c r="H30" s="248"/>
      <c r="I30" s="248"/>
      <c r="J30" s="121" t="s">
        <v>50</v>
      </c>
    </row>
    <row r="31" spans="1:10" ht="12.75" customHeight="1" x14ac:dyDescent="0.25">
      <c r="A31" s="2"/>
      <c r="B31" s="2"/>
      <c r="J31" s="9"/>
    </row>
    <row r="32" spans="1:10" ht="30" customHeight="1" x14ac:dyDescent="0.25">
      <c r="A32" s="2"/>
      <c r="B32" s="2"/>
      <c r="J32" s="9"/>
    </row>
    <row r="33" spans="1:11" ht="18.75" customHeight="1" x14ac:dyDescent="0.25">
      <c r="A33" s="2"/>
      <c r="B33" s="17"/>
      <c r="C33" s="69" t="s">
        <v>11</v>
      </c>
      <c r="D33" s="70"/>
      <c r="E33" s="70"/>
      <c r="F33" s="15" t="s">
        <v>10</v>
      </c>
      <c r="G33" s="26"/>
      <c r="H33" s="27"/>
      <c r="I33" s="26"/>
      <c r="J33" s="9"/>
    </row>
    <row r="34" spans="1:11" ht="47.25" customHeight="1" x14ac:dyDescent="0.25">
      <c r="A34" s="2"/>
      <c r="B34" s="2"/>
      <c r="J34" s="9"/>
    </row>
    <row r="35" spans="1:11" s="21" customFormat="1" ht="18.75" customHeight="1" x14ac:dyDescent="0.25">
      <c r="A35" s="20"/>
      <c r="B35" s="20"/>
      <c r="C35" s="71"/>
      <c r="D35" s="250"/>
      <c r="E35" s="251"/>
      <c r="G35" s="252"/>
      <c r="H35" s="253"/>
      <c r="I35" s="253"/>
      <c r="J35" s="25"/>
    </row>
    <row r="36" spans="1:11" ht="12.75" customHeight="1" x14ac:dyDescent="0.25">
      <c r="A36" s="2"/>
      <c r="B36" s="2"/>
      <c r="D36" s="238" t="s">
        <v>2</v>
      </c>
      <c r="E36" s="238"/>
      <c r="H36" s="10" t="s">
        <v>3</v>
      </c>
      <c r="J36" s="9"/>
    </row>
    <row r="37" spans="1:11" ht="13.5" customHeight="1" thickBot="1" x14ac:dyDescent="0.3">
      <c r="A37" s="11"/>
      <c r="B37" s="11"/>
      <c r="C37" s="72"/>
      <c r="D37" s="72"/>
      <c r="E37" s="72"/>
      <c r="F37" s="12"/>
      <c r="G37" s="12"/>
      <c r="H37" s="12"/>
      <c r="I37" s="12"/>
      <c r="J37" s="13"/>
    </row>
    <row r="38" spans="1:11" ht="27" hidden="1" customHeight="1" x14ac:dyDescent="0.25">
      <c r="B38" s="87" t="s">
        <v>16</v>
      </c>
      <c r="C38" s="88"/>
      <c r="D38" s="88"/>
      <c r="E38" s="88"/>
      <c r="F38" s="89"/>
      <c r="G38" s="89"/>
      <c r="H38" s="89"/>
      <c r="I38" s="89"/>
      <c r="J38" s="90"/>
    </row>
    <row r="39" spans="1:11" ht="25.5" hidden="1" customHeight="1" x14ac:dyDescent="0.25">
      <c r="A39" s="86" t="s">
        <v>36</v>
      </c>
      <c r="B39" s="91" t="s">
        <v>17</v>
      </c>
      <c r="C39" s="92" t="s">
        <v>5</v>
      </c>
      <c r="D39" s="92"/>
      <c r="E39" s="92"/>
      <c r="F39" s="93" t="str">
        <f>B23</f>
        <v>Základ pro sníženou DPH</v>
      </c>
      <c r="G39" s="93" t="str">
        <f>B25</f>
        <v>Základ pro základní DPH</v>
      </c>
      <c r="H39" s="94" t="s">
        <v>18</v>
      </c>
      <c r="I39" s="95" t="s">
        <v>1</v>
      </c>
      <c r="J39" s="96" t="s">
        <v>0</v>
      </c>
    </row>
    <row r="40" spans="1:11" ht="25.5" hidden="1" customHeight="1" x14ac:dyDescent="0.25">
      <c r="A40" s="86">
        <v>1</v>
      </c>
      <c r="B40" s="97" t="s">
        <v>47</v>
      </c>
      <c r="C40" s="234"/>
      <c r="D40" s="234"/>
      <c r="E40" s="234"/>
      <c r="F40" s="98">
        <f>'D.1.2.1 Komunikace'!AE145</f>
        <v>0</v>
      </c>
      <c r="G40" s="99">
        <f>'D.1.2.1 Komunikace'!AF145</f>
        <v>0</v>
      </c>
      <c r="H40" s="100"/>
      <c r="I40" s="101">
        <f>F40+G40+H40</f>
        <v>0</v>
      </c>
      <c r="J40" s="102" t="str">
        <f>IF(CenaCelkemVypocet=0,"",I40/CenaCelkemVypocet*100)</f>
        <v/>
      </c>
    </row>
    <row r="41" spans="1:11" ht="25.5" hidden="1" customHeight="1" x14ac:dyDescent="0.25">
      <c r="A41" s="86">
        <v>2</v>
      </c>
      <c r="B41" s="103"/>
      <c r="C41" s="235" t="s">
        <v>48</v>
      </c>
      <c r="D41" s="235"/>
      <c r="E41" s="235"/>
      <c r="F41" s="104"/>
      <c r="G41" s="105"/>
      <c r="H41" s="105"/>
      <c r="I41" s="106"/>
      <c r="J41" s="107"/>
    </row>
    <row r="42" spans="1:11" ht="25.5" hidden="1" customHeight="1" x14ac:dyDescent="0.25">
      <c r="A42" s="86">
        <v>2</v>
      </c>
      <c r="B42" s="103" t="s">
        <v>43</v>
      </c>
      <c r="C42" s="235" t="s">
        <v>44</v>
      </c>
      <c r="D42" s="235"/>
      <c r="E42" s="235"/>
      <c r="F42" s="104">
        <f>'D.1.2.1 Komunikace'!AE145</f>
        <v>0</v>
      </c>
      <c r="G42" s="105">
        <f>'D.1.2.1 Komunikace'!AF145</f>
        <v>0</v>
      </c>
      <c r="H42" s="105"/>
      <c r="I42" s="106">
        <f>F42+G42+H42</f>
        <v>0</v>
      </c>
      <c r="J42" s="107" t="str">
        <f>IF(CenaCelkemVypocet=0,"",I42/CenaCelkemVypocet*100)</f>
        <v/>
      </c>
    </row>
    <row r="43" spans="1:11" ht="25.5" hidden="1" customHeight="1" x14ac:dyDescent="0.25">
      <c r="A43" s="86">
        <v>3</v>
      </c>
      <c r="B43" s="108" t="s">
        <v>41</v>
      </c>
      <c r="C43" s="234" t="s">
        <v>42</v>
      </c>
      <c r="D43" s="234"/>
      <c r="E43" s="234"/>
      <c r="F43" s="109">
        <f>'D.1.2.1 Komunikace'!AE145</f>
        <v>0</v>
      </c>
      <c r="G43" s="100">
        <f>'D.1.2.1 Komunikace'!AF145</f>
        <v>0</v>
      </c>
      <c r="H43" s="100"/>
      <c r="I43" s="101">
        <f>F43+G43+H43</f>
        <v>0</v>
      </c>
      <c r="J43" s="102" t="str">
        <f>IF(CenaCelkemVypocet=0,"",I43/CenaCelkemVypocet*100)</f>
        <v/>
      </c>
    </row>
    <row r="44" spans="1:11" ht="25.5" hidden="1" customHeight="1" x14ac:dyDescent="0.25">
      <c r="A44" s="86"/>
      <c r="B44" s="236" t="s">
        <v>49</v>
      </c>
      <c r="C44" s="237"/>
      <c r="D44" s="237"/>
      <c r="E44" s="237"/>
      <c r="F44" s="110">
        <f>SUMIF(A40:A43,"=1",F40:F43)</f>
        <v>0</v>
      </c>
      <c r="G44" s="111">
        <f>SUMIF(A40:A43,"=1",G40:G43)</f>
        <v>0</v>
      </c>
      <c r="H44" s="111">
        <f>SUMIF(A40:A43,"=1",H40:H43)</f>
        <v>0</v>
      </c>
      <c r="I44" s="112">
        <f>SUMIF(A40:A43,"=1",I40:I43)</f>
        <v>0</v>
      </c>
      <c r="J44" s="113">
        <f>SUMIF(A40:A43,"=1",J40:J43)</f>
        <v>0</v>
      </c>
    </row>
    <row r="46" spans="1:11" ht="15.6" x14ac:dyDescent="0.3">
      <c r="B46" s="122" t="s">
        <v>334</v>
      </c>
    </row>
    <row r="47" spans="1:11" ht="27.9" customHeight="1" x14ac:dyDescent="0.25">
      <c r="B47" s="225" t="s">
        <v>5</v>
      </c>
      <c r="C47" s="226"/>
      <c r="D47" s="226"/>
      <c r="E47" s="226"/>
      <c r="F47" s="226"/>
      <c r="G47" s="227"/>
      <c r="H47" s="202"/>
      <c r="I47" s="202" t="s">
        <v>28</v>
      </c>
      <c r="J47" s="202" t="s">
        <v>0</v>
      </c>
      <c r="K47" s="124"/>
    </row>
    <row r="48" spans="1:11" ht="27.9" customHeight="1" x14ac:dyDescent="0.25">
      <c r="B48" s="228" t="s">
        <v>335</v>
      </c>
      <c r="C48" s="229"/>
      <c r="D48" s="229"/>
      <c r="E48" s="229"/>
      <c r="F48" s="229"/>
      <c r="G48" s="230"/>
      <c r="H48" s="203"/>
      <c r="I48" s="205">
        <f>I68</f>
        <v>0</v>
      </c>
      <c r="J48" s="136" t="str">
        <f>IF(I51=0,"",I48/I51*100)</f>
        <v/>
      </c>
      <c r="K48" s="204"/>
    </row>
    <row r="49" spans="2:11" ht="27.9" customHeight="1" x14ac:dyDescent="0.25">
      <c r="B49" s="209" t="s">
        <v>336</v>
      </c>
      <c r="C49" s="210"/>
      <c r="D49" s="210"/>
      <c r="E49" s="210"/>
      <c r="F49" s="210"/>
      <c r="G49" s="211"/>
      <c r="H49" s="203"/>
      <c r="I49" s="205">
        <f>I82</f>
        <v>0</v>
      </c>
      <c r="J49" s="136" t="str">
        <f>IF(I51=0,"",I49/I51*100)</f>
        <v/>
      </c>
      <c r="K49" s="204"/>
    </row>
    <row r="50" spans="2:11" ht="27.9" customHeight="1" x14ac:dyDescent="0.25">
      <c r="B50" s="228" t="s">
        <v>337</v>
      </c>
      <c r="C50" s="229"/>
      <c r="D50" s="229"/>
      <c r="E50" s="229"/>
      <c r="F50" s="229"/>
      <c r="G50" s="230"/>
      <c r="H50" s="203"/>
      <c r="I50" s="205">
        <f>I93</f>
        <v>0</v>
      </c>
      <c r="J50" s="136" t="str">
        <f>IF(I51=0,"",I50/I51*100)</f>
        <v/>
      </c>
      <c r="K50" s="204"/>
    </row>
    <row r="51" spans="2:11" ht="27.9" customHeight="1" x14ac:dyDescent="0.25">
      <c r="B51" s="231" t="s">
        <v>252</v>
      </c>
      <c r="C51" s="232"/>
      <c r="D51" s="232"/>
      <c r="E51" s="232"/>
      <c r="F51" s="232"/>
      <c r="G51" s="233"/>
      <c r="H51" s="135"/>
      <c r="I51" s="206">
        <f>I48+I49+I50</f>
        <v>0</v>
      </c>
      <c r="J51" s="207">
        <v>100</v>
      </c>
      <c r="K51" s="204"/>
    </row>
    <row r="57" spans="2:11" ht="15.6" x14ac:dyDescent="0.3">
      <c r="B57" s="122" t="s">
        <v>343</v>
      </c>
    </row>
    <row r="58" spans="2:11" ht="4.5" customHeight="1" x14ac:dyDescent="0.25"/>
    <row r="59" spans="2:11" ht="20.25" customHeight="1" x14ac:dyDescent="0.25">
      <c r="B59" s="127" t="s">
        <v>17</v>
      </c>
      <c r="C59" s="127" t="s">
        <v>5</v>
      </c>
      <c r="D59" s="128"/>
      <c r="E59" s="128"/>
      <c r="F59" s="129" t="s">
        <v>51</v>
      </c>
      <c r="G59" s="129"/>
      <c r="H59" s="129"/>
      <c r="I59" s="129" t="s">
        <v>28</v>
      </c>
      <c r="J59" s="129" t="s">
        <v>0</v>
      </c>
    </row>
    <row r="60" spans="2:11" x14ac:dyDescent="0.25">
      <c r="B60" s="130" t="s">
        <v>52</v>
      </c>
      <c r="C60" s="223" t="s">
        <v>53</v>
      </c>
      <c r="D60" s="224"/>
      <c r="E60" s="224"/>
      <c r="F60" s="138" t="s">
        <v>23</v>
      </c>
      <c r="G60" s="131"/>
      <c r="H60" s="131"/>
      <c r="I60" s="131">
        <f>'D.1.2.1 Komunikace'!G8</f>
        <v>0</v>
      </c>
      <c r="J60" s="136" t="str">
        <f>IF(I68=0,"",I60/I68*100)</f>
        <v/>
      </c>
    </row>
    <row r="61" spans="2:11" x14ac:dyDescent="0.25">
      <c r="B61" s="130" t="s">
        <v>54</v>
      </c>
      <c r="C61" s="223" t="s">
        <v>55</v>
      </c>
      <c r="D61" s="224"/>
      <c r="E61" s="224"/>
      <c r="F61" s="138" t="s">
        <v>23</v>
      </c>
      <c r="G61" s="131"/>
      <c r="H61" s="131"/>
      <c r="I61" s="131">
        <f>'D.1.2.1 Komunikace'!G47</f>
        <v>0</v>
      </c>
      <c r="J61" s="136" t="str">
        <f>IF(I68=0,"",I61/I68*100)</f>
        <v/>
      </c>
    </row>
    <row r="62" spans="2:11" x14ac:dyDescent="0.25">
      <c r="B62" s="130" t="s">
        <v>56</v>
      </c>
      <c r="C62" s="223" t="s">
        <v>57</v>
      </c>
      <c r="D62" s="224"/>
      <c r="E62" s="224"/>
      <c r="F62" s="138" t="s">
        <v>23</v>
      </c>
      <c r="G62" s="131"/>
      <c r="H62" s="131"/>
      <c r="I62" s="131">
        <f>'D.1.2.1 Komunikace'!G74</f>
        <v>0</v>
      </c>
      <c r="J62" s="136" t="str">
        <f>IF(I68=0,"",I62/I68*100)</f>
        <v/>
      </c>
    </row>
    <row r="63" spans="2:11" x14ac:dyDescent="0.25">
      <c r="B63" s="130" t="s">
        <v>195</v>
      </c>
      <c r="C63" s="223" t="s">
        <v>196</v>
      </c>
      <c r="D63" s="224"/>
      <c r="E63" s="224"/>
      <c r="F63" s="138" t="s">
        <v>23</v>
      </c>
      <c r="G63" s="131"/>
      <c r="H63" s="131"/>
      <c r="I63" s="131">
        <f>'D.1.2.1 Komunikace'!G105</f>
        <v>0</v>
      </c>
      <c r="J63" s="136" t="str">
        <f>IF(I68=0,"",I63/I68*100)</f>
        <v/>
      </c>
    </row>
    <row r="64" spans="2:11" x14ac:dyDescent="0.25">
      <c r="B64" s="130" t="s">
        <v>58</v>
      </c>
      <c r="C64" s="223" t="s">
        <v>59</v>
      </c>
      <c r="D64" s="224"/>
      <c r="E64" s="224"/>
      <c r="F64" s="138" t="s">
        <v>23</v>
      </c>
      <c r="G64" s="131"/>
      <c r="H64" s="131"/>
      <c r="I64" s="131">
        <f>'D.1.2.1 Komunikace'!G109</f>
        <v>0</v>
      </c>
      <c r="J64" s="136" t="str">
        <f>IF(I68=0,"",I64/I68*100)</f>
        <v/>
      </c>
    </row>
    <row r="65" spans="2:10" x14ac:dyDescent="0.25">
      <c r="B65" s="130" t="s">
        <v>60</v>
      </c>
      <c r="C65" s="223" t="s">
        <v>61</v>
      </c>
      <c r="D65" s="224"/>
      <c r="E65" s="224"/>
      <c r="F65" s="138" t="s">
        <v>62</v>
      </c>
      <c r="G65" s="131"/>
      <c r="H65" s="131"/>
      <c r="I65" s="131">
        <f>'D.1.2.1 Komunikace'!G116</f>
        <v>0</v>
      </c>
      <c r="J65" s="136" t="str">
        <f>IF(I68=0,"",I65/I68*100)</f>
        <v/>
      </c>
    </row>
    <row r="66" spans="2:10" x14ac:dyDescent="0.25">
      <c r="B66" s="130" t="s">
        <v>63</v>
      </c>
      <c r="C66" s="223" t="s">
        <v>26</v>
      </c>
      <c r="D66" s="224"/>
      <c r="E66" s="224"/>
      <c r="F66" s="138" t="s">
        <v>63</v>
      </c>
      <c r="G66" s="131"/>
      <c r="H66" s="131"/>
      <c r="I66" s="131">
        <f>'D.1.2.1 Komunikace'!G123</f>
        <v>0</v>
      </c>
      <c r="J66" s="136" t="str">
        <f>IF(I68=0,"",I66/I68*100)</f>
        <v/>
      </c>
    </row>
    <row r="67" spans="2:10" x14ac:dyDescent="0.25">
      <c r="B67" s="130" t="s">
        <v>64</v>
      </c>
      <c r="C67" s="223" t="s">
        <v>27</v>
      </c>
      <c r="D67" s="224"/>
      <c r="E67" s="224"/>
      <c r="F67" s="138" t="s">
        <v>64</v>
      </c>
      <c r="G67" s="131"/>
      <c r="H67" s="131"/>
      <c r="I67" s="131">
        <f>'D.1.2.1 Komunikace'!G134</f>
        <v>0</v>
      </c>
      <c r="J67" s="136" t="str">
        <f>IF(I68=0,"",I67/I68*100)</f>
        <v/>
      </c>
    </row>
    <row r="68" spans="2:10" ht="21" customHeight="1" x14ac:dyDescent="0.25">
      <c r="B68" s="132" t="s">
        <v>1</v>
      </c>
      <c r="C68" s="133"/>
      <c r="D68" s="134"/>
      <c r="E68" s="134"/>
      <c r="F68" s="139"/>
      <c r="G68" s="135"/>
      <c r="H68" s="135"/>
      <c r="I68" s="135">
        <f>SUM(I60:I67)</f>
        <v>0</v>
      </c>
      <c r="J68" s="137">
        <f>SUM(J60:J67)</f>
        <v>0</v>
      </c>
    </row>
    <row r="70" spans="2:10" ht="15.6" x14ac:dyDescent="0.3">
      <c r="B70" s="122" t="s">
        <v>338</v>
      </c>
    </row>
    <row r="71" spans="2:10" ht="6" customHeight="1" x14ac:dyDescent="0.25"/>
    <row r="72" spans="2:10" x14ac:dyDescent="0.25">
      <c r="B72" s="127" t="s">
        <v>17</v>
      </c>
      <c r="C72" s="127" t="s">
        <v>5</v>
      </c>
      <c r="D72" s="128"/>
      <c r="E72" s="128"/>
      <c r="F72" s="129" t="s">
        <v>51</v>
      </c>
      <c r="G72" s="129"/>
      <c r="H72" s="129"/>
      <c r="I72" s="129" t="s">
        <v>28</v>
      </c>
      <c r="J72" s="129" t="s">
        <v>0</v>
      </c>
    </row>
    <row r="73" spans="2:10" x14ac:dyDescent="0.25">
      <c r="B73" s="130" t="s">
        <v>52</v>
      </c>
      <c r="C73" s="223" t="s">
        <v>53</v>
      </c>
      <c r="D73" s="224"/>
      <c r="E73" s="224"/>
      <c r="F73" s="138" t="s">
        <v>23</v>
      </c>
      <c r="G73" s="131"/>
      <c r="H73" s="131"/>
      <c r="I73" s="131">
        <f>'D.1.2.2 Odvodnění'!G8</f>
        <v>0</v>
      </c>
      <c r="J73" s="136" t="str">
        <f>IF(I82=0,"",I73/I82*100)</f>
        <v/>
      </c>
    </row>
    <row r="74" spans="2:10" x14ac:dyDescent="0.25">
      <c r="B74" s="130" t="s">
        <v>229</v>
      </c>
      <c r="C74" s="223" t="s">
        <v>230</v>
      </c>
      <c r="D74" s="224"/>
      <c r="E74" s="224"/>
      <c r="F74" s="138" t="s">
        <v>23</v>
      </c>
      <c r="G74" s="131"/>
      <c r="H74" s="131"/>
      <c r="I74" s="131">
        <f>'D.1.2.2 Odvodnění'!G48</f>
        <v>0</v>
      </c>
      <c r="J74" s="136" t="str">
        <f>IF(I82=0,"",I74/I82*100)</f>
        <v/>
      </c>
    </row>
    <row r="75" spans="2:10" x14ac:dyDescent="0.25">
      <c r="B75" s="130" t="s">
        <v>54</v>
      </c>
      <c r="C75" s="223" t="s">
        <v>55</v>
      </c>
      <c r="D75" s="224"/>
      <c r="E75" s="224"/>
      <c r="F75" s="138" t="s">
        <v>23</v>
      </c>
      <c r="G75" s="131"/>
      <c r="H75" s="131"/>
      <c r="I75" s="131">
        <f>'D.1.2.2 Odvodnění'!G52</f>
        <v>0</v>
      </c>
      <c r="J75" s="136" t="str">
        <f>IF(I82=0,"",I75/I82*100)</f>
        <v/>
      </c>
    </row>
    <row r="76" spans="2:10" x14ac:dyDescent="0.25">
      <c r="B76" s="130" t="s">
        <v>235</v>
      </c>
      <c r="C76" s="223" t="s">
        <v>236</v>
      </c>
      <c r="D76" s="224"/>
      <c r="E76" s="224"/>
      <c r="F76" s="138" t="s">
        <v>23</v>
      </c>
      <c r="G76" s="131"/>
      <c r="H76" s="131"/>
      <c r="I76" s="131">
        <f>'D.1.2.2 Odvodnění'!G74</f>
        <v>0</v>
      </c>
      <c r="J76" s="136" t="str">
        <f>IF(I82=0,"",I76/I82*100)</f>
        <v/>
      </c>
    </row>
    <row r="77" spans="2:10" x14ac:dyDescent="0.25">
      <c r="B77" s="130" t="s">
        <v>195</v>
      </c>
      <c r="C77" s="223" t="s">
        <v>196</v>
      </c>
      <c r="D77" s="224"/>
      <c r="E77" s="224"/>
      <c r="F77" s="138" t="s">
        <v>23</v>
      </c>
      <c r="G77" s="131"/>
      <c r="H77" s="131"/>
      <c r="I77" s="131">
        <f>'D.1.2.2 Odvodnění'!G78</f>
        <v>0</v>
      </c>
      <c r="J77" s="136" t="str">
        <f>IF(I82=0,"",I77/I82*100)</f>
        <v/>
      </c>
    </row>
    <row r="78" spans="2:10" x14ac:dyDescent="0.25">
      <c r="B78" s="130" t="s">
        <v>58</v>
      </c>
      <c r="C78" s="223" t="s">
        <v>59</v>
      </c>
      <c r="D78" s="224"/>
      <c r="E78" s="224"/>
      <c r="F78" s="138" t="s">
        <v>23</v>
      </c>
      <c r="G78" s="131"/>
      <c r="H78" s="131"/>
      <c r="I78" s="131">
        <f>'D.1.2.2 Odvodnění'!G82</f>
        <v>0</v>
      </c>
      <c r="J78" s="136" t="str">
        <f>IF(I82=0,"",I78/I82*100)</f>
        <v/>
      </c>
    </row>
    <row r="79" spans="2:10" x14ac:dyDescent="0.25">
      <c r="B79" s="130" t="s">
        <v>60</v>
      </c>
      <c r="C79" s="223" t="s">
        <v>61</v>
      </c>
      <c r="D79" s="224"/>
      <c r="E79" s="224"/>
      <c r="F79" s="138" t="s">
        <v>62</v>
      </c>
      <c r="G79" s="131"/>
      <c r="H79" s="131"/>
      <c r="I79" s="131">
        <f>'D.1.2.2 Odvodnění'!G87</f>
        <v>0</v>
      </c>
      <c r="J79" s="136" t="str">
        <f>IF(I82=0,"",I79/I82*100)</f>
        <v/>
      </c>
    </row>
    <row r="80" spans="2:10" x14ac:dyDescent="0.25">
      <c r="B80" s="130" t="s">
        <v>63</v>
      </c>
      <c r="C80" s="223" t="s">
        <v>26</v>
      </c>
      <c r="D80" s="224"/>
      <c r="E80" s="224"/>
      <c r="F80" s="138" t="s">
        <v>63</v>
      </c>
      <c r="G80" s="131"/>
      <c r="H80" s="131"/>
      <c r="I80" s="131">
        <f>'D.1.2.2 Odvodnění'!G94</f>
        <v>0</v>
      </c>
      <c r="J80" s="136" t="str">
        <f>IF(I82=0,"",I80/I82*100)</f>
        <v/>
      </c>
    </row>
    <row r="81" spans="1:10" x14ac:dyDescent="0.25">
      <c r="B81" s="130" t="s">
        <v>64</v>
      </c>
      <c r="C81" s="223" t="s">
        <v>27</v>
      </c>
      <c r="D81" s="224"/>
      <c r="E81" s="224"/>
      <c r="F81" s="138" t="s">
        <v>64</v>
      </c>
      <c r="G81" s="131"/>
      <c r="H81" s="131"/>
      <c r="I81" s="131">
        <f>'D.1.2.2 Odvodnění'!G105</f>
        <v>0</v>
      </c>
      <c r="J81" s="136" t="str">
        <f>IF(I82=0,"",I81/I82*100)</f>
        <v/>
      </c>
    </row>
    <row r="82" spans="1:10" x14ac:dyDescent="0.25">
      <c r="B82" s="132" t="s">
        <v>1</v>
      </c>
      <c r="C82" s="133"/>
      <c r="D82" s="134"/>
      <c r="E82" s="134"/>
      <c r="F82" s="139"/>
      <c r="G82" s="135"/>
      <c r="H82" s="135"/>
      <c r="I82" s="135">
        <f>SUM(I73:I81)</f>
        <v>0</v>
      </c>
      <c r="J82" s="137">
        <f>SUM(J73:J81)</f>
        <v>0</v>
      </c>
    </row>
    <row r="84" spans="1:10" ht="15.6" x14ac:dyDescent="0.3">
      <c r="B84" s="122" t="s">
        <v>339</v>
      </c>
    </row>
    <row r="85" spans="1:10" ht="4.5" customHeight="1" x14ac:dyDescent="0.25"/>
    <row r="86" spans="1:10" ht="19.5" customHeight="1" x14ac:dyDescent="0.25">
      <c r="A86" s="124"/>
      <c r="B86" s="127" t="s">
        <v>17</v>
      </c>
      <c r="C86" s="127" t="s">
        <v>5</v>
      </c>
      <c r="D86" s="128"/>
      <c r="E86" s="128"/>
      <c r="F86" s="129" t="s">
        <v>51</v>
      </c>
      <c r="G86" s="129"/>
      <c r="H86" s="129"/>
      <c r="I86" s="129" t="s">
        <v>28</v>
      </c>
      <c r="J86" s="129" t="s">
        <v>0</v>
      </c>
    </row>
    <row r="87" spans="1:10" ht="15" customHeight="1" x14ac:dyDescent="0.25">
      <c r="A87" s="125"/>
      <c r="B87" s="130" t="s">
        <v>52</v>
      </c>
      <c r="C87" s="223" t="s">
        <v>53</v>
      </c>
      <c r="D87" s="224"/>
      <c r="E87" s="224"/>
      <c r="F87" s="138" t="s">
        <v>23</v>
      </c>
      <c r="G87" s="131"/>
      <c r="H87" s="131"/>
      <c r="I87" s="131">
        <f>'D.1.2.3 Veřejné osvětlení '!G8</f>
        <v>0</v>
      </c>
      <c r="J87" s="136" t="str">
        <f>IF(I93=0,"",I87/I93*100)</f>
        <v/>
      </c>
    </row>
    <row r="88" spans="1:10" ht="15" customHeight="1" x14ac:dyDescent="0.25">
      <c r="A88" s="125"/>
      <c r="B88" s="130" t="s">
        <v>229</v>
      </c>
      <c r="C88" s="223" t="s">
        <v>230</v>
      </c>
      <c r="D88" s="224"/>
      <c r="E88" s="224"/>
      <c r="F88" s="138" t="s">
        <v>23</v>
      </c>
      <c r="G88" s="131"/>
      <c r="H88" s="131"/>
      <c r="I88" s="131">
        <f>'D.1.2.3 Veřejné osvětlení '!G28</f>
        <v>0</v>
      </c>
      <c r="J88" s="136" t="str">
        <f>IF(I93=0,"",I88/I93*100)</f>
        <v/>
      </c>
    </row>
    <row r="89" spans="1:10" ht="15" customHeight="1" x14ac:dyDescent="0.25">
      <c r="A89" s="125"/>
      <c r="B89" s="130" t="s">
        <v>235</v>
      </c>
      <c r="C89" s="223" t="s">
        <v>236</v>
      </c>
      <c r="D89" s="224"/>
      <c r="E89" s="224"/>
      <c r="F89" s="138" t="s">
        <v>25</v>
      </c>
      <c r="G89" s="131"/>
      <c r="H89" s="131"/>
      <c r="I89" s="131">
        <f>'D.1.2.3 Veřejné osvětlení '!G35</f>
        <v>0</v>
      </c>
      <c r="J89" s="136" t="str">
        <f>IF(I93=0,"",I89/I93*100)</f>
        <v/>
      </c>
    </row>
    <row r="90" spans="1:10" ht="15" customHeight="1" x14ac:dyDescent="0.25">
      <c r="A90" s="125"/>
      <c r="B90" s="130" t="s">
        <v>183</v>
      </c>
      <c r="C90" s="223" t="s">
        <v>182</v>
      </c>
      <c r="D90" s="224"/>
      <c r="E90" s="224"/>
      <c r="F90" s="138" t="s">
        <v>23</v>
      </c>
      <c r="G90" s="131"/>
      <c r="H90" s="131"/>
      <c r="I90" s="131">
        <f>'D.1.2.3 Veřejné osvětlení '!G57</f>
        <v>0</v>
      </c>
      <c r="J90" s="136" t="str">
        <f>IF(I93=0,"",I90/I93*100)</f>
        <v/>
      </c>
    </row>
    <row r="91" spans="1:10" ht="15" customHeight="1" x14ac:dyDescent="0.25">
      <c r="A91" s="125"/>
      <c r="B91" s="130" t="s">
        <v>63</v>
      </c>
      <c r="C91" s="223" t="s">
        <v>26</v>
      </c>
      <c r="D91" s="224"/>
      <c r="E91" s="224"/>
      <c r="F91" s="138" t="s">
        <v>63</v>
      </c>
      <c r="G91" s="131"/>
      <c r="H91" s="131"/>
      <c r="I91" s="131">
        <f>'D.1.2.3 Veřejné osvětlení '!G61</f>
        <v>0</v>
      </c>
      <c r="J91" s="136" t="str">
        <f>IF(I93=0,"",I91/I93*100)</f>
        <v/>
      </c>
    </row>
    <row r="92" spans="1:10" ht="15" customHeight="1" x14ac:dyDescent="0.25">
      <c r="A92" s="125"/>
      <c r="B92" s="130" t="s">
        <v>64</v>
      </c>
      <c r="C92" s="223" t="s">
        <v>27</v>
      </c>
      <c r="D92" s="224"/>
      <c r="E92" s="224"/>
      <c r="F92" s="138" t="s">
        <v>64</v>
      </c>
      <c r="G92" s="131"/>
      <c r="H92" s="131"/>
      <c r="I92" s="131">
        <f>'D.1.2.3 Veřejné osvětlení '!G72</f>
        <v>0</v>
      </c>
      <c r="J92" s="136" t="str">
        <f>IF(I93=0,"",I92/I93*100)</f>
        <v/>
      </c>
    </row>
    <row r="93" spans="1:10" ht="21" customHeight="1" x14ac:dyDescent="0.25">
      <c r="A93" s="126"/>
      <c r="B93" s="132" t="s">
        <v>1</v>
      </c>
      <c r="C93" s="133"/>
      <c r="D93" s="134"/>
      <c r="E93" s="134"/>
      <c r="F93" s="139"/>
      <c r="G93" s="135"/>
      <c r="H93" s="135"/>
      <c r="I93" s="135">
        <f>SUM(I87:I92)</f>
        <v>0</v>
      </c>
      <c r="J93" s="137">
        <f>SUM(J87:J92)</f>
        <v>0</v>
      </c>
    </row>
    <row r="94" spans="1:10" x14ac:dyDescent="0.25">
      <c r="F94" s="84"/>
      <c r="G94" s="84"/>
      <c r="H94" s="84"/>
      <c r="I94" s="84"/>
      <c r="J94" s="85"/>
    </row>
    <row r="95" spans="1:10" x14ac:dyDescent="0.25">
      <c r="F95" s="84"/>
      <c r="G95" s="84"/>
      <c r="H95" s="84"/>
      <c r="I95" s="84"/>
      <c r="J95" s="85"/>
    </row>
    <row r="96" spans="1:10" x14ac:dyDescent="0.25">
      <c r="F96" s="84"/>
      <c r="G96" s="84"/>
      <c r="H96" s="84"/>
      <c r="I96" s="84"/>
      <c r="J96" s="85"/>
    </row>
    <row r="97" spans="6:10" x14ac:dyDescent="0.25">
      <c r="F97" s="84"/>
      <c r="G97" s="84"/>
      <c r="H97" s="84"/>
      <c r="I97" s="84"/>
      <c r="J97" s="85"/>
    </row>
    <row r="98" spans="6:10" x14ac:dyDescent="0.25">
      <c r="F98" s="84"/>
      <c r="G98" s="84"/>
      <c r="H98" s="84"/>
      <c r="I98" s="84"/>
      <c r="J98" s="85"/>
    </row>
    <row r="99" spans="6:10" x14ac:dyDescent="0.25">
      <c r="F99" s="84"/>
      <c r="G99" s="84"/>
      <c r="H99" s="84"/>
      <c r="I99" s="84"/>
      <c r="J99" s="85"/>
    </row>
  </sheetData>
  <sheetProtection password="EA7D" sheet="1" objects="1" scenarios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C87:E87"/>
    <mergeCell ref="B1:J1"/>
    <mergeCell ref="G26:I26"/>
    <mergeCell ref="G28:I28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C14:D14"/>
    <mergeCell ref="D36:E36"/>
    <mergeCell ref="G24:I24"/>
    <mergeCell ref="G23:I23"/>
    <mergeCell ref="E19:F19"/>
    <mergeCell ref="E20:F20"/>
    <mergeCell ref="I20:J20"/>
    <mergeCell ref="I21:J21"/>
    <mergeCell ref="G19:H19"/>
    <mergeCell ref="G20:H20"/>
    <mergeCell ref="G30:I30"/>
    <mergeCell ref="G25:I25"/>
    <mergeCell ref="I19:J19"/>
    <mergeCell ref="G29:I29"/>
    <mergeCell ref="D35:E35"/>
    <mergeCell ref="G35:I35"/>
    <mergeCell ref="G27:I27"/>
    <mergeCell ref="C40:E40"/>
    <mergeCell ref="C41:E41"/>
    <mergeCell ref="C42:E42"/>
    <mergeCell ref="C43:E43"/>
    <mergeCell ref="B44:E44"/>
    <mergeCell ref="C92:E92"/>
    <mergeCell ref="C91:E91"/>
    <mergeCell ref="C88:E88"/>
    <mergeCell ref="C89:E89"/>
    <mergeCell ref="C66:E66"/>
    <mergeCell ref="C67:E67"/>
    <mergeCell ref="C73:E73"/>
    <mergeCell ref="C75:E75"/>
    <mergeCell ref="C76:E76"/>
    <mergeCell ref="C77:E77"/>
    <mergeCell ref="C78:E78"/>
    <mergeCell ref="C79:E79"/>
    <mergeCell ref="C80:E80"/>
    <mergeCell ref="C81:E81"/>
    <mergeCell ref="C74:E74"/>
    <mergeCell ref="C90:E90"/>
    <mergeCell ref="B47:G47"/>
    <mergeCell ref="B48:G48"/>
    <mergeCell ref="B50:G50"/>
    <mergeCell ref="B51:G51"/>
    <mergeCell ref="C62:E62"/>
    <mergeCell ref="C63:E63"/>
    <mergeCell ref="C64:E64"/>
    <mergeCell ref="C65:E65"/>
    <mergeCell ref="C60:E60"/>
    <mergeCell ref="C61:E6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81" t="s">
        <v>6</v>
      </c>
      <c r="B1" s="281"/>
      <c r="C1" s="282"/>
      <c r="D1" s="281"/>
      <c r="E1" s="281"/>
      <c r="F1" s="281"/>
      <c r="G1" s="281"/>
    </row>
    <row r="2" spans="1:7" ht="24.9" customHeight="1" x14ac:dyDescent="0.25">
      <c r="A2" s="49" t="s">
        <v>7</v>
      </c>
      <c r="B2" s="48"/>
      <c r="C2" s="283"/>
      <c r="D2" s="283"/>
      <c r="E2" s="283"/>
      <c r="F2" s="283"/>
      <c r="G2" s="284"/>
    </row>
    <row r="3" spans="1:7" ht="24.9" customHeight="1" x14ac:dyDescent="0.25">
      <c r="A3" s="49" t="s">
        <v>8</v>
      </c>
      <c r="B3" s="48"/>
      <c r="C3" s="283"/>
      <c r="D3" s="283"/>
      <c r="E3" s="283"/>
      <c r="F3" s="283"/>
      <c r="G3" s="284"/>
    </row>
    <row r="4" spans="1:7" ht="24.9" customHeight="1" x14ac:dyDescent="0.25">
      <c r="A4" s="49" t="s">
        <v>9</v>
      </c>
      <c r="B4" s="48"/>
      <c r="C4" s="283"/>
      <c r="D4" s="283"/>
      <c r="E4" s="283"/>
      <c r="F4" s="283"/>
      <c r="G4" s="284"/>
    </row>
    <row r="5" spans="1:7" x14ac:dyDescent="0.25">
      <c r="B5" s="4"/>
      <c r="C5" s="5"/>
      <c r="D5" s="6"/>
    </row>
  </sheetData>
  <sheetProtection password="C71F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BH4965"/>
  <sheetViews>
    <sheetView workbookViewId="0">
      <pane ySplit="7" topLeftCell="A24" activePane="bottomLeft" state="frozen"/>
      <selection pane="bottomLeft" activeCell="F34" sqref="F34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0.109375" bestFit="1" customWidth="1"/>
    <col min="26" max="26" width="11.6640625" bestFit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94" t="s">
        <v>65</v>
      </c>
      <c r="B1" s="295"/>
      <c r="C1" s="295"/>
      <c r="D1" s="295"/>
      <c r="E1" s="295"/>
      <c r="F1" s="295"/>
      <c r="G1" s="295"/>
      <c r="H1" s="194"/>
      <c r="L1" s="198"/>
      <c r="AG1" t="s">
        <v>66</v>
      </c>
    </row>
    <row r="2" spans="1:60" ht="24.9" customHeight="1" x14ac:dyDescent="0.25">
      <c r="A2" s="195" t="s">
        <v>7</v>
      </c>
      <c r="B2" s="186" t="s">
        <v>255</v>
      </c>
      <c r="C2" s="299" t="s">
        <v>256</v>
      </c>
      <c r="D2" s="300"/>
      <c r="E2" s="300"/>
      <c r="F2" s="300"/>
      <c r="G2" s="300"/>
      <c r="H2" s="301"/>
      <c r="L2" s="198"/>
      <c r="AG2" t="s">
        <v>67</v>
      </c>
    </row>
    <row r="3" spans="1:60" ht="24.9" customHeight="1" x14ac:dyDescent="0.25">
      <c r="A3" s="195" t="s">
        <v>8</v>
      </c>
      <c r="B3" s="201" t="s">
        <v>340</v>
      </c>
      <c r="C3" s="296" t="s">
        <v>55</v>
      </c>
      <c r="D3" s="297"/>
      <c r="E3" s="297"/>
      <c r="F3" s="297"/>
      <c r="G3" s="298"/>
      <c r="H3" s="196"/>
      <c r="L3" s="198"/>
      <c r="AC3" s="123" t="s">
        <v>67</v>
      </c>
      <c r="AG3" t="s">
        <v>68</v>
      </c>
    </row>
    <row r="4" spans="1:60" ht="24.9" customHeight="1" x14ac:dyDescent="0.25">
      <c r="A4" s="197" t="s">
        <v>9</v>
      </c>
      <c r="B4" s="187" t="s">
        <v>255</v>
      </c>
      <c r="C4" s="302" t="s">
        <v>257</v>
      </c>
      <c r="D4" s="303"/>
      <c r="E4" s="303"/>
      <c r="F4" s="303"/>
      <c r="G4" s="303"/>
      <c r="H4" s="304"/>
      <c r="L4" s="198"/>
      <c r="AG4" t="s">
        <v>69</v>
      </c>
    </row>
    <row r="5" spans="1:60" x14ac:dyDescent="0.25">
      <c r="D5" s="10"/>
    </row>
    <row r="6" spans="1:60" ht="39.6" x14ac:dyDescent="0.25">
      <c r="A6" s="142" t="s">
        <v>70</v>
      </c>
      <c r="B6" s="144" t="s">
        <v>71</v>
      </c>
      <c r="C6" s="144" t="s">
        <v>72</v>
      </c>
      <c r="D6" s="143" t="s">
        <v>73</v>
      </c>
      <c r="E6" s="142" t="s">
        <v>74</v>
      </c>
      <c r="F6" s="141" t="s">
        <v>75</v>
      </c>
      <c r="G6" s="142" t="s">
        <v>28</v>
      </c>
      <c r="H6" s="145" t="s">
        <v>29</v>
      </c>
      <c r="I6" s="145" t="s">
        <v>76</v>
      </c>
      <c r="J6" s="145" t="s">
        <v>30</v>
      </c>
      <c r="K6" s="145" t="s">
        <v>77</v>
      </c>
      <c r="L6" s="145" t="s">
        <v>78</v>
      </c>
      <c r="M6" s="145" t="s">
        <v>79</v>
      </c>
      <c r="N6" s="145" t="s">
        <v>80</v>
      </c>
      <c r="O6" s="145" t="s">
        <v>81</v>
      </c>
      <c r="P6" s="145" t="s">
        <v>82</v>
      </c>
      <c r="Q6" s="145" t="s">
        <v>83</v>
      </c>
      <c r="R6" s="145" t="s">
        <v>84</v>
      </c>
      <c r="S6" s="145" t="s">
        <v>85</v>
      </c>
      <c r="T6" s="145" t="s">
        <v>86</v>
      </c>
      <c r="U6" s="145" t="s">
        <v>87</v>
      </c>
      <c r="V6" s="145" t="s">
        <v>88</v>
      </c>
      <c r="W6" s="145" t="s">
        <v>89</v>
      </c>
      <c r="X6" s="145" t="s">
        <v>90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5">
      <c r="A8" s="157" t="s">
        <v>91</v>
      </c>
      <c r="B8" s="158" t="s">
        <v>52</v>
      </c>
      <c r="C8" s="173" t="s">
        <v>53</v>
      </c>
      <c r="D8" s="159"/>
      <c r="E8" s="160"/>
      <c r="F8" s="161"/>
      <c r="G8" s="161">
        <f>SUMIF(AG9:AG46,"&lt;&gt;NOR",G9:G46)</f>
        <v>0</v>
      </c>
      <c r="H8" s="161"/>
      <c r="I8" s="161">
        <f>SUM(I9:I46)</f>
        <v>168</v>
      </c>
      <c r="J8" s="161"/>
      <c r="K8" s="161">
        <f>SUM(K9:K46)</f>
        <v>1931207.76</v>
      </c>
      <c r="L8" s="161"/>
      <c r="M8" s="161">
        <f>SUM(M9:M46)</f>
        <v>0</v>
      </c>
      <c r="N8" s="161"/>
      <c r="O8" s="161">
        <f>SUM(O9:O46)</f>
        <v>0</v>
      </c>
      <c r="P8" s="161"/>
      <c r="Q8" s="161">
        <f>SUM(Q9:Q46)</f>
        <v>565.49</v>
      </c>
      <c r="R8" s="161"/>
      <c r="S8" s="161"/>
      <c r="T8" s="162"/>
      <c r="U8" s="156"/>
      <c r="V8" s="156">
        <f>SUM(V9:V46)</f>
        <v>1503.5900000000001</v>
      </c>
      <c r="W8" s="156"/>
      <c r="X8" s="156"/>
      <c r="Z8" s="84"/>
      <c r="AG8" t="s">
        <v>92</v>
      </c>
    </row>
    <row r="9" spans="1:60" ht="20.399999999999999" outlineLevel="1" x14ac:dyDescent="0.25">
      <c r="A9" s="163">
        <v>1</v>
      </c>
      <c r="B9" s="164" t="s">
        <v>202</v>
      </c>
      <c r="C9" s="174" t="s">
        <v>344</v>
      </c>
      <c r="D9" s="165" t="s">
        <v>99</v>
      </c>
      <c r="E9" s="166">
        <v>7</v>
      </c>
      <c r="F9" s="167"/>
      <c r="G9" s="168">
        <f>ROUND(E9*F9,2)</f>
        <v>0</v>
      </c>
      <c r="H9" s="167">
        <v>0</v>
      </c>
      <c r="I9" s="168">
        <f>ROUND(E9*H9,2)</f>
        <v>0</v>
      </c>
      <c r="J9" s="167">
        <v>61.8</v>
      </c>
      <c r="K9" s="168">
        <f>ROUND(E9*J9,2)</f>
        <v>432.6</v>
      </c>
      <c r="L9" s="168">
        <v>21</v>
      </c>
      <c r="M9" s="168">
        <f>G9*(1+L9/100)</f>
        <v>0</v>
      </c>
      <c r="N9" s="168">
        <v>0</v>
      </c>
      <c r="O9" s="168">
        <f>ROUND(E9*N9,2)</f>
        <v>0</v>
      </c>
      <c r="P9" s="168">
        <v>0.13800000000000001</v>
      </c>
      <c r="Q9" s="168">
        <f>ROUND(E9*P9,2)</f>
        <v>0.97</v>
      </c>
      <c r="R9" s="168" t="s">
        <v>111</v>
      </c>
      <c r="S9" s="168" t="s">
        <v>264</v>
      </c>
      <c r="T9" s="168" t="s">
        <v>264</v>
      </c>
      <c r="U9" s="155"/>
      <c r="V9" s="155"/>
      <c r="W9" s="155"/>
      <c r="X9" s="155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5">
      <c r="A10" s="153"/>
      <c r="B10" s="154"/>
      <c r="C10" s="285" t="s">
        <v>282</v>
      </c>
      <c r="D10" s="286"/>
      <c r="E10" s="286"/>
      <c r="F10" s="286"/>
      <c r="G10" s="286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53"/>
      <c r="B11" s="154"/>
      <c r="C11" s="175"/>
      <c r="D11" s="170"/>
      <c r="E11" s="170"/>
      <c r="F11" s="170"/>
      <c r="G11" s="170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95" customHeight="1" outlineLevel="1" x14ac:dyDescent="0.25">
      <c r="A12" s="163">
        <v>2</v>
      </c>
      <c r="B12" s="164" t="s">
        <v>259</v>
      </c>
      <c r="C12" s="174" t="s">
        <v>258</v>
      </c>
      <c r="D12" s="165" t="s">
        <v>120</v>
      </c>
      <c r="E12" s="166">
        <f>800+25+8</f>
        <v>833</v>
      </c>
      <c r="F12" s="167"/>
      <c r="G12" s="168">
        <f>ROUND(E12*F12,2)</f>
        <v>0</v>
      </c>
      <c r="H12" s="167">
        <v>0</v>
      </c>
      <c r="I12" s="168">
        <f>ROUND(E12*H12,2)</f>
        <v>0</v>
      </c>
      <c r="J12" s="167">
        <v>351</v>
      </c>
      <c r="K12" s="168">
        <f>ROUND(E12*J12,2)</f>
        <v>292383</v>
      </c>
      <c r="L12" s="168">
        <v>21</v>
      </c>
      <c r="M12" s="168">
        <f>G12*(1+L12/100)</f>
        <v>0</v>
      </c>
      <c r="N12" s="168">
        <v>0</v>
      </c>
      <c r="O12" s="168">
        <f>ROUND(E12*N12,2)</f>
        <v>0</v>
      </c>
      <c r="P12" s="168">
        <v>0.44</v>
      </c>
      <c r="Q12" s="168">
        <f>ROUND(E12*P12,2)</f>
        <v>366.52</v>
      </c>
      <c r="R12" s="168" t="s">
        <v>111</v>
      </c>
      <c r="S12" s="168" t="s">
        <v>264</v>
      </c>
      <c r="T12" s="168" t="s">
        <v>264</v>
      </c>
      <c r="U12" s="155">
        <v>3.3000000000000002E-2</v>
      </c>
      <c r="V12" s="155">
        <f>ROUND(E12*U12,2)</f>
        <v>27.49</v>
      </c>
      <c r="W12" s="155"/>
      <c r="X12" s="155" t="s">
        <v>112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113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53"/>
      <c r="B13" s="154"/>
      <c r="C13" s="289"/>
      <c r="D13" s="290"/>
      <c r="E13" s="290"/>
      <c r="F13" s="290"/>
      <c r="G13" s="290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46"/>
      <c r="Z13" s="146"/>
      <c r="AA13" s="146"/>
      <c r="AB13" s="146"/>
      <c r="AC13" s="146"/>
      <c r="AD13" s="146"/>
      <c r="AE13" s="146"/>
      <c r="AF13" s="146"/>
      <c r="AG13" s="146" t="s">
        <v>94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ht="20.399999999999999" outlineLevel="1" x14ac:dyDescent="0.25">
      <c r="A14" s="163">
        <v>3</v>
      </c>
      <c r="B14" s="164" t="s">
        <v>203</v>
      </c>
      <c r="C14" s="174" t="s">
        <v>204</v>
      </c>
      <c r="D14" s="165" t="s">
        <v>99</v>
      </c>
      <c r="E14" s="166">
        <v>860</v>
      </c>
      <c r="F14" s="167"/>
      <c r="G14" s="168">
        <f>ROUND(E14*F14,2)</f>
        <v>0</v>
      </c>
      <c r="H14" s="167">
        <v>0</v>
      </c>
      <c r="I14" s="168">
        <f>ROUND(E14*H14,2)</f>
        <v>0</v>
      </c>
      <c r="J14" s="167">
        <v>111</v>
      </c>
      <c r="K14" s="168">
        <f>ROUND(E14*J14,2)</f>
        <v>95460</v>
      </c>
      <c r="L14" s="168">
        <v>21</v>
      </c>
      <c r="M14" s="168">
        <f>G14*(1+L14/100)</f>
        <v>0</v>
      </c>
      <c r="N14" s="168">
        <v>0</v>
      </c>
      <c r="O14" s="168">
        <f>ROUND(E14*N14,2)</f>
        <v>0</v>
      </c>
      <c r="P14" s="168">
        <v>0.11</v>
      </c>
      <c r="Q14" s="168">
        <f>ROUND(E14*P14,2)</f>
        <v>94.6</v>
      </c>
      <c r="R14" s="168" t="s">
        <v>111</v>
      </c>
      <c r="S14" s="168" t="s">
        <v>264</v>
      </c>
      <c r="T14" s="168" t="s">
        <v>264</v>
      </c>
      <c r="U14" s="155">
        <v>0.2</v>
      </c>
      <c r="V14" s="155">
        <f>ROUND(E14*U14,2)</f>
        <v>172</v>
      </c>
      <c r="W14" s="155"/>
      <c r="X14" s="155" t="s">
        <v>112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113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5">
      <c r="A15" s="153"/>
      <c r="B15" s="154"/>
      <c r="C15" s="289"/>
      <c r="D15" s="290"/>
      <c r="E15" s="290"/>
      <c r="F15" s="290"/>
      <c r="G15" s="290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46"/>
      <c r="Z15" s="146"/>
      <c r="AA15" s="146"/>
      <c r="AB15" s="146"/>
      <c r="AC15" s="146"/>
      <c r="AD15" s="146"/>
      <c r="AE15" s="146"/>
      <c r="AF15" s="146"/>
      <c r="AG15" s="146" t="s">
        <v>94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5">
      <c r="A16" s="163">
        <v>4</v>
      </c>
      <c r="B16" s="164" t="s">
        <v>115</v>
      </c>
      <c r="C16" s="174" t="s">
        <v>156</v>
      </c>
      <c r="D16" s="165" t="s">
        <v>116</v>
      </c>
      <c r="E16" s="166">
        <v>470</v>
      </c>
      <c r="F16" s="167"/>
      <c r="G16" s="168">
        <f>ROUND(E16*F16,2)</f>
        <v>0</v>
      </c>
      <c r="H16" s="167">
        <v>0</v>
      </c>
      <c r="I16" s="168">
        <f>ROUND(E16*H16,2)</f>
        <v>0</v>
      </c>
      <c r="J16" s="167">
        <v>115</v>
      </c>
      <c r="K16" s="168">
        <f>ROUND(E16*J16,2)</f>
        <v>54050</v>
      </c>
      <c r="L16" s="168">
        <v>21</v>
      </c>
      <c r="M16" s="168">
        <f>G16*(1+L16/100)</f>
        <v>0</v>
      </c>
      <c r="N16" s="168">
        <v>0</v>
      </c>
      <c r="O16" s="168">
        <f>ROUND(E16*N16,2)</f>
        <v>0</v>
      </c>
      <c r="P16" s="168">
        <v>0.22</v>
      </c>
      <c r="Q16" s="168">
        <f>ROUND(E16*P16,2)</f>
        <v>103.4</v>
      </c>
      <c r="R16" s="168" t="s">
        <v>111</v>
      </c>
      <c r="S16" s="168" t="s">
        <v>264</v>
      </c>
      <c r="T16" s="168" t="s">
        <v>264</v>
      </c>
      <c r="U16" s="155"/>
      <c r="V16" s="155"/>
      <c r="W16" s="155"/>
      <c r="X16" s="155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12.75" customHeight="1" outlineLevel="1" x14ac:dyDescent="0.25">
      <c r="A17" s="153"/>
      <c r="B17" s="154"/>
      <c r="C17" s="285" t="s">
        <v>220</v>
      </c>
      <c r="D17" s="286"/>
      <c r="E17" s="286"/>
      <c r="F17" s="286"/>
      <c r="G17" s="286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53"/>
      <c r="B18" s="154"/>
      <c r="C18" s="175"/>
      <c r="D18" s="170"/>
      <c r="E18" s="170"/>
      <c r="F18" s="170"/>
      <c r="G18" s="170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63">
        <v>5</v>
      </c>
      <c r="B19" s="164" t="s">
        <v>184</v>
      </c>
      <c r="C19" s="174" t="s">
        <v>185</v>
      </c>
      <c r="D19" s="165" t="s">
        <v>120</v>
      </c>
      <c r="E19" s="166">
        <f>E22/5</f>
        <v>243.2</v>
      </c>
      <c r="F19" s="167"/>
      <c r="G19" s="168">
        <f>ROUND(E19*F19,2)</f>
        <v>0</v>
      </c>
      <c r="H19" s="167">
        <v>0</v>
      </c>
      <c r="I19" s="168">
        <f>ROUND(E19*H19,2)</f>
        <v>0</v>
      </c>
      <c r="J19" s="167">
        <v>617</v>
      </c>
      <c r="K19" s="168">
        <f>ROUND(E19*J19,2)</f>
        <v>150054.39999999999</v>
      </c>
      <c r="L19" s="168">
        <v>21</v>
      </c>
      <c r="M19" s="168">
        <f>G19*(1+L19/100)</f>
        <v>0</v>
      </c>
      <c r="N19" s="168">
        <v>0</v>
      </c>
      <c r="O19" s="168">
        <f>ROUND(E19*N19,2)</f>
        <v>0</v>
      </c>
      <c r="P19" s="168">
        <v>0</v>
      </c>
      <c r="Q19" s="168">
        <f>ROUND(E19*P19,2)</f>
        <v>0</v>
      </c>
      <c r="R19" s="168" t="s">
        <v>119</v>
      </c>
      <c r="S19" s="168" t="s">
        <v>264</v>
      </c>
      <c r="T19" s="168" t="s">
        <v>264</v>
      </c>
      <c r="U19" s="155"/>
      <c r="V19" s="155"/>
      <c r="W19" s="155"/>
      <c r="X19" s="155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ht="14.25" customHeight="1" outlineLevel="1" x14ac:dyDescent="0.25">
      <c r="A20" s="153"/>
      <c r="B20" s="154"/>
      <c r="C20" s="285" t="s">
        <v>219</v>
      </c>
      <c r="D20" s="286"/>
      <c r="E20" s="286"/>
      <c r="F20" s="286"/>
      <c r="G20" s="286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53"/>
      <c r="B21" s="154"/>
      <c r="C21" s="175"/>
      <c r="D21" s="170"/>
      <c r="E21" s="170"/>
      <c r="F21" s="170"/>
      <c r="G21" s="170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5">
      <c r="A22" s="163">
        <v>6</v>
      </c>
      <c r="B22" s="164" t="s">
        <v>157</v>
      </c>
      <c r="C22" s="174" t="s">
        <v>292</v>
      </c>
      <c r="D22" s="165" t="s">
        <v>120</v>
      </c>
      <c r="E22" s="166">
        <f>1110+106</f>
        <v>1216</v>
      </c>
      <c r="F22" s="167"/>
      <c r="G22" s="168">
        <f>ROUND(E22*F22,2)</f>
        <v>0</v>
      </c>
      <c r="H22" s="167">
        <v>0</v>
      </c>
      <c r="I22" s="168">
        <f>ROUND(E22*H22,2)</f>
        <v>0</v>
      </c>
      <c r="J22" s="167">
        <v>191.5</v>
      </c>
      <c r="K22" s="168">
        <f>ROUND(E22*J22,2)</f>
        <v>232864</v>
      </c>
      <c r="L22" s="168">
        <v>21</v>
      </c>
      <c r="M22" s="168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68" t="s">
        <v>119</v>
      </c>
      <c r="S22" s="168" t="s">
        <v>264</v>
      </c>
      <c r="T22" s="168" t="s">
        <v>264</v>
      </c>
      <c r="U22" s="155">
        <v>0.36799999999999999</v>
      </c>
      <c r="V22" s="155">
        <f>ROUND(E22*U22,2)</f>
        <v>447.49</v>
      </c>
      <c r="W22" s="155"/>
      <c r="X22" s="155" t="s">
        <v>112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113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5">
      <c r="A23" s="153"/>
      <c r="B23" s="154"/>
      <c r="C23" s="287"/>
      <c r="D23" s="288"/>
      <c r="E23" s="288"/>
      <c r="F23" s="288"/>
      <c r="G23" s="288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46"/>
      <c r="Z23" s="146"/>
      <c r="AA23" s="146"/>
      <c r="AB23" s="146"/>
      <c r="AC23" s="146"/>
      <c r="AD23" s="146"/>
      <c r="AE23" s="146"/>
      <c r="AF23" s="146"/>
      <c r="AG23" s="146" t="s">
        <v>94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5">
      <c r="A24" s="163">
        <v>7</v>
      </c>
      <c r="B24" s="164" t="s">
        <v>121</v>
      </c>
      <c r="C24" s="174" t="s">
        <v>291</v>
      </c>
      <c r="D24" s="165" t="s">
        <v>120</v>
      </c>
      <c r="E24" s="166">
        <f>E22*0.45</f>
        <v>547.20000000000005</v>
      </c>
      <c r="F24" s="167"/>
      <c r="G24" s="168">
        <f>ROUND(E24*F24,2)</f>
        <v>0</v>
      </c>
      <c r="H24" s="167">
        <v>0</v>
      </c>
      <c r="I24" s="168">
        <f>ROUND(E24*H24,2)</f>
        <v>0</v>
      </c>
      <c r="J24" s="167">
        <v>38.299999999999997</v>
      </c>
      <c r="K24" s="168">
        <f>ROUND(E24*J24,2)</f>
        <v>20957.759999999998</v>
      </c>
      <c r="L24" s="168">
        <v>21</v>
      </c>
      <c r="M24" s="168">
        <f>G24*(1+L24/100)</f>
        <v>0</v>
      </c>
      <c r="N24" s="168">
        <v>0</v>
      </c>
      <c r="O24" s="168">
        <f>ROUND(E24*N24,2)</f>
        <v>0</v>
      </c>
      <c r="P24" s="168">
        <v>0</v>
      </c>
      <c r="Q24" s="168">
        <f>ROUND(E24*P24,2)</f>
        <v>0</v>
      </c>
      <c r="R24" s="168" t="s">
        <v>119</v>
      </c>
      <c r="S24" s="168" t="s">
        <v>264</v>
      </c>
      <c r="T24" s="168" t="s">
        <v>264</v>
      </c>
      <c r="U24" s="155">
        <v>5.8000000000000003E-2</v>
      </c>
      <c r="V24" s="155">
        <f>ROUND(E24*U24,2)</f>
        <v>31.74</v>
      </c>
      <c r="W24" s="155"/>
      <c r="X24" s="155" t="s">
        <v>112</v>
      </c>
      <c r="Y24" s="146"/>
      <c r="Z24" s="146"/>
      <c r="AA24" s="146"/>
      <c r="AB24" s="146"/>
      <c r="AC24" s="146"/>
      <c r="AD24" s="146"/>
      <c r="AE24" s="146"/>
      <c r="AF24" s="146"/>
      <c r="AG24" s="146" t="s">
        <v>113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53"/>
      <c r="B25" s="154"/>
      <c r="C25" s="287"/>
      <c r="D25" s="288"/>
      <c r="E25" s="288"/>
      <c r="F25" s="288"/>
      <c r="G25" s="288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46"/>
      <c r="Z25" s="146"/>
      <c r="AA25" s="146"/>
      <c r="AB25" s="146"/>
      <c r="AC25" s="146"/>
      <c r="AD25" s="146"/>
      <c r="AE25" s="146"/>
      <c r="AF25" s="146"/>
      <c r="AG25" s="146" t="s">
        <v>94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63">
        <v>8</v>
      </c>
      <c r="B26" s="164" t="s">
        <v>186</v>
      </c>
      <c r="C26" s="174" t="s">
        <v>187</v>
      </c>
      <c r="D26" s="165" t="s">
        <v>120</v>
      </c>
      <c r="E26" s="166">
        <v>30</v>
      </c>
      <c r="F26" s="167"/>
      <c r="G26" s="168">
        <f>ROUND(E26*F26,2)</f>
        <v>0</v>
      </c>
      <c r="H26" s="167">
        <v>0</v>
      </c>
      <c r="I26" s="168">
        <f>ROUND(E26*H26,2)</f>
        <v>0</v>
      </c>
      <c r="J26" s="167">
        <v>1273</v>
      </c>
      <c r="K26" s="168">
        <f>ROUND(E26*J26,2)</f>
        <v>38190</v>
      </c>
      <c r="L26" s="168">
        <v>21</v>
      </c>
      <c r="M26" s="168">
        <f>G26*(1+L26/100)</f>
        <v>0</v>
      </c>
      <c r="N26" s="168">
        <v>0</v>
      </c>
      <c r="O26" s="168">
        <f>ROUND(E26*N26,2)</f>
        <v>0</v>
      </c>
      <c r="P26" s="168">
        <v>0</v>
      </c>
      <c r="Q26" s="168">
        <f>ROUND(E26*P26,2)</f>
        <v>0</v>
      </c>
      <c r="R26" s="168" t="s">
        <v>119</v>
      </c>
      <c r="S26" s="168" t="s">
        <v>264</v>
      </c>
      <c r="T26" s="168" t="s">
        <v>264</v>
      </c>
      <c r="U26" s="155"/>
      <c r="V26" s="155"/>
      <c r="W26" s="155"/>
      <c r="X26" s="155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53"/>
      <c r="B27" s="154"/>
      <c r="C27" s="285" t="s">
        <v>188</v>
      </c>
      <c r="D27" s="286"/>
      <c r="E27" s="286"/>
      <c r="F27" s="286"/>
      <c r="G27" s="286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53"/>
      <c r="B28" s="154"/>
      <c r="C28" s="175"/>
      <c r="D28" s="170"/>
      <c r="E28" s="170"/>
      <c r="F28" s="170"/>
      <c r="G28" s="170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63">
        <v>9</v>
      </c>
      <c r="B29" s="164" t="s">
        <v>123</v>
      </c>
      <c r="C29" s="174" t="s">
        <v>124</v>
      </c>
      <c r="D29" s="165" t="s">
        <v>120</v>
      </c>
      <c r="E29" s="166">
        <f>E22+E26</f>
        <v>1246</v>
      </c>
      <c r="F29" s="167"/>
      <c r="G29" s="168">
        <f>ROUND(E29*F29,2)</f>
        <v>0</v>
      </c>
      <c r="H29" s="167">
        <v>0</v>
      </c>
      <c r="I29" s="168">
        <f>ROUND(E29*H29,2)</f>
        <v>0</v>
      </c>
      <c r="J29" s="167">
        <v>259.5</v>
      </c>
      <c r="K29" s="168">
        <f>ROUND(E29*J29,2)</f>
        <v>323337</v>
      </c>
      <c r="L29" s="168">
        <v>21</v>
      </c>
      <c r="M29" s="168">
        <f>G29*(1+L29/100)</f>
        <v>0</v>
      </c>
      <c r="N29" s="168">
        <v>0</v>
      </c>
      <c r="O29" s="168">
        <f>ROUND(E29*N29,2)</f>
        <v>0</v>
      </c>
      <c r="P29" s="168">
        <v>0</v>
      </c>
      <c r="Q29" s="168">
        <f>ROUND(E29*P29,2)</f>
        <v>0</v>
      </c>
      <c r="R29" s="168" t="s">
        <v>119</v>
      </c>
      <c r="S29" s="168" t="s">
        <v>264</v>
      </c>
      <c r="T29" s="168" t="s">
        <v>264</v>
      </c>
      <c r="U29" s="155">
        <v>5.1999999999999998E-3</v>
      </c>
      <c r="V29" s="155">
        <f>ROUND(E29*U29,2)</f>
        <v>6.48</v>
      </c>
      <c r="W29" s="155"/>
      <c r="X29" s="155" t="s">
        <v>112</v>
      </c>
      <c r="Y29" s="146"/>
      <c r="Z29" s="146"/>
      <c r="AA29" s="146"/>
      <c r="AB29" s="146"/>
      <c r="AC29" s="146"/>
      <c r="AD29" s="146"/>
      <c r="AE29" s="146"/>
      <c r="AF29" s="146"/>
      <c r="AG29" s="146" t="s">
        <v>113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53"/>
      <c r="B30" s="154"/>
      <c r="C30" s="285" t="s">
        <v>125</v>
      </c>
      <c r="D30" s="286"/>
      <c r="E30" s="286"/>
      <c r="F30" s="286"/>
      <c r="G30" s="286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46"/>
      <c r="Z30" s="146"/>
      <c r="AA30" s="146"/>
      <c r="AB30" s="146"/>
      <c r="AC30" s="146"/>
      <c r="AD30" s="146"/>
      <c r="AE30" s="146"/>
      <c r="AF30" s="146"/>
      <c r="AG30" s="146" t="s">
        <v>114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5">
      <c r="A31" s="153"/>
      <c r="B31" s="154"/>
      <c r="C31" s="287"/>
      <c r="D31" s="288"/>
      <c r="E31" s="288"/>
      <c r="F31" s="288"/>
      <c r="G31" s="288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46"/>
      <c r="Z31" s="146"/>
      <c r="AA31" s="146"/>
      <c r="AB31" s="146"/>
      <c r="AC31" s="146"/>
      <c r="AD31" s="146"/>
      <c r="AE31" s="146"/>
      <c r="AF31" s="146"/>
      <c r="AG31" s="146" t="s">
        <v>94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5">
      <c r="A32" s="163">
        <v>10</v>
      </c>
      <c r="B32" s="164" t="s">
        <v>126</v>
      </c>
      <c r="C32" s="174" t="s">
        <v>171</v>
      </c>
      <c r="D32" s="165" t="s">
        <v>120</v>
      </c>
      <c r="E32" s="166">
        <f>E29</f>
        <v>1246</v>
      </c>
      <c r="F32" s="167"/>
      <c r="G32" s="168">
        <f>ROUND(E32*F32,2)</f>
        <v>0</v>
      </c>
      <c r="H32" s="167">
        <v>0</v>
      </c>
      <c r="I32" s="168">
        <f>ROUND(E32*H32,2)</f>
        <v>0</v>
      </c>
      <c r="J32" s="167">
        <v>265</v>
      </c>
      <c r="K32" s="168">
        <f>ROUND(E32*J32,2)</f>
        <v>330190</v>
      </c>
      <c r="L32" s="168">
        <v>21</v>
      </c>
      <c r="M32" s="168">
        <f>G32*(1+L32/100)</f>
        <v>0</v>
      </c>
      <c r="N32" s="168">
        <v>0</v>
      </c>
      <c r="O32" s="168">
        <f>ROUND(E32*N32,2)</f>
        <v>0</v>
      </c>
      <c r="P32" s="168">
        <v>0</v>
      </c>
      <c r="Q32" s="168">
        <f>ROUND(E32*P32,2)</f>
        <v>0</v>
      </c>
      <c r="R32" s="168" t="s">
        <v>119</v>
      </c>
      <c r="S32" s="168" t="s">
        <v>264</v>
      </c>
      <c r="T32" s="168" t="s">
        <v>264</v>
      </c>
      <c r="U32" s="155">
        <v>0.65200000000000002</v>
      </c>
      <c r="V32" s="155">
        <f>ROUND(E32*U32,2)</f>
        <v>812.39</v>
      </c>
      <c r="W32" s="155"/>
      <c r="X32" s="155" t="s">
        <v>112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113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5">
      <c r="A33" s="153"/>
      <c r="B33" s="154"/>
      <c r="C33" s="289"/>
      <c r="D33" s="290"/>
      <c r="E33" s="290"/>
      <c r="F33" s="290"/>
      <c r="G33" s="290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46"/>
      <c r="Z33" s="146"/>
      <c r="AA33" s="146"/>
      <c r="AB33" s="146"/>
      <c r="AC33" s="146"/>
      <c r="AD33" s="146"/>
      <c r="AE33" s="146"/>
      <c r="AF33" s="146"/>
      <c r="AG33" s="146" t="s">
        <v>94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5">
      <c r="A34" s="163">
        <v>11</v>
      </c>
      <c r="B34" s="164" t="s">
        <v>223</v>
      </c>
      <c r="C34" s="174" t="s">
        <v>225</v>
      </c>
      <c r="D34" s="165" t="s">
        <v>120</v>
      </c>
      <c r="E34" s="166">
        <f>E26</f>
        <v>30</v>
      </c>
      <c r="F34" s="167"/>
      <c r="G34" s="168">
        <f>E34*F34</f>
        <v>0</v>
      </c>
      <c r="H34" s="167">
        <v>0</v>
      </c>
      <c r="I34" s="168">
        <v>0</v>
      </c>
      <c r="J34" s="167">
        <v>124</v>
      </c>
      <c r="K34" s="168">
        <v>0</v>
      </c>
      <c r="L34" s="168">
        <v>21</v>
      </c>
      <c r="M34" s="168">
        <f>G34*1.21</f>
        <v>0</v>
      </c>
      <c r="N34" s="168">
        <v>0</v>
      </c>
      <c r="O34" s="168">
        <v>0</v>
      </c>
      <c r="P34" s="168">
        <v>0</v>
      </c>
      <c r="Q34" s="168">
        <v>0</v>
      </c>
      <c r="R34" s="168" t="s">
        <v>119</v>
      </c>
      <c r="S34" s="168" t="s">
        <v>264</v>
      </c>
      <c r="T34" s="168" t="s">
        <v>264</v>
      </c>
      <c r="U34" s="155"/>
      <c r="V34" s="155"/>
      <c r="W34" s="155"/>
      <c r="X34" s="155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5">
      <c r="A35" s="153"/>
      <c r="B35" s="154"/>
      <c r="C35" s="285" t="s">
        <v>224</v>
      </c>
      <c r="D35" s="286"/>
      <c r="E35" s="286"/>
      <c r="F35" s="286"/>
      <c r="G35" s="286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5">
      <c r="A36" s="153"/>
      <c r="B36" s="154"/>
      <c r="C36" s="175"/>
      <c r="D36" s="170"/>
      <c r="E36" s="170"/>
      <c r="F36" s="170"/>
      <c r="G36" s="170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63">
        <v>12</v>
      </c>
      <c r="B37" s="164" t="s">
        <v>127</v>
      </c>
      <c r="C37" s="174" t="s">
        <v>167</v>
      </c>
      <c r="D37" s="165" t="s">
        <v>99</v>
      </c>
      <c r="E37" s="166">
        <v>100</v>
      </c>
      <c r="F37" s="167"/>
      <c r="G37" s="168">
        <f>ROUND(E37*F37,2)</f>
        <v>0</v>
      </c>
      <c r="H37" s="167">
        <v>1.68</v>
      </c>
      <c r="I37" s="168">
        <f>ROUND(E37*H37,2)</f>
        <v>168</v>
      </c>
      <c r="J37" s="167">
        <v>22.42</v>
      </c>
      <c r="K37" s="168">
        <f>ROUND(E37*J37,2)</f>
        <v>2242</v>
      </c>
      <c r="L37" s="168">
        <v>21</v>
      </c>
      <c r="M37" s="168">
        <f>G37*(1+L37/100)</f>
        <v>0</v>
      </c>
      <c r="N37" s="168">
        <v>0</v>
      </c>
      <c r="O37" s="168">
        <f>ROUND(E37*N37,2)</f>
        <v>0</v>
      </c>
      <c r="P37" s="168">
        <v>0</v>
      </c>
      <c r="Q37" s="168">
        <f>ROUND(E37*P37,2)</f>
        <v>0</v>
      </c>
      <c r="R37" s="168" t="s">
        <v>128</v>
      </c>
      <c r="S37" s="168" t="s">
        <v>264</v>
      </c>
      <c r="T37" s="168" t="s">
        <v>264</v>
      </c>
      <c r="U37" s="155">
        <v>0.06</v>
      </c>
      <c r="V37" s="155">
        <f>ROUND(E37*U37,2)</f>
        <v>6</v>
      </c>
      <c r="W37" s="155"/>
      <c r="X37" s="155" t="s">
        <v>112</v>
      </c>
      <c r="Y37" s="146"/>
      <c r="Z37" s="146"/>
      <c r="AA37" s="146"/>
      <c r="AB37" s="146"/>
      <c r="AC37" s="146"/>
      <c r="AD37" s="146"/>
      <c r="AE37" s="146"/>
      <c r="AF37" s="146"/>
      <c r="AG37" s="146" t="s">
        <v>113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5">
      <c r="A38" s="153"/>
      <c r="B38" s="154"/>
      <c r="C38" s="285" t="s">
        <v>129</v>
      </c>
      <c r="D38" s="286"/>
      <c r="E38" s="286"/>
      <c r="F38" s="286"/>
      <c r="G38" s="286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46"/>
      <c r="Z38" s="146"/>
      <c r="AA38" s="146"/>
      <c r="AB38" s="146"/>
      <c r="AC38" s="146"/>
      <c r="AD38" s="146"/>
      <c r="AE38" s="146"/>
      <c r="AF38" s="146"/>
      <c r="AG38" s="146" t="s">
        <v>114</v>
      </c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5">
      <c r="A39" s="153"/>
      <c r="B39" s="154"/>
      <c r="C39" s="287"/>
      <c r="D39" s="288"/>
      <c r="E39" s="288"/>
      <c r="F39" s="288"/>
      <c r="G39" s="288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46"/>
      <c r="Z39" s="146"/>
      <c r="AA39" s="146"/>
      <c r="AB39" s="146"/>
      <c r="AC39" s="146"/>
      <c r="AD39" s="146"/>
      <c r="AE39" s="146"/>
      <c r="AF39" s="146"/>
      <c r="AG39" s="146" t="s">
        <v>94</v>
      </c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5">
      <c r="A40" s="163">
        <v>13</v>
      </c>
      <c r="B40" s="164" t="s">
        <v>205</v>
      </c>
      <c r="C40" s="174" t="s">
        <v>192</v>
      </c>
      <c r="D40" s="165" t="s">
        <v>99</v>
      </c>
      <c r="E40" s="166">
        <v>150</v>
      </c>
      <c r="F40" s="167"/>
      <c r="G40" s="168">
        <f>ROUND(E40*F40,2)</f>
        <v>0</v>
      </c>
      <c r="H40" s="167">
        <v>0</v>
      </c>
      <c r="I40" s="168">
        <f>ROUND(E40*H40,2)</f>
        <v>0</v>
      </c>
      <c r="J40" s="167">
        <v>17.399999999999999</v>
      </c>
      <c r="K40" s="168">
        <f>ROUND(E40*J40,2)</f>
        <v>2610</v>
      </c>
      <c r="L40" s="168">
        <v>21</v>
      </c>
      <c r="M40" s="168">
        <f>G40*(1+L40/100)</f>
        <v>0</v>
      </c>
      <c r="N40" s="168">
        <v>0</v>
      </c>
      <c r="O40" s="168">
        <f>ROUND(E40*N40,2)</f>
        <v>0</v>
      </c>
      <c r="P40" s="168">
        <v>0</v>
      </c>
      <c r="Q40" s="168">
        <f>ROUND(E40*P40,2)</f>
        <v>0</v>
      </c>
      <c r="R40" s="168" t="s">
        <v>191</v>
      </c>
      <c r="S40" s="168" t="s">
        <v>264</v>
      </c>
      <c r="T40" s="168" t="s">
        <v>264</v>
      </c>
      <c r="U40" s="155"/>
      <c r="V40" s="155"/>
      <c r="W40" s="155"/>
      <c r="X40" s="155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13.2" customHeight="1" outlineLevel="1" x14ac:dyDescent="0.25">
      <c r="A41" s="153"/>
      <c r="B41" s="154"/>
      <c r="C41" s="285" t="s">
        <v>193</v>
      </c>
      <c r="D41" s="286"/>
      <c r="E41" s="286"/>
      <c r="F41" s="286"/>
      <c r="G41" s="286"/>
      <c r="H41" s="188"/>
      <c r="I41" s="155"/>
      <c r="J41" s="188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5">
      <c r="A42" s="153"/>
      <c r="B42" s="154"/>
      <c r="C42" s="175"/>
      <c r="D42" s="170"/>
      <c r="E42" s="170"/>
      <c r="F42" s="170"/>
      <c r="G42" s="170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63">
        <v>14</v>
      </c>
      <c r="B43" s="164" t="s">
        <v>200</v>
      </c>
      <c r="C43" s="174" t="s">
        <v>201</v>
      </c>
      <c r="D43" s="165" t="s">
        <v>99</v>
      </c>
      <c r="E43" s="166">
        <v>2740</v>
      </c>
      <c r="F43" s="167"/>
      <c r="G43" s="168">
        <f>ROUND(E43*F43,2)</f>
        <v>0</v>
      </c>
      <c r="H43" s="167">
        <v>0</v>
      </c>
      <c r="I43" s="168">
        <f>ROUND(E43*H43,2)</f>
        <v>0</v>
      </c>
      <c r="J43" s="167">
        <v>13.3</v>
      </c>
      <c r="K43" s="168">
        <f>ROUND(E43*J43,2)</f>
        <v>36442</v>
      </c>
      <c r="L43" s="168">
        <v>21</v>
      </c>
      <c r="M43" s="168">
        <f>G43*(1+L43/100)</f>
        <v>0</v>
      </c>
      <c r="N43" s="168">
        <v>0</v>
      </c>
      <c r="O43" s="168">
        <f>ROUND(E43*N43,2)</f>
        <v>0</v>
      </c>
      <c r="P43" s="168">
        <v>0</v>
      </c>
      <c r="Q43" s="168">
        <f>ROUND(E43*P43,2)</f>
        <v>0</v>
      </c>
      <c r="R43" s="168" t="s">
        <v>119</v>
      </c>
      <c r="S43" s="168" t="s">
        <v>264</v>
      </c>
      <c r="T43" s="168" t="s">
        <v>264</v>
      </c>
      <c r="U43" s="155"/>
      <c r="V43" s="155"/>
      <c r="W43" s="155"/>
      <c r="X43" s="155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53"/>
      <c r="B44" s="154"/>
      <c r="C44" s="175"/>
      <c r="D44" s="170"/>
      <c r="E44" s="170"/>
      <c r="F44" s="170"/>
      <c r="G44" s="170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5">
      <c r="A45" s="163">
        <v>15</v>
      </c>
      <c r="B45" s="164" t="s">
        <v>130</v>
      </c>
      <c r="C45" s="174" t="s">
        <v>131</v>
      </c>
      <c r="D45" s="165" t="s">
        <v>120</v>
      </c>
      <c r="E45" s="166">
        <f>E32</f>
        <v>1246</v>
      </c>
      <c r="F45" s="167"/>
      <c r="G45" s="168">
        <f>ROUND(E45*F45,2)</f>
        <v>0</v>
      </c>
      <c r="H45" s="167">
        <v>0</v>
      </c>
      <c r="I45" s="168">
        <f>ROUND(E45*H45,2)</f>
        <v>0</v>
      </c>
      <c r="J45" s="167">
        <v>282.5</v>
      </c>
      <c r="K45" s="168">
        <f>ROUND(E45*J45,2)</f>
        <v>351995</v>
      </c>
      <c r="L45" s="168">
        <v>21</v>
      </c>
      <c r="M45" s="168">
        <f>G45*(1+L45/100)</f>
        <v>0</v>
      </c>
      <c r="N45" s="168">
        <v>0</v>
      </c>
      <c r="O45" s="168">
        <f>ROUND(E45*N45,2)</f>
        <v>0</v>
      </c>
      <c r="P45" s="168">
        <v>0</v>
      </c>
      <c r="Q45" s="168">
        <f>ROUND(E45*P45,2)</f>
        <v>0</v>
      </c>
      <c r="R45" s="168" t="s">
        <v>119</v>
      </c>
      <c r="S45" s="168" t="s">
        <v>264</v>
      </c>
      <c r="T45" s="168" t="s">
        <v>264</v>
      </c>
      <c r="U45" s="155">
        <v>0</v>
      </c>
      <c r="V45" s="155">
        <f>ROUND(E45*U45,2)</f>
        <v>0</v>
      </c>
      <c r="W45" s="155"/>
      <c r="X45" s="155" t="s">
        <v>112</v>
      </c>
      <c r="Y45" s="146"/>
      <c r="Z45" s="146"/>
      <c r="AA45" s="146"/>
      <c r="AB45" s="146"/>
      <c r="AC45" s="146"/>
      <c r="AD45" s="146"/>
      <c r="AE45" s="146"/>
      <c r="AF45" s="146"/>
      <c r="AG45" s="146" t="s">
        <v>113</v>
      </c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5">
      <c r="A46" s="153"/>
      <c r="B46" s="154"/>
      <c r="C46" s="289"/>
      <c r="D46" s="290"/>
      <c r="E46" s="290"/>
      <c r="F46" s="290"/>
      <c r="G46" s="290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46"/>
      <c r="Z46" s="146"/>
      <c r="AA46" s="146"/>
      <c r="AB46" s="146"/>
      <c r="AC46" s="146"/>
      <c r="AD46" s="146"/>
      <c r="AE46" s="146"/>
      <c r="AF46" s="146"/>
      <c r="AG46" s="146" t="s">
        <v>94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x14ac:dyDescent="0.25">
      <c r="A47" s="157" t="s">
        <v>91</v>
      </c>
      <c r="B47" s="158" t="s">
        <v>54</v>
      </c>
      <c r="C47" s="173" t="s">
        <v>55</v>
      </c>
      <c r="D47" s="159"/>
      <c r="E47" s="160"/>
      <c r="F47" s="161"/>
      <c r="G47" s="161">
        <f>G48+G50+G52+G54+G56+G58+G60+G62+G65+G68+G70+G72</f>
        <v>0</v>
      </c>
      <c r="H47" s="161"/>
      <c r="I47" s="161">
        <f>SUM(I48:I68)</f>
        <v>1574829.6400000001</v>
      </c>
      <c r="J47" s="161"/>
      <c r="K47" s="161">
        <f>SUM(K48:K68)</f>
        <v>794432.53</v>
      </c>
      <c r="L47" s="161"/>
      <c r="M47" s="161">
        <f>M48+M50+M52+M54+M56+M58+M60+M62+M65+M68+M70+M72</f>
        <v>0</v>
      </c>
      <c r="N47" s="161"/>
      <c r="O47" s="161">
        <f>SUM(O48:O68)</f>
        <v>1327.51</v>
      </c>
      <c r="P47" s="161"/>
      <c r="Q47" s="161">
        <f>SUM(Q48:Q68)</f>
        <v>0</v>
      </c>
      <c r="R47" s="161"/>
      <c r="S47" s="161"/>
      <c r="T47" s="162"/>
      <c r="U47" s="156"/>
      <c r="V47" s="156">
        <f>SUM(V48:V68)</f>
        <v>2.4299999999999997</v>
      </c>
      <c r="W47" s="156"/>
      <c r="X47" s="156"/>
      <c r="Y47" s="84"/>
      <c r="AG47" t="s">
        <v>92</v>
      </c>
    </row>
    <row r="48" spans="1:60" ht="20.399999999999999" outlineLevel="1" x14ac:dyDescent="0.25">
      <c r="A48" s="163">
        <v>16</v>
      </c>
      <c r="B48" s="164" t="s">
        <v>207</v>
      </c>
      <c r="C48" s="174" t="s">
        <v>206</v>
      </c>
      <c r="D48" s="165" t="s">
        <v>99</v>
      </c>
      <c r="E48" s="166">
        <f>4.2+15</f>
        <v>19.2</v>
      </c>
      <c r="F48" s="167"/>
      <c r="G48" s="168">
        <f>ROUND(E48*F48,2)</f>
        <v>0</v>
      </c>
      <c r="H48" s="167">
        <v>164.95</v>
      </c>
      <c r="I48" s="168">
        <f>ROUND(E48*H48,2)</f>
        <v>3167.04</v>
      </c>
      <c r="J48" s="167">
        <v>26.05</v>
      </c>
      <c r="K48" s="168">
        <f>ROUND(E48*J48,2)</f>
        <v>500.16</v>
      </c>
      <c r="L48" s="168">
        <v>21</v>
      </c>
      <c r="M48" s="168">
        <f>G48*(1+L48/100)</f>
        <v>0</v>
      </c>
      <c r="N48" s="168">
        <v>0.378</v>
      </c>
      <c r="O48" s="168">
        <f>ROUND(E48*N48,2)</f>
        <v>7.26</v>
      </c>
      <c r="P48" s="168">
        <v>0</v>
      </c>
      <c r="Q48" s="168">
        <f>ROUND(E48*P48,2)</f>
        <v>0</v>
      </c>
      <c r="R48" s="168" t="s">
        <v>111</v>
      </c>
      <c r="S48" s="168" t="s">
        <v>264</v>
      </c>
      <c r="T48" s="168" t="s">
        <v>264</v>
      </c>
      <c r="U48" s="155">
        <v>2.5999999999999999E-2</v>
      </c>
      <c r="V48" s="155">
        <f>ROUND(E48*U48,2)</f>
        <v>0.5</v>
      </c>
      <c r="W48" s="155"/>
      <c r="X48" s="155" t="s">
        <v>112</v>
      </c>
      <c r="Y48" s="146"/>
      <c r="Z48" s="146"/>
      <c r="AA48" s="146"/>
      <c r="AB48" s="146"/>
      <c r="AC48" s="146"/>
      <c r="AD48" s="146"/>
      <c r="AE48" s="146"/>
      <c r="AF48" s="146"/>
      <c r="AG48" s="146" t="s">
        <v>113</v>
      </c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53"/>
      <c r="B49" s="154"/>
      <c r="C49" s="289"/>
      <c r="D49" s="290"/>
      <c r="E49" s="290"/>
      <c r="F49" s="290"/>
      <c r="G49" s="290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46"/>
      <c r="Z49" s="146"/>
      <c r="AA49" s="146"/>
      <c r="AB49" s="146"/>
      <c r="AC49" s="146"/>
      <c r="AD49" s="146"/>
      <c r="AE49" s="146"/>
      <c r="AF49" s="146"/>
      <c r="AG49" s="146" t="s">
        <v>94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ht="20.399999999999999" outlineLevel="1" x14ac:dyDescent="0.25">
      <c r="A50" s="163">
        <v>17</v>
      </c>
      <c r="B50" s="164" t="s">
        <v>214</v>
      </c>
      <c r="C50" s="174" t="s">
        <v>213</v>
      </c>
      <c r="D50" s="165" t="s">
        <v>99</v>
      </c>
      <c r="E50" s="166">
        <f>1860+25+15+7</f>
        <v>1907</v>
      </c>
      <c r="F50" s="167"/>
      <c r="G50" s="168">
        <f>ROUND(E50*F50,2)</f>
        <v>0</v>
      </c>
      <c r="H50" s="167">
        <v>164.95</v>
      </c>
      <c r="I50" s="168">
        <f>ROUND(E50*H50,2)</f>
        <v>314559.65000000002</v>
      </c>
      <c r="J50" s="167">
        <v>26.05</v>
      </c>
      <c r="K50" s="168">
        <f>ROUND(E50*J50,2)</f>
        <v>49677.35</v>
      </c>
      <c r="L50" s="168">
        <v>21</v>
      </c>
      <c r="M50" s="168">
        <f>G50*(1+L50/100)</f>
        <v>0</v>
      </c>
      <c r="N50" s="168">
        <v>0.378</v>
      </c>
      <c r="O50" s="168">
        <f>ROUND(E50*N50,2)</f>
        <v>720.85</v>
      </c>
      <c r="P50" s="168">
        <v>0</v>
      </c>
      <c r="Q50" s="168">
        <f>ROUND(E50*P50,2)</f>
        <v>0</v>
      </c>
      <c r="R50" s="168" t="s">
        <v>111</v>
      </c>
      <c r="S50" s="168" t="s">
        <v>264</v>
      </c>
      <c r="T50" s="168" t="s">
        <v>264</v>
      </c>
      <c r="U50" s="155"/>
      <c r="V50" s="155"/>
      <c r="W50" s="155"/>
      <c r="X50" s="155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53"/>
      <c r="B51" s="154"/>
      <c r="C51" s="184"/>
      <c r="D51" s="185"/>
      <c r="E51" s="185"/>
      <c r="F51" s="185"/>
      <c r="G51" s="18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5">
      <c r="A52" s="163">
        <v>18</v>
      </c>
      <c r="B52" s="164" t="s">
        <v>189</v>
      </c>
      <c r="C52" s="174" t="s">
        <v>190</v>
      </c>
      <c r="D52" s="165" t="s">
        <v>99</v>
      </c>
      <c r="E52" s="166">
        <v>4.2</v>
      </c>
      <c r="F52" s="167"/>
      <c r="G52" s="168">
        <f>ROUND(E52*F52,2)</f>
        <v>0</v>
      </c>
      <c r="H52" s="167">
        <v>279.17</v>
      </c>
      <c r="I52" s="168">
        <f>ROUND(E52*H52,2)</f>
        <v>1172.51</v>
      </c>
      <c r="J52" s="167">
        <v>44.33</v>
      </c>
      <c r="K52" s="168">
        <f>ROUND(E52*J52,2)</f>
        <v>186.19</v>
      </c>
      <c r="L52" s="168">
        <v>21</v>
      </c>
      <c r="M52" s="168">
        <f>G52*(1+L52/100)</f>
        <v>0</v>
      </c>
      <c r="N52" s="168">
        <v>0.32754</v>
      </c>
      <c r="O52" s="168">
        <f>ROUND(E52*N52,2)</f>
        <v>1.38</v>
      </c>
      <c r="P52" s="168">
        <v>0</v>
      </c>
      <c r="Q52" s="168">
        <f>ROUND(E52*P52,2)</f>
        <v>0</v>
      </c>
      <c r="R52" s="168" t="s">
        <v>111</v>
      </c>
      <c r="S52" s="168" t="s">
        <v>264</v>
      </c>
      <c r="T52" s="168" t="s">
        <v>264</v>
      </c>
      <c r="U52" s="155">
        <v>4.0000000000000001E-3</v>
      </c>
      <c r="V52" s="155">
        <f>ROUND(E52*U52,2)</f>
        <v>0.02</v>
      </c>
      <c r="W52" s="155"/>
      <c r="X52" s="155" t="s">
        <v>112</v>
      </c>
      <c r="Y52" s="146"/>
      <c r="Z52" s="146"/>
      <c r="AA52" s="146"/>
      <c r="AB52" s="146"/>
      <c r="AC52" s="146"/>
      <c r="AD52" s="146"/>
      <c r="AE52" s="146"/>
      <c r="AF52" s="146"/>
      <c r="AG52" s="146" t="s">
        <v>113</v>
      </c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5">
      <c r="A53" s="153"/>
      <c r="B53" s="154"/>
      <c r="C53" s="287"/>
      <c r="D53" s="288"/>
      <c r="E53" s="288"/>
      <c r="F53" s="288"/>
      <c r="G53" s="288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46"/>
      <c r="Z53" s="146"/>
      <c r="AA53" s="146"/>
      <c r="AB53" s="146"/>
      <c r="AC53" s="146"/>
      <c r="AD53" s="146"/>
      <c r="AE53" s="146"/>
      <c r="AF53" s="146"/>
      <c r="AG53" s="146" t="s">
        <v>94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ht="20.399999999999999" outlineLevel="1" x14ac:dyDescent="0.25">
      <c r="A54" s="163">
        <v>19</v>
      </c>
      <c r="B54" s="164" t="s">
        <v>274</v>
      </c>
      <c r="C54" s="174" t="s">
        <v>275</v>
      </c>
      <c r="D54" s="165" t="s">
        <v>99</v>
      </c>
      <c r="E54" s="166">
        <f>E58+E56</f>
        <v>3773.75</v>
      </c>
      <c r="F54" s="167"/>
      <c r="G54" s="168">
        <f>ROUND(E54*F54,2)</f>
        <v>0</v>
      </c>
      <c r="H54" s="167">
        <v>13.66</v>
      </c>
      <c r="I54" s="168">
        <f>ROUND(E54*H54,2)</f>
        <v>51549.43</v>
      </c>
      <c r="J54" s="167">
        <v>1.1399999999999999</v>
      </c>
      <c r="K54" s="168">
        <f>ROUND(E54*J54,2)</f>
        <v>4302.08</v>
      </c>
      <c r="L54" s="168">
        <v>21</v>
      </c>
      <c r="M54" s="168">
        <f>G54*(1+L54/100)</f>
        <v>0</v>
      </c>
      <c r="N54" s="168">
        <v>6.0999999999999997E-4</v>
      </c>
      <c r="O54" s="168">
        <f>ROUND(E54*N54,2)</f>
        <v>2.2999999999999998</v>
      </c>
      <c r="P54" s="168">
        <v>0</v>
      </c>
      <c r="Q54" s="168">
        <f>ROUND(E54*P54,2)</f>
        <v>0</v>
      </c>
      <c r="R54" s="168" t="s">
        <v>111</v>
      </c>
      <c r="S54" s="168" t="s">
        <v>264</v>
      </c>
      <c r="T54" s="168" t="s">
        <v>264</v>
      </c>
      <c r="U54" s="155"/>
      <c r="V54" s="155"/>
      <c r="W54" s="155"/>
      <c r="X54" s="155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53"/>
      <c r="B55" s="154"/>
      <c r="C55" s="293"/>
      <c r="D55" s="293"/>
      <c r="E55" s="293"/>
      <c r="F55" s="293"/>
      <c r="G55" s="293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ht="20.399999999999999" outlineLevel="1" x14ac:dyDescent="0.25">
      <c r="A56" s="163">
        <v>20</v>
      </c>
      <c r="B56" s="164" t="s">
        <v>276</v>
      </c>
      <c r="C56" s="174" t="s">
        <v>346</v>
      </c>
      <c r="D56" s="165" t="s">
        <v>99</v>
      </c>
      <c r="E56" s="166">
        <f>1875</f>
        <v>1875</v>
      </c>
      <c r="F56" s="167"/>
      <c r="G56" s="168">
        <f>ROUND(E56*F56,2)</f>
        <v>0</v>
      </c>
      <c r="H56" s="167">
        <v>212.06</v>
      </c>
      <c r="I56" s="168">
        <f>ROUND(E56*H56,2)</f>
        <v>397612.5</v>
      </c>
      <c r="J56" s="167">
        <v>128.94</v>
      </c>
      <c r="K56" s="168">
        <f>ROUND(E56*J56,2)</f>
        <v>241762.5</v>
      </c>
      <c r="L56" s="168">
        <v>21</v>
      </c>
      <c r="M56" s="168">
        <f>G56*(1+L56/100)</f>
        <v>0</v>
      </c>
      <c r="N56" s="168">
        <v>0.10373</v>
      </c>
      <c r="O56" s="168">
        <f>ROUND(E56*N56,2)</f>
        <v>194.49</v>
      </c>
      <c r="P56" s="168">
        <v>0</v>
      </c>
      <c r="Q56" s="168">
        <f>ROUND(E56*P56,2)</f>
        <v>0</v>
      </c>
      <c r="R56" s="168" t="s">
        <v>111</v>
      </c>
      <c r="S56" s="168" t="s">
        <v>264</v>
      </c>
      <c r="T56" s="168" t="s">
        <v>264</v>
      </c>
      <c r="U56" s="155"/>
      <c r="V56" s="155"/>
      <c r="W56" s="155"/>
      <c r="X56" s="155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53"/>
      <c r="B57" s="154"/>
      <c r="C57" s="184"/>
      <c r="D57" s="185"/>
      <c r="E57" s="185"/>
      <c r="F57" s="185"/>
      <c r="G57" s="18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>
        <v>7.1999999999999995E-2</v>
      </c>
      <c r="V57" s="155">
        <f>ROUND(E57*U57,2)</f>
        <v>0</v>
      </c>
      <c r="W57" s="155"/>
      <c r="X57" s="155" t="s">
        <v>112</v>
      </c>
      <c r="Y57" s="146"/>
      <c r="Z57" s="146"/>
      <c r="AA57" s="146"/>
      <c r="AB57" s="146"/>
      <c r="AC57" s="146"/>
      <c r="AD57" s="146"/>
      <c r="AE57" s="146"/>
      <c r="AF57" s="146"/>
      <c r="AG57" s="146" t="s">
        <v>113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63">
        <v>21</v>
      </c>
      <c r="B58" s="164" t="s">
        <v>277</v>
      </c>
      <c r="C58" s="174" t="s">
        <v>347</v>
      </c>
      <c r="D58" s="165" t="s">
        <v>99</v>
      </c>
      <c r="E58" s="166">
        <f>1857+25*1.07+15</f>
        <v>1898.75</v>
      </c>
      <c r="F58" s="167"/>
      <c r="G58" s="168">
        <f>ROUND(E58*F58,2)</f>
        <v>0</v>
      </c>
      <c r="H58" s="167">
        <v>212.06</v>
      </c>
      <c r="I58" s="168">
        <f>ROUND(E58*H58,2)</f>
        <v>402648.93</v>
      </c>
      <c r="J58" s="167">
        <v>128.94</v>
      </c>
      <c r="K58" s="168">
        <f>ROUND(E58*J58,2)</f>
        <v>244824.83</v>
      </c>
      <c r="L58" s="168">
        <v>21</v>
      </c>
      <c r="M58" s="168">
        <f>G58*(1+L58/100)</f>
        <v>0</v>
      </c>
      <c r="N58" s="168">
        <v>0.10373</v>
      </c>
      <c r="O58" s="168">
        <f>ROUND(E58*N58,2)</f>
        <v>196.96</v>
      </c>
      <c r="P58" s="168">
        <v>0</v>
      </c>
      <c r="Q58" s="168">
        <f>ROUND(E58*P58,2)</f>
        <v>0</v>
      </c>
      <c r="R58" s="168" t="s">
        <v>111</v>
      </c>
      <c r="S58" s="168" t="s">
        <v>264</v>
      </c>
      <c r="T58" s="168" t="s">
        <v>264</v>
      </c>
      <c r="U58" s="155"/>
      <c r="V58" s="155"/>
      <c r="W58" s="155"/>
      <c r="X58" s="155"/>
      <c r="Y58" s="146"/>
      <c r="Z58" s="146"/>
      <c r="AA58" s="146"/>
      <c r="AB58" s="146"/>
      <c r="AC58" s="146"/>
      <c r="AD58" s="146"/>
      <c r="AE58" s="146"/>
      <c r="AF58" s="146"/>
      <c r="AG58" s="146" t="s">
        <v>94</v>
      </c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ht="12.75" customHeight="1" outlineLevel="1" x14ac:dyDescent="0.25">
      <c r="A59" s="153"/>
      <c r="B59" s="154"/>
      <c r="C59" s="293"/>
      <c r="D59" s="293"/>
      <c r="E59" s="293"/>
      <c r="F59" s="293"/>
      <c r="G59" s="293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ht="27" customHeight="1" outlineLevel="1" x14ac:dyDescent="0.25">
      <c r="A60" s="163">
        <v>22</v>
      </c>
      <c r="B60" s="164" t="s">
        <v>278</v>
      </c>
      <c r="C60" s="174" t="s">
        <v>279</v>
      </c>
      <c r="D60" s="165" t="s">
        <v>99</v>
      </c>
      <c r="E60" s="166">
        <f>1857+25+15</f>
        <v>1897</v>
      </c>
      <c r="F60" s="167"/>
      <c r="G60" s="168">
        <f>ROUND(E60*F60,2)</f>
        <v>0</v>
      </c>
      <c r="H60" s="167">
        <v>212.06</v>
      </c>
      <c r="I60" s="168">
        <f>ROUND(E60*H60,2)</f>
        <v>402277.82</v>
      </c>
      <c r="J60" s="167">
        <v>128.94</v>
      </c>
      <c r="K60" s="168">
        <f>ROUND(E60*J60,2)</f>
        <v>244599.18</v>
      </c>
      <c r="L60" s="168">
        <v>21</v>
      </c>
      <c r="M60" s="168">
        <f>G60*(1+L60/100)</f>
        <v>0</v>
      </c>
      <c r="N60" s="168">
        <v>0.10373</v>
      </c>
      <c r="O60" s="168">
        <f>ROUND(E60*N60,2)</f>
        <v>196.78</v>
      </c>
      <c r="P60" s="168">
        <v>0</v>
      </c>
      <c r="Q60" s="168">
        <f>ROUND(E60*P60,2)</f>
        <v>0</v>
      </c>
      <c r="R60" s="168" t="s">
        <v>111</v>
      </c>
      <c r="S60" s="168" t="s">
        <v>264</v>
      </c>
      <c r="T60" s="168" t="s">
        <v>264</v>
      </c>
      <c r="U60" s="155"/>
      <c r="V60" s="155"/>
      <c r="W60" s="155"/>
      <c r="X60" s="155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ht="12.75" customHeight="1" outlineLevel="1" x14ac:dyDescent="0.25">
      <c r="A61" s="153"/>
      <c r="B61" s="154"/>
      <c r="C61" s="184"/>
      <c r="D61" s="185"/>
      <c r="E61" s="185"/>
      <c r="F61" s="185"/>
      <c r="G61" s="18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ht="12.75" customHeight="1" outlineLevel="1" x14ac:dyDescent="0.25">
      <c r="A62" s="163">
        <v>23</v>
      </c>
      <c r="B62" s="164" t="s">
        <v>176</v>
      </c>
      <c r="C62" s="174" t="s">
        <v>169</v>
      </c>
      <c r="D62" s="165" t="s">
        <v>99</v>
      </c>
      <c r="E62" s="166">
        <f>22+3+7</f>
        <v>32</v>
      </c>
      <c r="F62" s="167"/>
      <c r="G62" s="168">
        <f>ROUND(E62*F62,2)</f>
        <v>0</v>
      </c>
      <c r="H62" s="167">
        <v>51.16</v>
      </c>
      <c r="I62" s="168">
        <f>ROUND(E62*H62,2)</f>
        <v>1637.12</v>
      </c>
      <c r="J62" s="167">
        <v>238.34</v>
      </c>
      <c r="K62" s="168">
        <f>ROUND(E62*J62,2)</f>
        <v>7626.88</v>
      </c>
      <c r="L62" s="168">
        <v>21</v>
      </c>
      <c r="M62" s="168">
        <f>G62*(1+L62/100)</f>
        <v>0</v>
      </c>
      <c r="N62" s="168">
        <v>9.2799999999999994E-2</v>
      </c>
      <c r="O62" s="168">
        <f>ROUND(E62*N62,2)</f>
        <v>2.97</v>
      </c>
      <c r="P62" s="168">
        <v>0</v>
      </c>
      <c r="Q62" s="168">
        <f>ROUND(E62*P62,2)</f>
        <v>0</v>
      </c>
      <c r="R62" s="168" t="s">
        <v>111</v>
      </c>
      <c r="S62" s="168" t="s">
        <v>264</v>
      </c>
      <c r="T62" s="168" t="s">
        <v>264</v>
      </c>
      <c r="U62" s="155"/>
      <c r="V62" s="155"/>
      <c r="W62" s="155"/>
      <c r="X62" s="155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ht="12.75" customHeight="1" outlineLevel="1" x14ac:dyDescent="0.25">
      <c r="A63" s="153"/>
      <c r="B63" s="154"/>
      <c r="C63" s="285" t="s">
        <v>134</v>
      </c>
      <c r="D63" s="286"/>
      <c r="E63" s="286"/>
      <c r="F63" s="286"/>
      <c r="G63" s="286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ht="12.75" customHeight="1" outlineLevel="1" x14ac:dyDescent="0.25">
      <c r="A64" s="153"/>
      <c r="B64" s="154"/>
      <c r="C64" s="175"/>
      <c r="D64" s="170"/>
      <c r="E64" s="170"/>
      <c r="F64" s="170"/>
      <c r="G64" s="170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1" x14ac:dyDescent="0.25">
      <c r="A65" s="163">
        <v>24</v>
      </c>
      <c r="B65" s="164" t="s">
        <v>133</v>
      </c>
      <c r="C65" s="174" t="s">
        <v>170</v>
      </c>
      <c r="D65" s="165" t="s">
        <v>99</v>
      </c>
      <c r="E65" s="166">
        <v>4</v>
      </c>
      <c r="F65" s="167"/>
      <c r="G65" s="168">
        <f>ROUND(E65*F65,2)</f>
        <v>0</v>
      </c>
      <c r="H65" s="167">
        <v>51.16</v>
      </c>
      <c r="I65" s="168">
        <f>ROUND(E65*H65,2)</f>
        <v>204.64</v>
      </c>
      <c r="J65" s="167">
        <v>238.34</v>
      </c>
      <c r="K65" s="168">
        <f>ROUND(E65*J65,2)</f>
        <v>953.36</v>
      </c>
      <c r="L65" s="168">
        <v>21</v>
      </c>
      <c r="M65" s="168">
        <f>G65*(1+L65/100)</f>
        <v>0</v>
      </c>
      <c r="N65" s="168">
        <v>9.2799999999999994E-2</v>
      </c>
      <c r="O65" s="168">
        <f>ROUND(E65*N65,2)</f>
        <v>0.37</v>
      </c>
      <c r="P65" s="168">
        <v>0</v>
      </c>
      <c r="Q65" s="168">
        <f>ROUND(E65*P65,2)</f>
        <v>0</v>
      </c>
      <c r="R65" s="168" t="s">
        <v>111</v>
      </c>
      <c r="S65" s="168" t="s">
        <v>264</v>
      </c>
      <c r="T65" s="168" t="s">
        <v>264</v>
      </c>
      <c r="U65" s="155">
        <v>0.47799999999999998</v>
      </c>
      <c r="V65" s="155">
        <f>ROUND(E65*U65,2)</f>
        <v>1.91</v>
      </c>
      <c r="W65" s="155"/>
      <c r="X65" s="155" t="s">
        <v>112</v>
      </c>
      <c r="Y65" s="146"/>
      <c r="Z65" s="146"/>
      <c r="AA65" s="146"/>
      <c r="AB65" s="146"/>
      <c r="AC65" s="146"/>
      <c r="AD65" s="146"/>
      <c r="AE65" s="146"/>
      <c r="AF65" s="146"/>
      <c r="AG65" s="146" t="s">
        <v>113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21" outlineLevel="1" x14ac:dyDescent="0.25">
      <c r="A66" s="153"/>
      <c r="B66" s="154"/>
      <c r="C66" s="285" t="s">
        <v>134</v>
      </c>
      <c r="D66" s="286"/>
      <c r="E66" s="286"/>
      <c r="F66" s="286"/>
      <c r="G66" s="286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46"/>
      <c r="Z66" s="146"/>
      <c r="AA66" s="146"/>
      <c r="AB66" s="146"/>
      <c r="AC66" s="146"/>
      <c r="AD66" s="146"/>
      <c r="AE66" s="146"/>
      <c r="AF66" s="146"/>
      <c r="AG66" s="146" t="s">
        <v>114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71" t="str">
        <f>C66</f>
        <v>s provedením lože z kameniva drceného, s vyplněním spár, s dvojitým hutněním a se smetením přebytečného materiálu na krajnici. S dodáním hmot pro lože a výplň spár.</v>
      </c>
      <c r="BB66" s="146"/>
      <c r="BC66" s="146"/>
      <c r="BD66" s="146"/>
      <c r="BE66" s="146"/>
      <c r="BF66" s="146"/>
      <c r="BG66" s="146"/>
      <c r="BH66" s="146"/>
    </row>
    <row r="67" spans="1:60" outlineLevel="1" x14ac:dyDescent="0.25">
      <c r="A67" s="153"/>
      <c r="B67" s="154"/>
      <c r="C67" s="287"/>
      <c r="D67" s="288"/>
      <c r="E67" s="288"/>
      <c r="F67" s="288"/>
      <c r="G67" s="288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46"/>
      <c r="Z67" s="146"/>
      <c r="AA67" s="146"/>
      <c r="AB67" s="146"/>
      <c r="AC67" s="146"/>
      <c r="AD67" s="146"/>
      <c r="AE67" s="146"/>
      <c r="AF67" s="146"/>
      <c r="AG67" s="146" t="s">
        <v>94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5">
      <c r="A68" s="163">
        <v>25</v>
      </c>
      <c r="B68" s="164" t="s">
        <v>216</v>
      </c>
      <c r="C68" s="174" t="s">
        <v>215</v>
      </c>
      <c r="D68" s="165" t="s">
        <v>99</v>
      </c>
      <c r="E68" s="166">
        <f>E62*1.05-3-7</f>
        <v>23.6</v>
      </c>
      <c r="F68" s="167"/>
      <c r="G68" s="168">
        <f>ROUND(E68*F68,2)</f>
        <v>0</v>
      </c>
      <c r="H68" s="155"/>
      <c r="I68" s="155"/>
      <c r="J68" s="155"/>
      <c r="K68" s="155"/>
      <c r="L68" s="168">
        <v>21</v>
      </c>
      <c r="M68" s="168">
        <f>G68*(1+L68/100)</f>
        <v>0</v>
      </c>
      <c r="N68" s="168">
        <v>0.17599999999999999</v>
      </c>
      <c r="O68" s="168">
        <f>ROUND(E68*N68,2)</f>
        <v>4.1500000000000004</v>
      </c>
      <c r="P68" s="168">
        <v>0</v>
      </c>
      <c r="Q68" s="168">
        <f>ROUND(E68*P68,2)</f>
        <v>0</v>
      </c>
      <c r="R68" s="168" t="s">
        <v>95</v>
      </c>
      <c r="S68" s="168" t="s">
        <v>264</v>
      </c>
      <c r="T68" s="168" t="s">
        <v>264</v>
      </c>
      <c r="U68" s="155"/>
      <c r="V68" s="155"/>
      <c r="W68" s="155"/>
      <c r="X68" s="155"/>
      <c r="Y68" s="146"/>
      <c r="Z68" s="146"/>
      <c r="AA68" s="146"/>
      <c r="AB68" s="146"/>
      <c r="AC68" s="146"/>
      <c r="AD68" s="146"/>
      <c r="AE68" s="146"/>
      <c r="AF68" s="146"/>
      <c r="AG68" s="146" t="s">
        <v>94</v>
      </c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5">
      <c r="A69" s="153"/>
      <c r="B69" s="154"/>
      <c r="C69" s="289"/>
      <c r="D69" s="290"/>
      <c r="E69" s="290"/>
      <c r="F69" s="290"/>
      <c r="G69" s="290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1" x14ac:dyDescent="0.25">
      <c r="A70" s="163">
        <v>26</v>
      </c>
      <c r="B70" s="164" t="s">
        <v>216</v>
      </c>
      <c r="C70" s="174" t="s">
        <v>217</v>
      </c>
      <c r="D70" s="165" t="s">
        <v>99</v>
      </c>
      <c r="E70" s="166">
        <v>3.1</v>
      </c>
      <c r="F70" s="167"/>
      <c r="G70" s="168">
        <f>ROUND(E70*F70,2)</f>
        <v>0</v>
      </c>
      <c r="H70" s="155"/>
      <c r="I70" s="155"/>
      <c r="J70" s="155"/>
      <c r="K70" s="155"/>
      <c r="L70" s="168">
        <v>21</v>
      </c>
      <c r="M70" s="168">
        <f>G70*(1+L70/100)</f>
        <v>0</v>
      </c>
      <c r="N70" s="168">
        <v>0.17599999999999999</v>
      </c>
      <c r="O70" s="168">
        <f>ROUND(E70*N70,2)</f>
        <v>0.55000000000000004</v>
      </c>
      <c r="P70" s="168">
        <v>0</v>
      </c>
      <c r="Q70" s="168">
        <f>ROUND(E70*P70,2)</f>
        <v>0</v>
      </c>
      <c r="R70" s="168" t="s">
        <v>95</v>
      </c>
      <c r="S70" s="168" t="s">
        <v>264</v>
      </c>
      <c r="T70" s="168" t="s">
        <v>264</v>
      </c>
      <c r="U70" s="155"/>
      <c r="V70" s="155"/>
      <c r="W70" s="155"/>
      <c r="X70" s="155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5">
      <c r="A71" s="153"/>
      <c r="B71" s="154"/>
      <c r="C71" s="184"/>
      <c r="D71" s="185"/>
      <c r="E71" s="185"/>
      <c r="F71" s="185"/>
      <c r="G71" s="18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68"/>
      <c r="T71" s="168"/>
      <c r="U71" s="155"/>
      <c r="V71" s="155"/>
      <c r="W71" s="155"/>
      <c r="X71" s="155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5">
      <c r="A72" s="163">
        <v>27</v>
      </c>
      <c r="B72" s="164" t="s">
        <v>100</v>
      </c>
      <c r="C72" s="174" t="s">
        <v>172</v>
      </c>
      <c r="D72" s="165" t="s">
        <v>99</v>
      </c>
      <c r="E72" s="166">
        <f>E52</f>
        <v>4.2</v>
      </c>
      <c r="F72" s="167"/>
      <c r="G72" s="168">
        <f>ROUND(E72*F72,2)</f>
        <v>0</v>
      </c>
      <c r="H72" s="155"/>
      <c r="I72" s="155"/>
      <c r="J72" s="155"/>
      <c r="K72" s="155"/>
      <c r="L72" s="168">
        <v>21</v>
      </c>
      <c r="M72" s="168">
        <f>G72*(1+L72/100)</f>
        <v>0</v>
      </c>
      <c r="N72" s="168">
        <v>0.188</v>
      </c>
      <c r="O72" s="168">
        <f>ROUND(E72*N72,2)</f>
        <v>0.79</v>
      </c>
      <c r="P72" s="168">
        <v>0</v>
      </c>
      <c r="Q72" s="168">
        <f>ROUND(E72*P72,2)</f>
        <v>0</v>
      </c>
      <c r="R72" s="168" t="s">
        <v>95</v>
      </c>
      <c r="S72" s="168" t="s">
        <v>264</v>
      </c>
      <c r="T72" s="168" t="s">
        <v>264</v>
      </c>
      <c r="U72" s="155"/>
      <c r="V72" s="155"/>
      <c r="W72" s="155"/>
      <c r="X72" s="155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1" x14ac:dyDescent="0.25">
      <c r="A73" s="153"/>
      <c r="B73" s="154"/>
      <c r="C73" s="175"/>
      <c r="D73" s="170"/>
      <c r="E73" s="170"/>
      <c r="F73" s="170"/>
      <c r="G73" s="170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x14ac:dyDescent="0.25">
      <c r="A74" s="157" t="s">
        <v>91</v>
      </c>
      <c r="B74" s="158" t="s">
        <v>56</v>
      </c>
      <c r="C74" s="173" t="s">
        <v>57</v>
      </c>
      <c r="D74" s="159"/>
      <c r="E74" s="160"/>
      <c r="F74" s="161"/>
      <c r="G74" s="161">
        <f>G75+G78+G92+G95+G98+G100+G102+G81+G84+G87+G90</f>
        <v>0</v>
      </c>
      <c r="H74" s="161"/>
      <c r="I74" s="161">
        <f>SUM(I92:I104)</f>
        <v>348957.14</v>
      </c>
      <c r="J74" s="161"/>
      <c r="K74" s="161">
        <f>SUM(K92:K104)</f>
        <v>94797.759999999995</v>
      </c>
      <c r="L74" s="161"/>
      <c r="M74" s="161">
        <f>M75+M78+M92+M95+M98+M100+M102+M81+M84+M87+M90</f>
        <v>0</v>
      </c>
      <c r="N74" s="161"/>
      <c r="O74" s="161">
        <f>SUM(O92:O104)</f>
        <v>251.43</v>
      </c>
      <c r="P74" s="161"/>
      <c r="Q74" s="161">
        <f>SUM(Q92:Q104)</f>
        <v>0</v>
      </c>
      <c r="R74" s="161"/>
      <c r="S74" s="161"/>
      <c r="T74" s="162"/>
      <c r="U74" s="156"/>
      <c r="V74" s="156">
        <f>SUM(V92:V104)</f>
        <v>78.52</v>
      </c>
      <c r="W74" s="156"/>
      <c r="X74" s="156"/>
      <c r="AG74" t="s">
        <v>92</v>
      </c>
    </row>
    <row r="75" spans="1:60" x14ac:dyDescent="0.25">
      <c r="A75" s="163">
        <v>28</v>
      </c>
      <c r="B75" s="164" t="s">
        <v>266</v>
      </c>
      <c r="C75" s="174" t="s">
        <v>267</v>
      </c>
      <c r="D75" s="165" t="s">
        <v>96</v>
      </c>
      <c r="E75" s="166">
        <v>6</v>
      </c>
      <c r="F75" s="167"/>
      <c r="G75" s="168">
        <f>ROUND(E75*F75,2)</f>
        <v>0</v>
      </c>
      <c r="H75" s="167">
        <v>339.99</v>
      </c>
      <c r="I75" s="168">
        <f>ROUND(E75*H75,2)</f>
        <v>2039.94</v>
      </c>
      <c r="J75" s="167">
        <v>352.01</v>
      </c>
      <c r="K75" s="168">
        <f>ROUND(E75*J75,2)</f>
        <v>2112.06</v>
      </c>
      <c r="L75" s="168">
        <v>21</v>
      </c>
      <c r="M75" s="168">
        <f>G75*(1+L75/100)</f>
        <v>0</v>
      </c>
      <c r="N75" s="168">
        <v>0.25080000000000002</v>
      </c>
      <c r="O75" s="168">
        <f>ROUND(E75*N75,2)</f>
        <v>1.5</v>
      </c>
      <c r="P75" s="168">
        <v>0</v>
      </c>
      <c r="Q75" s="168">
        <f>ROUND(E75*P75,2)</f>
        <v>0</v>
      </c>
      <c r="R75" s="168" t="s">
        <v>111</v>
      </c>
      <c r="S75" s="168" t="s">
        <v>264</v>
      </c>
      <c r="T75" s="168" t="s">
        <v>264</v>
      </c>
      <c r="U75" s="156"/>
      <c r="V75" s="156"/>
      <c r="W75" s="156"/>
      <c r="X75" s="156"/>
    </row>
    <row r="76" spans="1:60" x14ac:dyDescent="0.25">
      <c r="A76" s="153"/>
      <c r="B76" s="154"/>
      <c r="C76" s="189" t="s">
        <v>268</v>
      </c>
      <c r="D76" s="190"/>
      <c r="E76" s="191"/>
      <c r="F76" s="200"/>
      <c r="G76" s="193"/>
      <c r="H76" s="188"/>
      <c r="I76" s="155"/>
      <c r="J76" s="188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6"/>
      <c r="V76" s="156"/>
      <c r="W76" s="156"/>
      <c r="X76" s="156"/>
    </row>
    <row r="77" spans="1:60" x14ac:dyDescent="0.25">
      <c r="A77" s="153"/>
      <c r="B77" s="154"/>
      <c r="C77" s="287"/>
      <c r="D77" s="288"/>
      <c r="E77" s="288"/>
      <c r="F77" s="288"/>
      <c r="G77" s="288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6"/>
      <c r="V77" s="156"/>
      <c r="W77" s="156"/>
      <c r="X77" s="156"/>
    </row>
    <row r="78" spans="1:60" x14ac:dyDescent="0.25">
      <c r="A78" s="163">
        <v>29</v>
      </c>
      <c r="B78" s="164" t="s">
        <v>218</v>
      </c>
      <c r="C78" s="174" t="s">
        <v>348</v>
      </c>
      <c r="D78" s="165" t="s">
        <v>96</v>
      </c>
      <c r="E78" s="166">
        <v>13</v>
      </c>
      <c r="F78" s="167"/>
      <c r="G78" s="168">
        <f>ROUND(E78*F78,2)</f>
        <v>0</v>
      </c>
      <c r="H78" s="167">
        <v>339.99</v>
      </c>
      <c r="I78" s="168">
        <f>ROUND(E78*H78,2)</f>
        <v>4419.87</v>
      </c>
      <c r="J78" s="167">
        <v>352.01</v>
      </c>
      <c r="K78" s="168">
        <f>ROUND(E78*J78,2)</f>
        <v>4576.13</v>
      </c>
      <c r="L78" s="168">
        <v>21</v>
      </c>
      <c r="M78" s="168">
        <f>G78*(1+L78/100)</f>
        <v>0</v>
      </c>
      <c r="N78" s="168">
        <v>0.25080000000000002</v>
      </c>
      <c r="O78" s="168">
        <f>ROUND(E78*N78,2)</f>
        <v>3.26</v>
      </c>
      <c r="P78" s="168">
        <v>0</v>
      </c>
      <c r="Q78" s="168">
        <f>ROUND(E78*P78,2)</f>
        <v>0</v>
      </c>
      <c r="R78" s="168" t="s">
        <v>111</v>
      </c>
      <c r="S78" s="168" t="s">
        <v>93</v>
      </c>
      <c r="T78" s="169" t="s">
        <v>93</v>
      </c>
      <c r="U78" s="156"/>
      <c r="V78" s="156"/>
      <c r="W78" s="156"/>
      <c r="X78" s="156"/>
    </row>
    <row r="79" spans="1:60" x14ac:dyDescent="0.25">
      <c r="A79" s="153"/>
      <c r="B79" s="154"/>
      <c r="C79" s="189" t="s">
        <v>253</v>
      </c>
      <c r="D79" s="190"/>
      <c r="E79" s="191"/>
      <c r="F79" s="200"/>
      <c r="G79" s="193"/>
      <c r="H79" s="188"/>
      <c r="I79" s="155"/>
      <c r="J79" s="188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6"/>
      <c r="V79" s="156"/>
      <c r="W79" s="156"/>
      <c r="X79" s="156"/>
    </row>
    <row r="80" spans="1:60" x14ac:dyDescent="0.25">
      <c r="A80" s="153"/>
      <c r="B80" s="154"/>
      <c r="C80" s="287"/>
      <c r="D80" s="288"/>
      <c r="E80" s="288"/>
      <c r="F80" s="288"/>
      <c r="G80" s="288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6"/>
      <c r="V80" s="156"/>
      <c r="W80" s="156"/>
      <c r="X80" s="156"/>
    </row>
    <row r="81" spans="1:60" x14ac:dyDescent="0.25">
      <c r="A81" s="163">
        <v>30</v>
      </c>
      <c r="B81" s="164" t="s">
        <v>254</v>
      </c>
      <c r="C81" s="174" t="s">
        <v>260</v>
      </c>
      <c r="D81" s="165" t="s">
        <v>96</v>
      </c>
      <c r="E81" s="166">
        <v>9</v>
      </c>
      <c r="F81" s="167"/>
      <c r="G81" s="168">
        <f>ROUND(E81*F81,2)</f>
        <v>0</v>
      </c>
      <c r="H81" s="208">
        <v>339.99</v>
      </c>
      <c r="I81" s="168">
        <f>ROUND(E81*H81,2)</f>
        <v>3059.91</v>
      </c>
      <c r="J81" s="208">
        <v>352.01</v>
      </c>
      <c r="K81" s="168">
        <f>ROUND(E81*J81,2)</f>
        <v>3168.09</v>
      </c>
      <c r="L81" s="168">
        <v>21</v>
      </c>
      <c r="M81" s="168">
        <f>G81*(1+L81/100)</f>
        <v>0</v>
      </c>
      <c r="N81" s="168">
        <v>0.25080000000000002</v>
      </c>
      <c r="O81" s="168">
        <f>ROUND(E81*N81,2)</f>
        <v>2.2599999999999998</v>
      </c>
      <c r="P81" s="168">
        <v>0</v>
      </c>
      <c r="Q81" s="168">
        <f>ROUND(E81*P81,2)</f>
        <v>0</v>
      </c>
      <c r="R81" s="168" t="s">
        <v>111</v>
      </c>
      <c r="S81" s="168" t="s">
        <v>93</v>
      </c>
      <c r="T81" s="169" t="s">
        <v>93</v>
      </c>
      <c r="U81" s="156"/>
      <c r="V81" s="156"/>
      <c r="W81" s="156"/>
      <c r="X81" s="156"/>
    </row>
    <row r="82" spans="1:60" x14ac:dyDescent="0.25">
      <c r="A82" s="153"/>
      <c r="B82" s="154"/>
      <c r="C82" s="218" t="s">
        <v>345</v>
      </c>
      <c r="D82" s="219"/>
      <c r="E82" s="220"/>
      <c r="F82" s="188"/>
      <c r="G82" s="155"/>
      <c r="H82" s="221"/>
      <c r="I82" s="155"/>
      <c r="J82" s="221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6"/>
      <c r="V82" s="156"/>
      <c r="W82" s="156"/>
      <c r="X82" s="156"/>
    </row>
    <row r="83" spans="1:60" x14ac:dyDescent="0.25">
      <c r="A83" s="153"/>
      <c r="B83" s="154"/>
      <c r="C83" s="175"/>
      <c r="D83" s="170"/>
      <c r="E83" s="170"/>
      <c r="F83" s="170"/>
      <c r="G83" s="170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6"/>
      <c r="V83" s="156"/>
      <c r="W83" s="156"/>
      <c r="X83" s="156"/>
    </row>
    <row r="84" spans="1:60" x14ac:dyDescent="0.25">
      <c r="A84" s="163">
        <v>31</v>
      </c>
      <c r="B84" s="164" t="s">
        <v>218</v>
      </c>
      <c r="C84" s="174" t="s">
        <v>261</v>
      </c>
      <c r="D84" s="165" t="s">
        <v>96</v>
      </c>
      <c r="E84" s="166">
        <v>2</v>
      </c>
      <c r="F84" s="167"/>
      <c r="G84" s="168">
        <f>ROUND(E84*F84,2)</f>
        <v>0</v>
      </c>
      <c r="H84" s="167">
        <v>339.99</v>
      </c>
      <c r="I84" s="168">
        <f>ROUND(E84*H84,2)</f>
        <v>679.98</v>
      </c>
      <c r="J84" s="167">
        <v>352.01</v>
      </c>
      <c r="K84" s="168">
        <f>ROUND(E84*J84,2)</f>
        <v>704.02</v>
      </c>
      <c r="L84" s="168">
        <v>21</v>
      </c>
      <c r="M84" s="168">
        <f>G84*(1+L84/100)</f>
        <v>0</v>
      </c>
      <c r="N84" s="168">
        <v>0.25080000000000002</v>
      </c>
      <c r="O84" s="168">
        <f>ROUND(E84*N84,2)</f>
        <v>0.5</v>
      </c>
      <c r="P84" s="168">
        <v>0</v>
      </c>
      <c r="Q84" s="168">
        <f>ROUND(E84*P84,2)</f>
        <v>0</v>
      </c>
      <c r="R84" s="168" t="s">
        <v>111</v>
      </c>
      <c r="S84" s="168" t="s">
        <v>93</v>
      </c>
      <c r="T84" s="169" t="s">
        <v>93</v>
      </c>
      <c r="U84" s="156"/>
      <c r="V84" s="156"/>
      <c r="W84" s="156"/>
      <c r="X84" s="156"/>
    </row>
    <row r="85" spans="1:60" x14ac:dyDescent="0.25">
      <c r="A85" s="153"/>
      <c r="B85" s="154"/>
      <c r="C85" s="189" t="s">
        <v>262</v>
      </c>
      <c r="D85" s="190"/>
      <c r="E85" s="191"/>
      <c r="F85" s="200"/>
      <c r="G85" s="193"/>
      <c r="H85" s="188"/>
      <c r="I85" s="155"/>
      <c r="J85" s="188"/>
      <c r="K85" s="155"/>
      <c r="L85" s="155"/>
      <c r="M85" s="155"/>
      <c r="N85" s="155"/>
      <c r="O85" s="155"/>
      <c r="P85" s="155"/>
      <c r="Q85" s="155"/>
      <c r="R85" s="155"/>
      <c r="S85" s="155"/>
      <c r="T85" s="155"/>
      <c r="U85" s="156"/>
      <c r="V85" s="156"/>
      <c r="W85" s="156"/>
      <c r="X85" s="156"/>
    </row>
    <row r="86" spans="1:60" x14ac:dyDescent="0.25">
      <c r="A86" s="153"/>
      <c r="B86" s="154"/>
      <c r="C86" s="175"/>
      <c r="D86" s="170"/>
      <c r="E86" s="170"/>
      <c r="F86" s="170"/>
      <c r="G86" s="170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6"/>
      <c r="V86" s="156"/>
      <c r="W86" s="156"/>
      <c r="X86" s="156"/>
    </row>
    <row r="87" spans="1:60" x14ac:dyDescent="0.25">
      <c r="A87" s="163">
        <v>32</v>
      </c>
      <c r="B87" s="164" t="s">
        <v>265</v>
      </c>
      <c r="C87" s="174" t="s">
        <v>263</v>
      </c>
      <c r="D87" s="165" t="s">
        <v>96</v>
      </c>
      <c r="E87" s="166">
        <v>2</v>
      </c>
      <c r="F87" s="167"/>
      <c r="G87" s="168">
        <f>ROUND(E87*F87,2)</f>
        <v>0</v>
      </c>
      <c r="H87" s="167">
        <v>339.99</v>
      </c>
      <c r="I87" s="168">
        <f>ROUND(E87*H87,2)</f>
        <v>679.98</v>
      </c>
      <c r="J87" s="167">
        <v>352.01</v>
      </c>
      <c r="K87" s="168">
        <f>ROUND(E87*J87,2)</f>
        <v>704.02</v>
      </c>
      <c r="L87" s="168">
        <v>21</v>
      </c>
      <c r="M87" s="168">
        <f>G87*(1+L87/100)</f>
        <v>0</v>
      </c>
      <c r="N87" s="168">
        <v>0.25080000000000002</v>
      </c>
      <c r="O87" s="168">
        <f>ROUND(E87*N87,2)</f>
        <v>0.5</v>
      </c>
      <c r="P87" s="168">
        <v>0</v>
      </c>
      <c r="Q87" s="168">
        <f>ROUND(E87*P87,2)</f>
        <v>0</v>
      </c>
      <c r="R87" s="168" t="s">
        <v>111</v>
      </c>
      <c r="S87" s="168" t="s">
        <v>264</v>
      </c>
      <c r="T87" s="168" t="s">
        <v>264</v>
      </c>
      <c r="U87" s="156"/>
      <c r="V87" s="156"/>
      <c r="W87" s="156"/>
      <c r="X87" s="156"/>
    </row>
    <row r="88" spans="1:60" x14ac:dyDescent="0.25">
      <c r="A88" s="153"/>
      <c r="B88" s="154"/>
      <c r="C88" s="218" t="s">
        <v>345</v>
      </c>
      <c r="D88" s="219"/>
      <c r="E88" s="220"/>
      <c r="F88" s="188"/>
      <c r="G88" s="155"/>
      <c r="H88" s="188"/>
      <c r="I88" s="155"/>
      <c r="J88" s="188"/>
      <c r="K88" s="155"/>
      <c r="L88" s="155"/>
      <c r="M88" s="155"/>
      <c r="N88" s="155"/>
      <c r="O88" s="155"/>
      <c r="P88" s="155"/>
      <c r="Q88" s="155"/>
      <c r="R88" s="155"/>
      <c r="S88" s="155"/>
      <c r="T88" s="155"/>
      <c r="U88" s="156"/>
      <c r="V88" s="156"/>
      <c r="W88" s="156"/>
      <c r="X88" s="156"/>
    </row>
    <row r="89" spans="1:60" x14ac:dyDescent="0.25">
      <c r="A89" s="153"/>
      <c r="B89" s="154"/>
      <c r="C89" s="175"/>
      <c r="D89" s="170"/>
      <c r="E89" s="170"/>
      <c r="F89" s="170"/>
      <c r="G89" s="170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6"/>
      <c r="V89" s="156"/>
      <c r="W89" s="156"/>
      <c r="X89" s="156"/>
    </row>
    <row r="90" spans="1:60" x14ac:dyDescent="0.25">
      <c r="A90" s="163">
        <v>33</v>
      </c>
      <c r="B90" s="164" t="s">
        <v>280</v>
      </c>
      <c r="C90" s="174" t="s">
        <v>281</v>
      </c>
      <c r="D90" s="165" t="s">
        <v>96</v>
      </c>
      <c r="E90" s="166">
        <v>1</v>
      </c>
      <c r="F90" s="167"/>
      <c r="G90" s="168">
        <f>ROUND(E90*F90,2)</f>
        <v>0</v>
      </c>
      <c r="H90" s="208">
        <v>339.99</v>
      </c>
      <c r="I90" s="168">
        <f>ROUND(E90*H90,2)</f>
        <v>339.99</v>
      </c>
      <c r="J90" s="208">
        <v>352.01</v>
      </c>
      <c r="K90" s="168">
        <f>ROUND(E90*J90,2)</f>
        <v>352.01</v>
      </c>
      <c r="L90" s="168">
        <v>21</v>
      </c>
      <c r="M90" s="168">
        <f>G90*(1+L90/100)</f>
        <v>0</v>
      </c>
      <c r="N90" s="168">
        <v>0.25080000000000002</v>
      </c>
      <c r="O90" s="168">
        <f>ROUND(E90*N90,2)</f>
        <v>0.25</v>
      </c>
      <c r="P90" s="168">
        <v>0</v>
      </c>
      <c r="Q90" s="168">
        <f>ROUND(E90*P90,2)</f>
        <v>0</v>
      </c>
      <c r="R90" s="168" t="s">
        <v>111</v>
      </c>
      <c r="S90" s="168" t="s">
        <v>264</v>
      </c>
      <c r="T90" s="169" t="s">
        <v>103</v>
      </c>
      <c r="U90" s="156"/>
      <c r="V90" s="156"/>
      <c r="W90" s="156"/>
      <c r="X90" s="156"/>
    </row>
    <row r="91" spans="1:60" x14ac:dyDescent="0.25">
      <c r="A91" s="153"/>
      <c r="B91" s="154"/>
      <c r="C91" s="175"/>
      <c r="D91" s="170"/>
      <c r="E91" s="170"/>
      <c r="F91" s="170"/>
      <c r="G91" s="170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6"/>
      <c r="V91" s="156"/>
      <c r="W91" s="156"/>
      <c r="X91" s="156"/>
    </row>
    <row r="92" spans="1:60" ht="20.399999999999999" outlineLevel="1" x14ac:dyDescent="0.25">
      <c r="A92" s="163">
        <v>34</v>
      </c>
      <c r="B92" s="164" t="s">
        <v>175</v>
      </c>
      <c r="C92" s="174" t="s">
        <v>177</v>
      </c>
      <c r="D92" s="165" t="s">
        <v>116</v>
      </c>
      <c r="E92" s="166">
        <v>285</v>
      </c>
      <c r="F92" s="167"/>
      <c r="G92" s="168">
        <f>ROUND(E92*F92,2)</f>
        <v>0</v>
      </c>
      <c r="H92" s="167">
        <v>320.33</v>
      </c>
      <c r="I92" s="168">
        <f>ROUND(E92*H92,2)</f>
        <v>91294.05</v>
      </c>
      <c r="J92" s="167">
        <v>128.16999999999999</v>
      </c>
      <c r="K92" s="168">
        <f>ROUND(E92*J92,2)</f>
        <v>36528.449999999997</v>
      </c>
      <c r="L92" s="168">
        <v>21</v>
      </c>
      <c r="M92" s="168">
        <f>G92*(1+L92/100)</f>
        <v>0</v>
      </c>
      <c r="N92" s="168">
        <v>0.26980999999999999</v>
      </c>
      <c r="O92" s="168">
        <f>ROUND(E92*N92,2)</f>
        <v>76.900000000000006</v>
      </c>
      <c r="P92" s="168">
        <v>0</v>
      </c>
      <c r="Q92" s="168">
        <f>ROUND(E92*P92,2)</f>
        <v>0</v>
      </c>
      <c r="R92" s="168" t="s">
        <v>111</v>
      </c>
      <c r="S92" s="168" t="s">
        <v>264</v>
      </c>
      <c r="T92" s="168" t="s">
        <v>264</v>
      </c>
      <c r="U92" s="155">
        <v>0.27200000000000002</v>
      </c>
      <c r="V92" s="155">
        <f>ROUND(E92*U92,2)</f>
        <v>77.52</v>
      </c>
      <c r="W92" s="155"/>
      <c r="X92" s="155" t="s">
        <v>112</v>
      </c>
      <c r="Y92" s="146"/>
      <c r="Z92" s="146"/>
      <c r="AA92" s="146"/>
      <c r="AB92" s="146"/>
      <c r="AC92" s="146"/>
      <c r="AD92" s="146"/>
      <c r="AE92" s="146"/>
      <c r="AF92" s="146"/>
      <c r="AG92" s="146" t="s">
        <v>113</v>
      </c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5">
      <c r="A93" s="153"/>
      <c r="B93" s="154"/>
      <c r="C93" s="285" t="s">
        <v>173</v>
      </c>
      <c r="D93" s="286"/>
      <c r="E93" s="286"/>
      <c r="F93" s="286"/>
      <c r="G93" s="286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46"/>
      <c r="Z93" s="146"/>
      <c r="AA93" s="146"/>
      <c r="AB93" s="146"/>
      <c r="AC93" s="146"/>
      <c r="AD93" s="146"/>
      <c r="AE93" s="146"/>
      <c r="AF93" s="146"/>
      <c r="AG93" s="146" t="s">
        <v>114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1" x14ac:dyDescent="0.25">
      <c r="A94" s="153"/>
      <c r="B94" s="154"/>
      <c r="C94" s="287"/>
      <c r="D94" s="288"/>
      <c r="E94" s="288"/>
      <c r="F94" s="288"/>
      <c r="G94" s="288"/>
      <c r="H94" s="155"/>
      <c r="I94" s="155"/>
      <c r="J94" s="155"/>
      <c r="K94" s="155"/>
      <c r="L94" s="155"/>
      <c r="M94" s="155"/>
      <c r="N94" s="155"/>
      <c r="O94" s="155"/>
      <c r="P94" s="155"/>
      <c r="Q94" s="155"/>
      <c r="R94" s="155"/>
      <c r="S94" s="155"/>
      <c r="T94" s="155"/>
      <c r="U94" s="155"/>
      <c r="V94" s="155"/>
      <c r="W94" s="155"/>
      <c r="X94" s="155"/>
      <c r="Y94" s="146"/>
      <c r="Z94" s="146"/>
      <c r="AA94" s="146"/>
      <c r="AB94" s="146"/>
      <c r="AC94" s="146"/>
      <c r="AD94" s="146"/>
      <c r="AE94" s="146"/>
      <c r="AF94" s="146"/>
      <c r="AG94" s="146"/>
      <c r="AH94" s="146"/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ht="20.399999999999999" outlineLevel="1" x14ac:dyDescent="0.25">
      <c r="A95" s="163">
        <v>35</v>
      </c>
      <c r="B95" s="164" t="s">
        <v>158</v>
      </c>
      <c r="C95" s="174" t="s">
        <v>174</v>
      </c>
      <c r="D95" s="165" t="s">
        <v>116</v>
      </c>
      <c r="E95" s="166">
        <v>448</v>
      </c>
      <c r="F95" s="167"/>
      <c r="G95" s="168">
        <f>ROUND(E95*F95,2)</f>
        <v>0</v>
      </c>
      <c r="H95" s="167">
        <v>320.33</v>
      </c>
      <c r="I95" s="168">
        <f>ROUND(E95*H95,2)</f>
        <v>143507.84</v>
      </c>
      <c r="J95" s="167">
        <v>128.16999999999999</v>
      </c>
      <c r="K95" s="168">
        <f>ROUND(E95*J95,2)</f>
        <v>57420.160000000003</v>
      </c>
      <c r="L95" s="168">
        <v>21</v>
      </c>
      <c r="M95" s="168">
        <f>G95*(1+L95/100)</f>
        <v>0</v>
      </c>
      <c r="N95" s="168">
        <v>0.26980999999999999</v>
      </c>
      <c r="O95" s="168">
        <f>ROUND(E95*N95,2)</f>
        <v>120.87</v>
      </c>
      <c r="P95" s="168">
        <v>0</v>
      </c>
      <c r="Q95" s="168">
        <f>ROUND(E95*P95,2)</f>
        <v>0</v>
      </c>
      <c r="R95" s="168" t="s">
        <v>111</v>
      </c>
      <c r="S95" s="168" t="s">
        <v>264</v>
      </c>
      <c r="T95" s="168" t="s">
        <v>264</v>
      </c>
      <c r="U95" s="155"/>
      <c r="V95" s="155"/>
      <c r="W95" s="155"/>
      <c r="X95" s="155"/>
      <c r="Y95" s="146"/>
      <c r="Z95" s="146"/>
      <c r="AA95" s="146"/>
      <c r="AB95" s="146"/>
      <c r="AC95" s="146"/>
      <c r="AD95" s="146"/>
      <c r="AE95" s="146"/>
      <c r="AF95" s="146"/>
      <c r="AG95" s="146"/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1" x14ac:dyDescent="0.25">
      <c r="A96" s="153"/>
      <c r="B96" s="154"/>
      <c r="C96" s="285" t="s">
        <v>173</v>
      </c>
      <c r="D96" s="286"/>
      <c r="E96" s="286"/>
      <c r="F96" s="286"/>
      <c r="G96" s="286"/>
      <c r="H96" s="155"/>
      <c r="I96" s="155"/>
      <c r="J96" s="155"/>
      <c r="K96" s="155"/>
      <c r="L96" s="155"/>
      <c r="M96" s="155"/>
      <c r="N96" s="155"/>
      <c r="O96" s="155"/>
      <c r="P96" s="155"/>
      <c r="Q96" s="155"/>
      <c r="R96" s="155"/>
      <c r="S96" s="155"/>
      <c r="T96" s="155"/>
      <c r="U96" s="155"/>
      <c r="V96" s="155"/>
      <c r="W96" s="155"/>
      <c r="X96" s="155"/>
      <c r="Y96" s="146"/>
      <c r="Z96" s="146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1" x14ac:dyDescent="0.25">
      <c r="A97" s="153"/>
      <c r="B97" s="154"/>
      <c r="C97" s="287"/>
      <c r="D97" s="288"/>
      <c r="E97" s="288"/>
      <c r="F97" s="288"/>
      <c r="G97" s="288"/>
      <c r="H97" s="155"/>
      <c r="I97" s="155"/>
      <c r="J97" s="155"/>
      <c r="K97" s="155"/>
      <c r="L97" s="155"/>
      <c r="M97" s="155"/>
      <c r="N97" s="155"/>
      <c r="O97" s="155"/>
      <c r="P97" s="155"/>
      <c r="Q97" s="155"/>
      <c r="R97" s="155"/>
      <c r="S97" s="155"/>
      <c r="T97" s="155"/>
      <c r="U97" s="155"/>
      <c r="V97" s="155"/>
      <c r="W97" s="155"/>
      <c r="X97" s="155"/>
      <c r="Y97" s="146"/>
      <c r="Z97" s="146"/>
      <c r="AA97" s="146"/>
      <c r="AB97" s="146"/>
      <c r="AC97" s="146"/>
      <c r="AD97" s="146"/>
      <c r="AE97" s="146"/>
      <c r="AF97" s="146"/>
      <c r="AG97" s="146"/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outlineLevel="1" x14ac:dyDescent="0.25">
      <c r="A98" s="163">
        <v>36</v>
      </c>
      <c r="B98" s="164" t="s">
        <v>273</v>
      </c>
      <c r="C98" s="174" t="s">
        <v>272</v>
      </c>
      <c r="D98" s="165" t="s">
        <v>96</v>
      </c>
      <c r="E98" s="166">
        <f>E92*1.03-0.55</f>
        <v>293</v>
      </c>
      <c r="F98" s="167"/>
      <c r="G98" s="168">
        <f>ROUND(E98*F98,2)</f>
        <v>0</v>
      </c>
      <c r="H98" s="167">
        <v>143</v>
      </c>
      <c r="I98" s="168">
        <f>ROUND(E98*H98,2)</f>
        <v>41899</v>
      </c>
      <c r="J98" s="167">
        <v>0</v>
      </c>
      <c r="K98" s="168">
        <f>ROUND(E98*J98,2)</f>
        <v>0</v>
      </c>
      <c r="L98" s="168">
        <v>21</v>
      </c>
      <c r="M98" s="168">
        <f>G98*(1+L98/100)</f>
        <v>0</v>
      </c>
      <c r="N98" s="168">
        <v>5.4170000000000003E-2</v>
      </c>
      <c r="O98" s="168">
        <f>ROUND(E98*N98,2)</f>
        <v>15.87</v>
      </c>
      <c r="P98" s="168">
        <v>0</v>
      </c>
      <c r="Q98" s="168">
        <f>ROUND(E98*P98,2)</f>
        <v>0</v>
      </c>
      <c r="R98" s="168" t="s">
        <v>95</v>
      </c>
      <c r="S98" s="168" t="s">
        <v>264</v>
      </c>
      <c r="T98" s="168" t="s">
        <v>103</v>
      </c>
      <c r="U98" s="155"/>
      <c r="V98" s="155"/>
      <c r="W98" s="155"/>
      <c r="X98" s="155"/>
      <c r="Y98" s="146"/>
      <c r="Z98" s="146"/>
      <c r="AA98" s="146"/>
      <c r="AB98" s="146"/>
      <c r="AC98" s="146"/>
      <c r="AD98" s="146"/>
      <c r="AE98" s="146"/>
      <c r="AF98" s="146"/>
      <c r="AG98" s="146"/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1" x14ac:dyDescent="0.25">
      <c r="A99" s="153"/>
      <c r="B99" s="154"/>
      <c r="C99" s="184"/>
      <c r="D99" s="185"/>
      <c r="E99" s="185"/>
      <c r="F99" s="185"/>
      <c r="G99" s="185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46"/>
      <c r="Z99" s="146"/>
      <c r="AA99" s="146"/>
      <c r="AB99" s="146"/>
      <c r="AC99" s="146"/>
      <c r="AD99" s="146"/>
      <c r="AE99" s="146"/>
      <c r="AF99" s="146"/>
      <c r="AG99" s="146"/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13.5" customHeight="1" outlineLevel="1" x14ac:dyDescent="0.25">
      <c r="A100" s="163">
        <v>37</v>
      </c>
      <c r="B100" s="164" t="s">
        <v>97</v>
      </c>
      <c r="C100" s="174" t="s">
        <v>98</v>
      </c>
      <c r="D100" s="165" t="s">
        <v>96</v>
      </c>
      <c r="E100" s="166">
        <f>E95*1.03-0.44</f>
        <v>461</v>
      </c>
      <c r="F100" s="167"/>
      <c r="G100" s="168">
        <f>ROUND(E100*F100,2)</f>
        <v>0</v>
      </c>
      <c r="H100" s="167">
        <v>154</v>
      </c>
      <c r="I100" s="168">
        <f>ROUND(E100*H100,2)</f>
        <v>70994</v>
      </c>
      <c r="J100" s="167">
        <v>0</v>
      </c>
      <c r="K100" s="168">
        <f>ROUND(E100*J100,2)</f>
        <v>0</v>
      </c>
      <c r="L100" s="168">
        <v>21</v>
      </c>
      <c r="M100" s="168">
        <f>G100*(1+L100/100)</f>
        <v>0</v>
      </c>
      <c r="N100" s="168">
        <v>8.1970000000000001E-2</v>
      </c>
      <c r="O100" s="168">
        <f>ROUND(E100*N100,2)</f>
        <v>37.79</v>
      </c>
      <c r="P100" s="168">
        <v>0</v>
      </c>
      <c r="Q100" s="168">
        <f>ROUND(E100*P100,2)</f>
        <v>0</v>
      </c>
      <c r="R100" s="168" t="s">
        <v>95</v>
      </c>
      <c r="S100" s="168" t="s">
        <v>264</v>
      </c>
      <c r="T100" s="168" t="s">
        <v>103</v>
      </c>
      <c r="U100" s="155"/>
      <c r="V100" s="155"/>
      <c r="W100" s="155"/>
      <c r="X100" s="155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5">
      <c r="A101" s="153"/>
      <c r="B101" s="154"/>
      <c r="C101" s="289"/>
      <c r="D101" s="290"/>
      <c r="E101" s="290"/>
      <c r="F101" s="290"/>
      <c r="G101" s="290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5">
      <c r="A102" s="163">
        <v>38</v>
      </c>
      <c r="B102" s="164" t="s">
        <v>135</v>
      </c>
      <c r="C102" s="174" t="s">
        <v>136</v>
      </c>
      <c r="D102" s="165" t="s">
        <v>116</v>
      </c>
      <c r="E102" s="166">
        <v>27</v>
      </c>
      <c r="F102" s="167"/>
      <c r="G102" s="168">
        <f>ROUND(E102*F102,2)</f>
        <v>0</v>
      </c>
      <c r="H102" s="167">
        <v>46.75</v>
      </c>
      <c r="I102" s="168">
        <f>ROUND(E102*H102,2)</f>
        <v>1262.25</v>
      </c>
      <c r="J102" s="167">
        <v>31.45</v>
      </c>
      <c r="K102" s="168">
        <f>ROUND(E102*J102,2)</f>
        <v>849.15</v>
      </c>
      <c r="L102" s="168">
        <v>21</v>
      </c>
      <c r="M102" s="168">
        <f>G102*(1+L102/100)</f>
        <v>0</v>
      </c>
      <c r="N102" s="168">
        <v>0</v>
      </c>
      <c r="O102" s="168">
        <f>ROUND(E102*N102,2)</f>
        <v>0</v>
      </c>
      <c r="P102" s="168">
        <v>0</v>
      </c>
      <c r="Q102" s="168">
        <f>ROUND(E102*P102,2)</f>
        <v>0</v>
      </c>
      <c r="R102" s="168" t="s">
        <v>111</v>
      </c>
      <c r="S102" s="168" t="s">
        <v>264</v>
      </c>
      <c r="T102" s="168" t="s">
        <v>264</v>
      </c>
      <c r="U102" s="155">
        <v>3.6999999999999998E-2</v>
      </c>
      <c r="V102" s="155">
        <f>ROUND(E102*U102,2)</f>
        <v>1</v>
      </c>
      <c r="W102" s="155"/>
      <c r="X102" s="155" t="s">
        <v>112</v>
      </c>
      <c r="Y102" s="146"/>
      <c r="Z102" s="146"/>
      <c r="AA102" s="146"/>
      <c r="AB102" s="146"/>
      <c r="AC102" s="146"/>
      <c r="AD102" s="146"/>
      <c r="AE102" s="146"/>
      <c r="AF102" s="146"/>
      <c r="AG102" s="146" t="s">
        <v>113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1" x14ac:dyDescent="0.25">
      <c r="A103" s="153"/>
      <c r="B103" s="154"/>
      <c r="C103" s="285" t="s">
        <v>137</v>
      </c>
      <c r="D103" s="286"/>
      <c r="E103" s="286"/>
      <c r="F103" s="286"/>
      <c r="G103" s="286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46"/>
      <c r="Z103" s="146"/>
      <c r="AA103" s="146"/>
      <c r="AB103" s="146"/>
      <c r="AC103" s="146"/>
      <c r="AD103" s="146"/>
      <c r="AE103" s="146"/>
      <c r="AF103" s="146"/>
      <c r="AG103" s="146" t="s">
        <v>114</v>
      </c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5">
      <c r="A104" s="153"/>
      <c r="B104" s="154"/>
      <c r="C104" s="287"/>
      <c r="D104" s="288"/>
      <c r="E104" s="288"/>
      <c r="F104" s="288"/>
      <c r="G104" s="288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46"/>
      <c r="Z104" s="146"/>
      <c r="AA104" s="146"/>
      <c r="AB104" s="146"/>
      <c r="AC104" s="146"/>
      <c r="AD104" s="146"/>
      <c r="AE104" s="146"/>
      <c r="AF104" s="146"/>
      <c r="AG104" s="146" t="s">
        <v>94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5">
      <c r="A105" s="157" t="s">
        <v>91</v>
      </c>
      <c r="B105" s="158" t="s">
        <v>195</v>
      </c>
      <c r="C105" s="173" t="s">
        <v>196</v>
      </c>
      <c r="D105" s="159"/>
      <c r="E105" s="160"/>
      <c r="F105" s="161"/>
      <c r="G105" s="161">
        <f>G106</f>
        <v>0</v>
      </c>
      <c r="H105" s="161"/>
      <c r="I105" s="161">
        <f>SUM(I106:I108)</f>
        <v>12288.57</v>
      </c>
      <c r="J105" s="161"/>
      <c r="K105" s="161">
        <f>SUM(K106:K108)</f>
        <v>14129.43</v>
      </c>
      <c r="L105" s="161"/>
      <c r="M105" s="161">
        <f>M106</f>
        <v>0</v>
      </c>
      <c r="N105" s="161"/>
      <c r="O105" s="161">
        <f>SUM(O106:O108)</f>
        <v>6.63</v>
      </c>
      <c r="P105" s="161"/>
      <c r="Q105" s="161">
        <f>SUM(Q106:Q108)</f>
        <v>0</v>
      </c>
      <c r="R105" s="161"/>
      <c r="S105" s="161"/>
      <c r="T105" s="162"/>
      <c r="U105" s="155"/>
      <c r="V105" s="155"/>
      <c r="W105" s="155"/>
      <c r="X105" s="155"/>
      <c r="Y105" s="146"/>
      <c r="Z105" s="146"/>
      <c r="AA105" s="146"/>
      <c r="AB105" s="146"/>
      <c r="AC105" s="146"/>
      <c r="AD105" s="146"/>
      <c r="AE105" s="146"/>
      <c r="AF105" s="146"/>
      <c r="AG105" s="146"/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1" x14ac:dyDescent="0.25">
      <c r="A106" s="163">
        <v>39</v>
      </c>
      <c r="B106" s="164" t="s">
        <v>269</v>
      </c>
      <c r="C106" s="174" t="s">
        <v>270</v>
      </c>
      <c r="D106" s="165" t="s">
        <v>96</v>
      </c>
      <c r="E106" s="166">
        <v>21</v>
      </c>
      <c r="F106" s="167"/>
      <c r="G106" s="168">
        <f>ROUND(E106*F106,2)</f>
        <v>0</v>
      </c>
      <c r="H106" s="167">
        <v>585.16999999999996</v>
      </c>
      <c r="I106" s="168">
        <f>ROUND(E106*H106,2)</f>
        <v>12288.57</v>
      </c>
      <c r="J106" s="167">
        <v>672.83</v>
      </c>
      <c r="K106" s="168">
        <f>ROUND(E106*J106,2)</f>
        <v>14129.43</v>
      </c>
      <c r="L106" s="168">
        <v>21</v>
      </c>
      <c r="M106" s="168">
        <f>G106*(1+L106/100)</f>
        <v>0</v>
      </c>
      <c r="N106" s="168">
        <v>0.31590000000000001</v>
      </c>
      <c r="O106" s="168">
        <f>ROUND(E106*N106,2)</f>
        <v>6.63</v>
      </c>
      <c r="P106" s="168">
        <v>0</v>
      </c>
      <c r="Q106" s="168">
        <f>ROUND(E106*P106,2)</f>
        <v>0</v>
      </c>
      <c r="R106" s="168" t="s">
        <v>111</v>
      </c>
      <c r="S106" s="168" t="s">
        <v>264</v>
      </c>
      <c r="T106" s="168" t="s">
        <v>264</v>
      </c>
      <c r="U106" s="155"/>
      <c r="V106" s="155"/>
      <c r="W106" s="155"/>
      <c r="X106" s="155"/>
      <c r="Y106" s="146"/>
      <c r="Z106" s="146"/>
      <c r="AA106" s="146"/>
      <c r="AB106" s="146"/>
      <c r="AC106" s="146"/>
      <c r="AD106" s="146"/>
      <c r="AE106" s="146"/>
      <c r="AF106" s="146"/>
      <c r="AG106" s="146"/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12.75" customHeight="1" outlineLevel="1" x14ac:dyDescent="0.25">
      <c r="A107" s="153"/>
      <c r="B107" s="154"/>
      <c r="C107" s="285" t="s">
        <v>271</v>
      </c>
      <c r="D107" s="286"/>
      <c r="E107" s="286"/>
      <c r="F107" s="286"/>
      <c r="G107" s="286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46"/>
      <c r="Z107" s="146"/>
      <c r="AA107" s="146"/>
      <c r="AB107" s="146"/>
      <c r="AC107" s="146"/>
      <c r="AD107" s="146"/>
      <c r="AE107" s="146"/>
      <c r="AF107" s="146"/>
      <c r="AG107" s="146"/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5">
      <c r="A108" s="153"/>
      <c r="B108" s="154"/>
      <c r="C108" s="287"/>
      <c r="D108" s="288"/>
      <c r="E108" s="288"/>
      <c r="F108" s="288"/>
      <c r="G108" s="288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x14ac:dyDescent="0.25">
      <c r="A109" s="157" t="s">
        <v>91</v>
      </c>
      <c r="B109" s="158" t="s">
        <v>58</v>
      </c>
      <c r="C109" s="173" t="s">
        <v>59</v>
      </c>
      <c r="D109" s="159"/>
      <c r="E109" s="160"/>
      <c r="F109" s="161"/>
      <c r="G109" s="161">
        <f>SUMIF(AG110:AG115,"&lt;&gt;NOR",G110:G115)</f>
        <v>0</v>
      </c>
      <c r="H109" s="161"/>
      <c r="I109" s="161">
        <f>SUM(I110:I115)</f>
        <v>0</v>
      </c>
      <c r="J109" s="161"/>
      <c r="K109" s="161">
        <f>SUM(K110:K115)</f>
        <v>129533.11000000002</v>
      </c>
      <c r="L109" s="161"/>
      <c r="M109" s="161">
        <f>SUM(M110:M115)</f>
        <v>0</v>
      </c>
      <c r="N109" s="161"/>
      <c r="O109" s="161">
        <f>SUM(O110:O115)</f>
        <v>0</v>
      </c>
      <c r="P109" s="161"/>
      <c r="Q109" s="161">
        <f>SUM(Q110:Q115)</f>
        <v>0</v>
      </c>
      <c r="R109" s="161"/>
      <c r="S109" s="161"/>
      <c r="T109" s="162"/>
      <c r="U109" s="156"/>
      <c r="V109" s="156">
        <f>SUM(V110:V115)</f>
        <v>30.45</v>
      </c>
      <c r="W109" s="156"/>
      <c r="X109" s="156"/>
      <c r="AG109" t="s">
        <v>92</v>
      </c>
    </row>
    <row r="110" spans="1:60" outlineLevel="1" x14ac:dyDescent="0.25">
      <c r="A110" s="163">
        <v>40</v>
      </c>
      <c r="B110" s="164" t="s">
        <v>159</v>
      </c>
      <c r="C110" s="174" t="s">
        <v>140</v>
      </c>
      <c r="D110" s="165" t="s">
        <v>132</v>
      </c>
      <c r="E110" s="166">
        <f>E62+E65*0.08*2</f>
        <v>32.64</v>
      </c>
      <c r="F110" s="167"/>
      <c r="G110" s="168">
        <f>ROUND(E110*F110,2)</f>
        <v>0</v>
      </c>
      <c r="H110" s="167">
        <v>0</v>
      </c>
      <c r="I110" s="168">
        <f>ROUND(E110*H110,2)</f>
        <v>0</v>
      </c>
      <c r="J110" s="167">
        <v>225.5</v>
      </c>
      <c r="K110" s="168">
        <f>ROUND(E110*J110,2)</f>
        <v>7360.32</v>
      </c>
      <c r="L110" s="168">
        <v>21</v>
      </c>
      <c r="M110" s="168">
        <f>G110*(1+L110/100)</f>
        <v>0</v>
      </c>
      <c r="N110" s="168">
        <v>0</v>
      </c>
      <c r="O110" s="168">
        <f>ROUND(E110*N110,2)</f>
        <v>0</v>
      </c>
      <c r="P110" s="168">
        <v>0</v>
      </c>
      <c r="Q110" s="168">
        <f>ROUND(E110*P110,2)</f>
        <v>0</v>
      </c>
      <c r="R110" s="168" t="s">
        <v>111</v>
      </c>
      <c r="S110" s="168" t="s">
        <v>264</v>
      </c>
      <c r="T110" s="168" t="s">
        <v>264</v>
      </c>
      <c r="U110" s="155">
        <v>0.39</v>
      </c>
      <c r="V110" s="155">
        <f>ROUND(E110*U110,2)</f>
        <v>12.73</v>
      </c>
      <c r="W110" s="155"/>
      <c r="X110" s="155" t="s">
        <v>138</v>
      </c>
      <c r="Y110" s="146"/>
      <c r="Z110" s="146"/>
      <c r="AA110" s="146"/>
      <c r="AB110" s="146"/>
      <c r="AC110" s="146"/>
      <c r="AD110" s="146"/>
      <c r="AE110" s="146"/>
      <c r="AF110" s="146"/>
      <c r="AG110" s="146" t="s">
        <v>139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5">
      <c r="A111" s="153"/>
      <c r="B111" s="154"/>
      <c r="C111" s="287"/>
      <c r="D111" s="288"/>
      <c r="E111" s="288"/>
      <c r="F111" s="288"/>
      <c r="G111" s="288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46"/>
      <c r="Z111" s="146"/>
      <c r="AA111" s="146"/>
      <c r="AB111" s="146"/>
      <c r="AC111" s="146"/>
      <c r="AD111" s="146"/>
      <c r="AE111" s="146"/>
      <c r="AF111" s="146"/>
      <c r="AG111" s="146" t="s">
        <v>94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5">
      <c r="A112" s="163">
        <v>41</v>
      </c>
      <c r="B112" s="164" t="s">
        <v>198</v>
      </c>
      <c r="C112" s="174" t="s">
        <v>199</v>
      </c>
      <c r="D112" s="165" t="s">
        <v>132</v>
      </c>
      <c r="E112" s="166">
        <f>E48*0.15*2+E50*0.2*2</f>
        <v>768.56000000000006</v>
      </c>
      <c r="F112" s="167"/>
      <c r="G112" s="168">
        <f>ROUND(E112*F112,2)</f>
        <v>0</v>
      </c>
      <c r="H112" s="167">
        <v>0</v>
      </c>
      <c r="I112" s="168">
        <f>ROUND(E112*H112,2)</f>
        <v>0</v>
      </c>
      <c r="J112" s="167">
        <v>71.2</v>
      </c>
      <c r="K112" s="168">
        <f>ROUND(E112*J112,2)</f>
        <v>54721.47</v>
      </c>
      <c r="L112" s="168">
        <v>21</v>
      </c>
      <c r="M112" s="168">
        <f>G112*(1+L112/100)</f>
        <v>0</v>
      </c>
      <c r="N112" s="168">
        <v>0</v>
      </c>
      <c r="O112" s="168">
        <f>ROUND(E112*N112,2)</f>
        <v>0</v>
      </c>
      <c r="P112" s="168">
        <v>0</v>
      </c>
      <c r="Q112" s="168">
        <f>ROUND(E112*P112,2)</f>
        <v>0</v>
      </c>
      <c r="R112" s="168" t="s">
        <v>111</v>
      </c>
      <c r="S112" s="168" t="s">
        <v>264</v>
      </c>
      <c r="T112" s="168" t="s">
        <v>264</v>
      </c>
      <c r="U112" s="155"/>
      <c r="V112" s="155"/>
      <c r="W112" s="155"/>
      <c r="X112" s="155"/>
      <c r="Y112" s="146"/>
      <c r="Z112" s="146"/>
      <c r="AA112" s="146"/>
      <c r="AB112" s="146"/>
      <c r="AC112" s="146"/>
      <c r="AD112" s="146"/>
      <c r="AE112" s="146"/>
      <c r="AF112" s="146"/>
      <c r="AG112" s="146"/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outlineLevel="1" x14ac:dyDescent="0.25">
      <c r="A113" s="153"/>
      <c r="B113" s="154"/>
      <c r="C113" s="287"/>
      <c r="D113" s="288"/>
      <c r="E113" s="288"/>
      <c r="F113" s="288"/>
      <c r="G113" s="288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46"/>
      <c r="Z113" s="146"/>
      <c r="AA113" s="146"/>
      <c r="AB113" s="146"/>
      <c r="AC113" s="146"/>
      <c r="AD113" s="146"/>
      <c r="AE113" s="146"/>
      <c r="AF113" s="146"/>
      <c r="AG113" s="146"/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5">
      <c r="A114" s="163">
        <v>42</v>
      </c>
      <c r="B114" s="164" t="s">
        <v>160</v>
      </c>
      <c r="C114" s="174" t="s">
        <v>285</v>
      </c>
      <c r="D114" s="165" t="s">
        <v>132</v>
      </c>
      <c r="E114" s="166">
        <f>E56*0.12*2.53+E58*0.07*2.53+E60*0.04*2.53+E52*1.2*2</f>
        <v>1107.5750249999999</v>
      </c>
      <c r="F114" s="167"/>
      <c r="G114" s="168">
        <f>ROUND(E114*F114,2)</f>
        <v>0</v>
      </c>
      <c r="H114" s="167">
        <v>0</v>
      </c>
      <c r="I114" s="168">
        <f>ROUND(E114*H114,2)</f>
        <v>0</v>
      </c>
      <c r="J114" s="167">
        <v>60.9</v>
      </c>
      <c r="K114" s="168">
        <f>ROUND(E114*J114,2)</f>
        <v>67451.320000000007</v>
      </c>
      <c r="L114" s="168">
        <v>21</v>
      </c>
      <c r="M114" s="168">
        <f>G114*(1+L114/100)</f>
        <v>0</v>
      </c>
      <c r="N114" s="168">
        <v>0</v>
      </c>
      <c r="O114" s="168">
        <f>ROUND(E114*N114,2)</f>
        <v>0</v>
      </c>
      <c r="P114" s="168">
        <v>0</v>
      </c>
      <c r="Q114" s="168">
        <f>ROUND(E114*P114,2)</f>
        <v>0</v>
      </c>
      <c r="R114" s="168" t="s">
        <v>111</v>
      </c>
      <c r="S114" s="168" t="s">
        <v>264</v>
      </c>
      <c r="T114" s="168" t="s">
        <v>264</v>
      </c>
      <c r="U114" s="155">
        <v>1.6E-2</v>
      </c>
      <c r="V114" s="155">
        <f>ROUND(E114*U114,2)</f>
        <v>17.72</v>
      </c>
      <c r="W114" s="155"/>
      <c r="X114" s="155" t="s">
        <v>138</v>
      </c>
      <c r="Y114" s="146"/>
      <c r="Z114" s="146"/>
      <c r="AA114" s="146"/>
      <c r="AB114" s="146"/>
      <c r="AC114" s="146"/>
      <c r="AD114" s="146"/>
      <c r="AE114" s="146"/>
      <c r="AF114" s="146"/>
      <c r="AG114" s="146" t="s">
        <v>139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outlineLevel="1" x14ac:dyDescent="0.25">
      <c r="A115" s="153"/>
      <c r="B115" s="154"/>
      <c r="C115" s="287"/>
      <c r="D115" s="288"/>
      <c r="E115" s="288"/>
      <c r="F115" s="288"/>
      <c r="G115" s="288"/>
      <c r="H115" s="155"/>
      <c r="I115" s="155"/>
      <c r="J115" s="155"/>
      <c r="K115" s="155"/>
      <c r="L115" s="155"/>
      <c r="M115" s="155"/>
      <c r="N115" s="155"/>
      <c r="O115" s="155"/>
      <c r="P115" s="155"/>
      <c r="Q115" s="155"/>
      <c r="R115" s="155"/>
      <c r="S115" s="155"/>
      <c r="T115" s="155"/>
      <c r="U115" s="155"/>
      <c r="V115" s="155"/>
      <c r="W115" s="155"/>
      <c r="X115" s="155"/>
      <c r="Y115" s="146"/>
      <c r="Z115" s="146"/>
      <c r="AA115" s="146"/>
      <c r="AB115" s="146"/>
      <c r="AC115" s="146"/>
      <c r="AD115" s="146"/>
      <c r="AE115" s="146"/>
      <c r="AF115" s="146"/>
      <c r="AG115" s="146" t="s">
        <v>94</v>
      </c>
      <c r="AH115" s="146"/>
      <c r="AI115" s="146"/>
      <c r="AJ115" s="146"/>
      <c r="AK115" s="146"/>
      <c r="AL115" s="146"/>
      <c r="AM115" s="146"/>
      <c r="AN115" s="146"/>
      <c r="AO115" s="146"/>
      <c r="AP115" s="146"/>
      <c r="AQ115" s="146"/>
      <c r="AR115" s="146"/>
      <c r="AS115" s="146"/>
      <c r="AT115" s="146"/>
      <c r="AU115" s="146"/>
      <c r="AV115" s="146"/>
      <c r="AW115" s="146"/>
      <c r="AX115" s="146"/>
      <c r="AY115" s="146"/>
      <c r="AZ115" s="146"/>
      <c r="BA115" s="146"/>
      <c r="BB115" s="146"/>
      <c r="BC115" s="146"/>
      <c r="BD115" s="146"/>
      <c r="BE115" s="146"/>
      <c r="BF115" s="146"/>
      <c r="BG115" s="146"/>
      <c r="BH115" s="146"/>
    </row>
    <row r="116" spans="1:60" x14ac:dyDescent="0.25">
      <c r="A116" s="157" t="s">
        <v>91</v>
      </c>
      <c r="B116" s="158" t="s">
        <v>60</v>
      </c>
      <c r="C116" s="173" t="s">
        <v>61</v>
      </c>
      <c r="D116" s="159"/>
      <c r="E116" s="160"/>
      <c r="F116" s="161"/>
      <c r="G116" s="161">
        <f>SUMIF(AG117:AG122,"&lt;&gt;NOR",G117:G122)</f>
        <v>0</v>
      </c>
      <c r="H116" s="161"/>
      <c r="I116" s="161">
        <f>SUM(I117:I122)</f>
        <v>0</v>
      </c>
      <c r="J116" s="161"/>
      <c r="K116" s="161">
        <f>SUM(K117:K122)</f>
        <v>1770292.5499999998</v>
      </c>
      <c r="L116" s="161"/>
      <c r="M116" s="161">
        <f>SUM(M117:M122)</f>
        <v>0</v>
      </c>
      <c r="N116" s="161"/>
      <c r="O116" s="161">
        <f>SUM(O117:O122)</f>
        <v>0</v>
      </c>
      <c r="P116" s="161"/>
      <c r="Q116" s="161">
        <f>SUM(Q117:Q122)</f>
        <v>0</v>
      </c>
      <c r="R116" s="161"/>
      <c r="S116" s="161"/>
      <c r="T116" s="162"/>
      <c r="U116" s="156"/>
      <c r="V116" s="156">
        <f>SUM(V117:V122)</f>
        <v>548.91</v>
      </c>
      <c r="W116" s="156"/>
      <c r="X116" s="156"/>
      <c r="Z116" s="84"/>
      <c r="AG116" t="s">
        <v>92</v>
      </c>
    </row>
    <row r="117" spans="1:60" outlineLevel="1" x14ac:dyDescent="0.25">
      <c r="A117" s="163">
        <v>43</v>
      </c>
      <c r="B117" s="164" t="s">
        <v>286</v>
      </c>
      <c r="C117" s="174" t="s">
        <v>287</v>
      </c>
      <c r="D117" s="165" t="s">
        <v>132</v>
      </c>
      <c r="E117" s="166">
        <f>E12*2+E14*0.05*2.5+E16*0.4*0.3*2</f>
        <v>1886.3</v>
      </c>
      <c r="F117" s="167"/>
      <c r="G117" s="168">
        <f>ROUND(E117*F117,2)</f>
        <v>0</v>
      </c>
      <c r="H117" s="167">
        <v>0</v>
      </c>
      <c r="I117" s="168">
        <f>ROUND(E117*H117,2)</f>
        <v>0</v>
      </c>
      <c r="J117" s="167">
        <v>406.5</v>
      </c>
      <c r="K117" s="168">
        <f>ROUND(E117*J117,2)</f>
        <v>766780.95</v>
      </c>
      <c r="L117" s="168">
        <v>21</v>
      </c>
      <c r="M117" s="168">
        <f>G117*(1+L117/100)</f>
        <v>0</v>
      </c>
      <c r="N117" s="168">
        <v>0</v>
      </c>
      <c r="O117" s="168">
        <f>ROUND(E117*N117,2)</f>
        <v>0</v>
      </c>
      <c r="P117" s="168">
        <v>0</v>
      </c>
      <c r="Q117" s="168">
        <f>ROUND(E117*P117,2)</f>
        <v>0</v>
      </c>
      <c r="R117" s="168"/>
      <c r="S117" s="168" t="s">
        <v>264</v>
      </c>
      <c r="T117" s="168" t="s">
        <v>264</v>
      </c>
      <c r="U117" s="155">
        <v>0.29099999999999998</v>
      </c>
      <c r="V117" s="155">
        <f>ROUND(E117*U117,2)</f>
        <v>548.91</v>
      </c>
      <c r="W117" s="155"/>
      <c r="X117" s="155" t="s">
        <v>141</v>
      </c>
      <c r="Y117" s="182"/>
      <c r="Z117" s="146"/>
      <c r="AA117" s="146"/>
      <c r="AB117" s="146"/>
      <c r="AC117" s="146"/>
      <c r="AD117" s="146"/>
      <c r="AE117" s="146"/>
      <c r="AF117" s="146"/>
      <c r="AG117" s="146" t="s">
        <v>142</v>
      </c>
      <c r="AH117" s="146"/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outlineLevel="1" x14ac:dyDescent="0.25">
      <c r="A118" s="153"/>
      <c r="B118" s="154"/>
      <c r="C118" s="289"/>
      <c r="D118" s="290"/>
      <c r="E118" s="290"/>
      <c r="F118" s="290"/>
      <c r="G118" s="290"/>
      <c r="H118" s="155"/>
      <c r="I118" s="155"/>
      <c r="J118" s="155"/>
      <c r="K118" s="155"/>
      <c r="L118" s="155"/>
      <c r="M118" s="155"/>
      <c r="N118" s="155"/>
      <c r="O118" s="155"/>
      <c r="P118" s="155"/>
      <c r="Q118" s="155"/>
      <c r="R118" s="155"/>
      <c r="S118" s="155"/>
      <c r="T118" s="155"/>
      <c r="U118" s="155"/>
      <c r="V118" s="155"/>
      <c r="W118" s="155"/>
      <c r="X118" s="155"/>
      <c r="Y118" s="146"/>
      <c r="Z118" s="146"/>
      <c r="AA118" s="146"/>
      <c r="AB118" s="146"/>
      <c r="AC118" s="146"/>
      <c r="AD118" s="146"/>
      <c r="AE118" s="146"/>
      <c r="AF118" s="146"/>
      <c r="AG118" s="146" t="s">
        <v>94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1" x14ac:dyDescent="0.25">
      <c r="A119" s="163">
        <v>44</v>
      </c>
      <c r="B119" s="164" t="s">
        <v>288</v>
      </c>
      <c r="C119" s="174" t="s">
        <v>289</v>
      </c>
      <c r="D119" s="165" t="s">
        <v>132</v>
      </c>
      <c r="E119" s="166">
        <f>E117*8</f>
        <v>15090.4</v>
      </c>
      <c r="F119" s="167"/>
      <c r="G119" s="168">
        <f>ROUND(E119*F119,2)</f>
        <v>0</v>
      </c>
      <c r="H119" s="167">
        <v>0</v>
      </c>
      <c r="I119" s="168">
        <f>ROUND(E119*H119,2)</f>
        <v>0</v>
      </c>
      <c r="J119" s="167">
        <v>29</v>
      </c>
      <c r="K119" s="168">
        <f>ROUND(E119*J119,2)</f>
        <v>437621.6</v>
      </c>
      <c r="L119" s="168">
        <v>21</v>
      </c>
      <c r="M119" s="168">
        <f>G119*(1+L119/100)</f>
        <v>0</v>
      </c>
      <c r="N119" s="168">
        <v>0</v>
      </c>
      <c r="O119" s="168">
        <f>ROUND(E119*N119,2)</f>
        <v>0</v>
      </c>
      <c r="P119" s="168">
        <v>0</v>
      </c>
      <c r="Q119" s="212">
        <f>ROUND(E119*P119,2)</f>
        <v>0</v>
      </c>
      <c r="R119" s="168" t="s">
        <v>111</v>
      </c>
      <c r="S119" s="168" t="s">
        <v>264</v>
      </c>
      <c r="T119" s="168" t="s">
        <v>264</v>
      </c>
      <c r="U119" s="155"/>
      <c r="V119" s="155"/>
      <c r="W119" s="155"/>
      <c r="X119" s="155"/>
      <c r="Y119" s="146"/>
      <c r="Z119" s="146"/>
      <c r="AA119" s="146"/>
      <c r="AB119" s="146"/>
      <c r="AC119" s="146"/>
      <c r="AD119" s="146"/>
      <c r="AE119" s="146"/>
      <c r="AF119" s="146"/>
      <c r="AG119" s="146"/>
      <c r="AH119" s="146"/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outlineLevel="1" x14ac:dyDescent="0.25">
      <c r="A120" s="153"/>
      <c r="B120" s="154"/>
      <c r="C120" s="293"/>
      <c r="D120" s="293"/>
      <c r="E120" s="293"/>
      <c r="F120" s="293"/>
      <c r="G120" s="293"/>
      <c r="H120" s="155"/>
      <c r="I120" s="155"/>
      <c r="J120" s="155"/>
      <c r="K120" s="155"/>
      <c r="L120" s="155"/>
      <c r="M120" s="155"/>
      <c r="N120" s="155"/>
      <c r="O120" s="155"/>
      <c r="P120" s="155"/>
      <c r="Q120" s="155"/>
      <c r="R120" s="155"/>
      <c r="S120" s="155"/>
      <c r="T120" s="155"/>
      <c r="U120" s="155"/>
      <c r="V120" s="155"/>
      <c r="W120" s="155"/>
      <c r="X120" s="155"/>
      <c r="Y120" s="146"/>
      <c r="Z120" s="146"/>
      <c r="AA120" s="146"/>
      <c r="AB120" s="146"/>
      <c r="AC120" s="146"/>
      <c r="AD120" s="146"/>
      <c r="AE120" s="146"/>
      <c r="AF120" s="146"/>
      <c r="AG120" s="146"/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1" x14ac:dyDescent="0.25">
      <c r="A121" s="163">
        <v>45</v>
      </c>
      <c r="B121" s="164" t="s">
        <v>162</v>
      </c>
      <c r="C121" s="174" t="s">
        <v>161</v>
      </c>
      <c r="D121" s="165" t="s">
        <v>132</v>
      </c>
      <c r="E121" s="166">
        <f>E117</f>
        <v>1886.3</v>
      </c>
      <c r="F121" s="167"/>
      <c r="G121" s="168">
        <f>ROUND(E121*F121,2)</f>
        <v>0</v>
      </c>
      <c r="H121" s="167">
        <v>0</v>
      </c>
      <c r="I121" s="168">
        <f>ROUND(E121*H121,2)</f>
        <v>0</v>
      </c>
      <c r="J121" s="167">
        <v>300</v>
      </c>
      <c r="K121" s="168">
        <f>ROUND(E121*J121,2)</f>
        <v>565890</v>
      </c>
      <c r="L121" s="168">
        <v>21</v>
      </c>
      <c r="M121" s="168">
        <f>G121*(1+L121/100)</f>
        <v>0</v>
      </c>
      <c r="N121" s="168">
        <v>0</v>
      </c>
      <c r="O121" s="168">
        <f>ROUND(E121*N121,2)</f>
        <v>0</v>
      </c>
      <c r="P121" s="168">
        <v>0</v>
      </c>
      <c r="Q121" s="168">
        <f>ROUND(E121*P121,2)</f>
        <v>0</v>
      </c>
      <c r="R121" s="168" t="s">
        <v>143</v>
      </c>
      <c r="S121" s="168" t="s">
        <v>264</v>
      </c>
      <c r="T121" s="168" t="s">
        <v>264</v>
      </c>
      <c r="U121" s="155">
        <v>0</v>
      </c>
      <c r="V121" s="155">
        <f>ROUND(E121*U121,2)</f>
        <v>0</v>
      </c>
      <c r="W121" s="155"/>
      <c r="X121" s="155" t="s">
        <v>141</v>
      </c>
      <c r="Y121" s="146"/>
      <c r="Z121" s="146"/>
      <c r="AA121" s="146"/>
      <c r="AB121" s="146"/>
      <c r="AC121" s="146"/>
      <c r="AD121" s="146"/>
      <c r="AE121" s="146"/>
      <c r="AF121" s="146"/>
      <c r="AG121" s="146" t="s">
        <v>142</v>
      </c>
      <c r="AH121" s="146"/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outlineLevel="1" x14ac:dyDescent="0.25">
      <c r="A122" s="153"/>
      <c r="B122" s="154"/>
      <c r="C122" s="289"/>
      <c r="D122" s="290"/>
      <c r="E122" s="290"/>
      <c r="F122" s="290"/>
      <c r="G122" s="290"/>
      <c r="H122" s="155"/>
      <c r="I122" s="155"/>
      <c r="J122" s="155"/>
      <c r="K122" s="155"/>
      <c r="L122" s="155"/>
      <c r="M122" s="155"/>
      <c r="N122" s="155"/>
      <c r="O122" s="155"/>
      <c r="P122" s="155"/>
      <c r="Q122" s="155"/>
      <c r="R122" s="155"/>
      <c r="S122" s="155"/>
      <c r="T122" s="155"/>
      <c r="U122" s="155"/>
      <c r="V122" s="155"/>
      <c r="W122" s="155"/>
      <c r="X122" s="155"/>
      <c r="Y122" s="146"/>
      <c r="Z122" s="146"/>
      <c r="AA122" s="146"/>
      <c r="AB122" s="146"/>
      <c r="AC122" s="146"/>
      <c r="AD122" s="146"/>
      <c r="AE122" s="146"/>
      <c r="AF122" s="146"/>
      <c r="AG122" s="146" t="s">
        <v>94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x14ac:dyDescent="0.25">
      <c r="A123" s="157" t="s">
        <v>91</v>
      </c>
      <c r="B123" s="158" t="s">
        <v>63</v>
      </c>
      <c r="C123" s="173" t="s">
        <v>26</v>
      </c>
      <c r="D123" s="159"/>
      <c r="E123" s="160"/>
      <c r="F123" s="161"/>
      <c r="G123" s="161">
        <f>G124+G126+G129+G131</f>
        <v>0</v>
      </c>
      <c r="H123" s="161"/>
      <c r="I123" s="161">
        <f>SUM(I126:I128)</f>
        <v>0</v>
      </c>
      <c r="J123" s="161"/>
      <c r="K123" s="161">
        <f>SUM(K126:K128)</f>
        <v>0</v>
      </c>
      <c r="L123" s="161"/>
      <c r="M123" s="161">
        <f>M124+M126+M129+M131</f>
        <v>0</v>
      </c>
      <c r="N123" s="161"/>
      <c r="O123" s="161">
        <f>SUM(O126:O128)</f>
        <v>0</v>
      </c>
      <c r="P123" s="161"/>
      <c r="Q123" s="161">
        <f>SUM(Q126:Q128)</f>
        <v>0</v>
      </c>
      <c r="R123" s="161"/>
      <c r="S123" s="161"/>
      <c r="T123" s="162"/>
      <c r="U123" s="156"/>
      <c r="V123" s="156">
        <f>SUM(V126:V128)</f>
        <v>0</v>
      </c>
      <c r="W123" s="156"/>
      <c r="X123" s="156"/>
      <c r="Z123" s="84"/>
      <c r="AG123" t="s">
        <v>92</v>
      </c>
    </row>
    <row r="124" spans="1:60" x14ac:dyDescent="0.25">
      <c r="A124" s="163">
        <v>46</v>
      </c>
      <c r="B124" s="164" t="s">
        <v>168</v>
      </c>
      <c r="C124" s="174" t="s">
        <v>106</v>
      </c>
      <c r="D124" s="165" t="s">
        <v>102</v>
      </c>
      <c r="E124" s="166">
        <v>1</v>
      </c>
      <c r="F124" s="167"/>
      <c r="G124" s="168">
        <f>ROUND(E124*F124,2)</f>
        <v>0</v>
      </c>
      <c r="H124" s="167">
        <v>0</v>
      </c>
      <c r="I124" s="168">
        <f>ROUND(E124*H124,2)</f>
        <v>0</v>
      </c>
      <c r="J124" s="167">
        <v>0</v>
      </c>
      <c r="K124" s="168">
        <f>ROUND(E124*J124,2)</f>
        <v>0</v>
      </c>
      <c r="L124" s="168">
        <v>21</v>
      </c>
      <c r="M124" s="168">
        <f>G124*(1+L124/100)</f>
        <v>0</v>
      </c>
      <c r="N124" s="168">
        <v>0</v>
      </c>
      <c r="O124" s="168">
        <f>ROUND(E124*N124,2)</f>
        <v>0</v>
      </c>
      <c r="P124" s="168">
        <v>0</v>
      </c>
      <c r="Q124" s="168">
        <f>ROUND(E124*P124,2)</f>
        <v>0</v>
      </c>
      <c r="R124" s="168"/>
      <c r="S124" s="168" t="s">
        <v>264</v>
      </c>
      <c r="T124" s="169" t="s">
        <v>103</v>
      </c>
      <c r="U124" s="156"/>
      <c r="V124" s="156"/>
      <c r="W124" s="156"/>
      <c r="X124" s="156"/>
    </row>
    <row r="125" spans="1:60" x14ac:dyDescent="0.25">
      <c r="A125" s="179"/>
      <c r="B125" s="180"/>
      <c r="C125" s="289"/>
      <c r="D125" s="290"/>
      <c r="E125" s="290"/>
      <c r="F125" s="290"/>
      <c r="G125" s="290"/>
      <c r="H125" s="181"/>
      <c r="I125" s="181"/>
      <c r="J125" s="181"/>
      <c r="K125" s="181"/>
      <c r="L125" s="181"/>
      <c r="M125" s="181"/>
      <c r="N125" s="181"/>
      <c r="O125" s="181"/>
      <c r="P125" s="181"/>
      <c r="Q125" s="181"/>
      <c r="R125" s="181"/>
      <c r="S125" s="181"/>
      <c r="T125" s="181"/>
      <c r="U125" s="156"/>
      <c r="V125" s="156"/>
      <c r="W125" s="156"/>
      <c r="X125" s="156"/>
    </row>
    <row r="126" spans="1:60" outlineLevel="1" x14ac:dyDescent="0.25">
      <c r="A126" s="163">
        <v>47</v>
      </c>
      <c r="B126" s="164" t="s">
        <v>144</v>
      </c>
      <c r="C126" s="174" t="s">
        <v>145</v>
      </c>
      <c r="D126" s="165" t="s">
        <v>102</v>
      </c>
      <c r="E126" s="166">
        <v>1</v>
      </c>
      <c r="F126" s="167"/>
      <c r="G126" s="168">
        <f>ROUND(E126*F126,2)</f>
        <v>0</v>
      </c>
      <c r="H126" s="167">
        <v>0</v>
      </c>
      <c r="I126" s="168">
        <f>ROUND(E126*H126,2)</f>
        <v>0</v>
      </c>
      <c r="J126" s="167">
        <v>0</v>
      </c>
      <c r="K126" s="168">
        <f>ROUND(E126*J126,2)</f>
        <v>0</v>
      </c>
      <c r="L126" s="168">
        <v>21</v>
      </c>
      <c r="M126" s="168">
        <f>G126*(1+L126/100)</f>
        <v>0</v>
      </c>
      <c r="N126" s="168">
        <v>0</v>
      </c>
      <c r="O126" s="168">
        <f>ROUND(E126*N126,2)</f>
        <v>0</v>
      </c>
      <c r="P126" s="168">
        <v>0</v>
      </c>
      <c r="Q126" s="168">
        <f>ROUND(E126*P126,2)</f>
        <v>0</v>
      </c>
      <c r="R126" s="168"/>
      <c r="S126" s="168" t="s">
        <v>264</v>
      </c>
      <c r="T126" s="169" t="s">
        <v>103</v>
      </c>
      <c r="U126" s="155">
        <v>0</v>
      </c>
      <c r="V126" s="155">
        <f>ROUND(E126*U126,2)</f>
        <v>0</v>
      </c>
      <c r="W126" s="155"/>
      <c r="X126" s="155" t="s">
        <v>104</v>
      </c>
      <c r="Y126" s="146"/>
      <c r="Z126" s="146"/>
      <c r="AA126" s="146"/>
      <c r="AB126" s="146"/>
      <c r="AC126" s="146"/>
      <c r="AD126" s="146"/>
      <c r="AE126" s="146"/>
      <c r="AF126" s="146"/>
      <c r="AG126" s="146" t="s">
        <v>105</v>
      </c>
      <c r="AH126" s="146"/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ht="21" outlineLevel="1" x14ac:dyDescent="0.25">
      <c r="A127" s="153"/>
      <c r="B127" s="154"/>
      <c r="C127" s="291" t="s">
        <v>146</v>
      </c>
      <c r="D127" s="292"/>
      <c r="E127" s="292"/>
      <c r="F127" s="292"/>
      <c r="G127" s="292"/>
      <c r="H127" s="155"/>
      <c r="I127" s="155"/>
      <c r="J127" s="155"/>
      <c r="K127" s="155"/>
      <c r="L127" s="155"/>
      <c r="M127" s="155"/>
      <c r="N127" s="155"/>
      <c r="O127" s="155"/>
      <c r="P127" s="155"/>
      <c r="Q127" s="155"/>
      <c r="R127" s="155"/>
      <c r="S127" s="155"/>
      <c r="T127" s="155"/>
      <c r="U127" s="155"/>
      <c r="V127" s="155"/>
      <c r="W127" s="155"/>
      <c r="X127" s="155"/>
      <c r="Y127" s="146"/>
      <c r="Z127" s="146"/>
      <c r="AA127" s="146"/>
      <c r="AB127" s="146"/>
      <c r="AC127" s="146"/>
      <c r="AD127" s="146"/>
      <c r="AE127" s="146"/>
      <c r="AF127" s="146"/>
      <c r="AG127" s="146" t="s">
        <v>107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71" t="str">
        <f>C127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27" s="146"/>
      <c r="BC127" s="146"/>
      <c r="BD127" s="146"/>
      <c r="BE127" s="146"/>
      <c r="BF127" s="146"/>
      <c r="BG127" s="146"/>
      <c r="BH127" s="146"/>
    </row>
    <row r="128" spans="1:60" outlineLevel="1" x14ac:dyDescent="0.25">
      <c r="A128" s="153"/>
      <c r="B128" s="154"/>
      <c r="C128" s="287"/>
      <c r="D128" s="288"/>
      <c r="E128" s="288"/>
      <c r="F128" s="288"/>
      <c r="G128" s="288"/>
      <c r="H128" s="155"/>
      <c r="I128" s="155"/>
      <c r="J128" s="155"/>
      <c r="K128" s="155"/>
      <c r="L128" s="155"/>
      <c r="M128" s="155"/>
      <c r="N128" s="155"/>
      <c r="O128" s="155"/>
      <c r="P128" s="155"/>
      <c r="Q128" s="155"/>
      <c r="R128" s="155"/>
      <c r="S128" s="155"/>
      <c r="T128" s="155"/>
      <c r="U128" s="155"/>
      <c r="V128" s="155"/>
      <c r="W128" s="155"/>
      <c r="X128" s="155"/>
      <c r="Y128" s="146"/>
      <c r="Z128" s="146"/>
      <c r="AA128" s="146"/>
      <c r="AB128" s="146"/>
      <c r="AC128" s="146"/>
      <c r="AD128" s="146"/>
      <c r="AE128" s="146"/>
      <c r="AF128" s="146"/>
      <c r="AG128" s="146" t="s">
        <v>94</v>
      </c>
      <c r="AH128" s="146"/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1" x14ac:dyDescent="0.25">
      <c r="A129" s="163">
        <v>48</v>
      </c>
      <c r="B129" s="164" t="s">
        <v>163</v>
      </c>
      <c r="C129" s="174" t="s">
        <v>101</v>
      </c>
      <c r="D129" s="165" t="s">
        <v>102</v>
      </c>
      <c r="E129" s="166">
        <v>1</v>
      </c>
      <c r="F129" s="167"/>
      <c r="G129" s="168">
        <f>ROUND(E129*F129,2)</f>
        <v>0</v>
      </c>
      <c r="H129" s="167">
        <v>0</v>
      </c>
      <c r="I129" s="168">
        <f>ROUND(E129*H129,2)</f>
        <v>0</v>
      </c>
      <c r="J129" s="167">
        <v>0</v>
      </c>
      <c r="K129" s="168">
        <f>ROUND(E129*J129,2)</f>
        <v>0</v>
      </c>
      <c r="L129" s="168">
        <v>21</v>
      </c>
      <c r="M129" s="168">
        <f>G129*(1+L129/100)</f>
        <v>0</v>
      </c>
      <c r="N129" s="168">
        <v>0</v>
      </c>
      <c r="O129" s="168">
        <f>ROUND(E129*N129,2)</f>
        <v>0</v>
      </c>
      <c r="P129" s="168">
        <v>0</v>
      </c>
      <c r="Q129" s="168">
        <f>ROUND(E129*P129,2)</f>
        <v>0</v>
      </c>
      <c r="R129" s="168"/>
      <c r="S129" s="168" t="s">
        <v>264</v>
      </c>
      <c r="T129" s="169" t="s">
        <v>103</v>
      </c>
      <c r="U129" s="155"/>
      <c r="V129" s="155"/>
      <c r="W129" s="155"/>
      <c r="X129" s="155"/>
      <c r="Y129" s="146"/>
      <c r="Z129" s="146"/>
      <c r="AA129" s="146"/>
      <c r="AB129" s="146"/>
      <c r="AC129" s="146"/>
      <c r="AD129" s="146"/>
      <c r="AE129" s="146"/>
      <c r="AF129" s="146"/>
      <c r="AG129" s="146"/>
      <c r="AH129" s="146"/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5">
      <c r="A130" s="153"/>
      <c r="B130" s="154"/>
      <c r="C130" s="289"/>
      <c r="D130" s="290"/>
      <c r="E130" s="290"/>
      <c r="F130" s="290"/>
      <c r="G130" s="290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5"/>
      <c r="Y130" s="146"/>
      <c r="Z130" s="146"/>
      <c r="AA130" s="146"/>
      <c r="AB130" s="146"/>
      <c r="AC130" s="146"/>
      <c r="AD130" s="146"/>
      <c r="AE130" s="146"/>
      <c r="AF130" s="146"/>
      <c r="AG130" s="146"/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5">
      <c r="A131" s="163">
        <v>49</v>
      </c>
      <c r="B131" s="164" t="s">
        <v>108</v>
      </c>
      <c r="C131" s="174" t="s">
        <v>109</v>
      </c>
      <c r="D131" s="165" t="s">
        <v>102</v>
      </c>
      <c r="E131" s="166">
        <v>1</v>
      </c>
      <c r="F131" s="167"/>
      <c r="G131" s="168">
        <f>ROUND(E131*F131,2)</f>
        <v>0</v>
      </c>
      <c r="H131" s="167">
        <v>0</v>
      </c>
      <c r="I131" s="168">
        <f>ROUND(E131*H131,2)</f>
        <v>0</v>
      </c>
      <c r="J131" s="167">
        <v>0</v>
      </c>
      <c r="K131" s="168">
        <f>ROUND(E131*J131,2)</f>
        <v>0</v>
      </c>
      <c r="L131" s="168">
        <v>21</v>
      </c>
      <c r="M131" s="168">
        <f>G131*(1+L131/100)</f>
        <v>0</v>
      </c>
      <c r="N131" s="168">
        <v>0</v>
      </c>
      <c r="O131" s="168">
        <f>ROUND(E131*N131,2)</f>
        <v>0</v>
      </c>
      <c r="P131" s="168">
        <v>0</v>
      </c>
      <c r="Q131" s="168">
        <f>ROUND(E131*P131,2)</f>
        <v>0</v>
      </c>
      <c r="R131" s="168"/>
      <c r="S131" s="168" t="s">
        <v>264</v>
      </c>
      <c r="T131" s="169" t="s">
        <v>103</v>
      </c>
      <c r="U131" s="155"/>
      <c r="V131" s="155"/>
      <c r="W131" s="155"/>
      <c r="X131" s="155"/>
      <c r="Y131" s="146"/>
      <c r="Z131" s="146"/>
      <c r="AA131" s="146"/>
      <c r="AB131" s="146"/>
      <c r="AC131" s="146"/>
      <c r="AD131" s="146"/>
      <c r="AE131" s="146"/>
      <c r="AF131" s="146"/>
      <c r="AG131" s="146"/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ht="22.5" customHeight="1" outlineLevel="1" x14ac:dyDescent="0.25">
      <c r="A132" s="153"/>
      <c r="B132" s="154"/>
      <c r="C132" s="291" t="s">
        <v>110</v>
      </c>
      <c r="D132" s="292"/>
      <c r="E132" s="292"/>
      <c r="F132" s="292"/>
      <c r="G132" s="292"/>
      <c r="H132" s="155"/>
      <c r="I132" s="155"/>
      <c r="J132" s="155"/>
      <c r="K132" s="155"/>
      <c r="L132" s="155"/>
      <c r="M132" s="155"/>
      <c r="N132" s="155"/>
      <c r="O132" s="155"/>
      <c r="P132" s="155"/>
      <c r="Q132" s="155"/>
      <c r="R132" s="155"/>
      <c r="S132" s="155"/>
      <c r="T132" s="155"/>
      <c r="U132" s="155"/>
      <c r="V132" s="155"/>
      <c r="W132" s="155"/>
      <c r="X132" s="155"/>
      <c r="Y132" s="146"/>
      <c r="Z132" s="146"/>
      <c r="AA132" s="146"/>
      <c r="AB132" s="146"/>
      <c r="AC132" s="146"/>
      <c r="AD132" s="146"/>
      <c r="AE132" s="146"/>
      <c r="AF132" s="146"/>
      <c r="AG132" s="146"/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1" x14ac:dyDescent="0.25">
      <c r="A133" s="153"/>
      <c r="B133" s="154"/>
      <c r="C133" s="175"/>
      <c r="D133" s="170"/>
      <c r="E133" s="170"/>
      <c r="F133" s="170"/>
      <c r="G133" s="170"/>
      <c r="H133" s="155"/>
      <c r="I133" s="155"/>
      <c r="J133" s="155"/>
      <c r="K133" s="155"/>
      <c r="L133" s="155"/>
      <c r="M133" s="155"/>
      <c r="N133" s="155"/>
      <c r="O133" s="155"/>
      <c r="P133" s="155"/>
      <c r="Q133" s="155"/>
      <c r="R133" s="155"/>
      <c r="S133" s="155"/>
      <c r="T133" s="155"/>
      <c r="U133" s="155"/>
      <c r="V133" s="155"/>
      <c r="W133" s="155"/>
      <c r="X133" s="155"/>
      <c r="Y133" s="146"/>
      <c r="Z133" s="146"/>
      <c r="AA133" s="146"/>
      <c r="AB133" s="146"/>
      <c r="AC133" s="146"/>
      <c r="AD133" s="146"/>
      <c r="AE133" s="146"/>
      <c r="AF133" s="146"/>
      <c r="AG133" s="146"/>
      <c r="AH133" s="146"/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x14ac:dyDescent="0.25">
      <c r="A134" s="157" t="s">
        <v>91</v>
      </c>
      <c r="B134" s="158" t="s">
        <v>64</v>
      </c>
      <c r="C134" s="173" t="s">
        <v>27</v>
      </c>
      <c r="D134" s="159"/>
      <c r="E134" s="160"/>
      <c r="F134" s="161"/>
      <c r="G134" s="161">
        <f>SUMIF(AG135:AG143,"&lt;&gt;NOR",G135:G143)</f>
        <v>0</v>
      </c>
      <c r="H134" s="161"/>
      <c r="I134" s="161">
        <f>SUM(I135:I143)</f>
        <v>0</v>
      </c>
      <c r="J134" s="161"/>
      <c r="K134" s="161">
        <f>SUM(K135:K143)</f>
        <v>0</v>
      </c>
      <c r="L134" s="161"/>
      <c r="M134" s="161">
        <f>SUM(M135:M143)</f>
        <v>0</v>
      </c>
      <c r="N134" s="161"/>
      <c r="O134" s="161">
        <f>SUM(O135:O143)</f>
        <v>0</v>
      </c>
      <c r="P134" s="161"/>
      <c r="Q134" s="161">
        <f>SUM(Q135:Q143)</f>
        <v>0</v>
      </c>
      <c r="R134" s="161"/>
      <c r="S134" s="161"/>
      <c r="T134" s="162"/>
      <c r="U134" s="156"/>
      <c r="V134" s="156">
        <f>SUM(V135:V143)</f>
        <v>0</v>
      </c>
      <c r="W134" s="156"/>
      <c r="X134" s="156"/>
      <c r="AG134" t="s">
        <v>92</v>
      </c>
    </row>
    <row r="135" spans="1:60" outlineLevel="1" x14ac:dyDescent="0.25">
      <c r="A135" s="163">
        <v>50</v>
      </c>
      <c r="B135" s="164" t="s">
        <v>147</v>
      </c>
      <c r="C135" s="174" t="s">
        <v>148</v>
      </c>
      <c r="D135" s="165" t="s">
        <v>102</v>
      </c>
      <c r="E135" s="166">
        <v>1</v>
      </c>
      <c r="F135" s="167"/>
      <c r="G135" s="168">
        <f>ROUND(E135*F135,2)</f>
        <v>0</v>
      </c>
      <c r="H135" s="167">
        <v>0</v>
      </c>
      <c r="I135" s="168">
        <f>ROUND(E135*H135,2)</f>
        <v>0</v>
      </c>
      <c r="J135" s="167">
        <v>0</v>
      </c>
      <c r="K135" s="168">
        <f>ROUND(E135*J135,2)</f>
        <v>0</v>
      </c>
      <c r="L135" s="168">
        <v>21</v>
      </c>
      <c r="M135" s="168">
        <f>G135*(1+L135/100)</f>
        <v>0</v>
      </c>
      <c r="N135" s="168">
        <v>0</v>
      </c>
      <c r="O135" s="168">
        <f>ROUND(E135*N135,2)</f>
        <v>0</v>
      </c>
      <c r="P135" s="168">
        <v>0</v>
      </c>
      <c r="Q135" s="168">
        <f>ROUND(E135*P135,2)</f>
        <v>0</v>
      </c>
      <c r="R135" s="168"/>
      <c r="S135" s="168" t="s">
        <v>264</v>
      </c>
      <c r="T135" s="169" t="s">
        <v>103</v>
      </c>
      <c r="U135" s="155">
        <v>0</v>
      </c>
      <c r="V135" s="155">
        <f>ROUND(E135*U135,2)</f>
        <v>0</v>
      </c>
      <c r="W135" s="155"/>
      <c r="X135" s="155" t="s">
        <v>104</v>
      </c>
      <c r="Y135" s="182"/>
      <c r="Z135" s="146"/>
      <c r="AA135" s="146"/>
      <c r="AB135" s="146"/>
      <c r="AC135" s="146"/>
      <c r="AD135" s="146"/>
      <c r="AE135" s="146"/>
      <c r="AF135" s="146"/>
      <c r="AG135" s="146" t="s">
        <v>105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33.75" customHeight="1" outlineLevel="1" x14ac:dyDescent="0.25">
      <c r="A136" s="153"/>
      <c r="B136" s="154"/>
      <c r="C136" s="291" t="s">
        <v>164</v>
      </c>
      <c r="D136" s="292"/>
      <c r="E136" s="292"/>
      <c r="F136" s="292"/>
      <c r="G136" s="292"/>
      <c r="H136" s="155"/>
      <c r="I136" s="155"/>
      <c r="J136" s="155"/>
      <c r="K136" s="155"/>
      <c r="L136" s="155"/>
      <c r="M136" s="155"/>
      <c r="N136" s="155"/>
      <c r="O136" s="155"/>
      <c r="P136" s="155"/>
      <c r="Q136" s="155"/>
      <c r="R136" s="155"/>
      <c r="S136" s="155"/>
      <c r="T136" s="155"/>
      <c r="U136" s="155"/>
      <c r="V136" s="155"/>
      <c r="W136" s="155"/>
      <c r="X136" s="155"/>
      <c r="Y136" s="146"/>
      <c r="Z136" s="146"/>
      <c r="AA136" s="146"/>
      <c r="AB136" s="146"/>
      <c r="AC136" s="146"/>
      <c r="AD136" s="146"/>
      <c r="AE136" s="146"/>
      <c r="AF136" s="146"/>
      <c r="AG136" s="146" t="s">
        <v>107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71" t="str">
        <f>C136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36" s="146"/>
      <c r="BC136" s="146"/>
      <c r="BD136" s="146"/>
      <c r="BE136" s="146"/>
      <c r="BF136" s="146"/>
      <c r="BG136" s="146"/>
      <c r="BH136" s="146"/>
    </row>
    <row r="137" spans="1:60" outlineLevel="1" x14ac:dyDescent="0.25">
      <c r="A137" s="153"/>
      <c r="B137" s="154"/>
      <c r="C137" s="287"/>
      <c r="D137" s="288"/>
      <c r="E137" s="288"/>
      <c r="F137" s="288"/>
      <c r="G137" s="288"/>
      <c r="H137" s="155"/>
      <c r="I137" s="155"/>
      <c r="J137" s="155"/>
      <c r="K137" s="155"/>
      <c r="L137" s="155"/>
      <c r="M137" s="155"/>
      <c r="N137" s="155"/>
      <c r="O137" s="155"/>
      <c r="P137" s="155"/>
      <c r="Q137" s="155"/>
      <c r="R137" s="155"/>
      <c r="S137" s="155"/>
      <c r="T137" s="155"/>
      <c r="U137" s="155"/>
      <c r="V137" s="155"/>
      <c r="W137" s="155"/>
      <c r="X137" s="155"/>
      <c r="Y137" s="146"/>
      <c r="Z137" s="146"/>
      <c r="AA137" s="146"/>
      <c r="AB137" s="146"/>
      <c r="AC137" s="146"/>
      <c r="AD137" s="146"/>
      <c r="AE137" s="146"/>
      <c r="AF137" s="146"/>
      <c r="AG137" s="146" t="s">
        <v>94</v>
      </c>
      <c r="AH137" s="146"/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1" x14ac:dyDescent="0.25">
      <c r="A138" s="163">
        <v>51</v>
      </c>
      <c r="B138" s="164" t="s">
        <v>149</v>
      </c>
      <c r="C138" s="174" t="s">
        <v>150</v>
      </c>
      <c r="D138" s="165" t="s">
        <v>102</v>
      </c>
      <c r="E138" s="166">
        <v>1</v>
      </c>
      <c r="F138" s="167"/>
      <c r="G138" s="168">
        <f>ROUND(E138*F138,2)</f>
        <v>0</v>
      </c>
      <c r="H138" s="167">
        <v>0</v>
      </c>
      <c r="I138" s="168">
        <f>ROUND(E138*H138,2)</f>
        <v>0</v>
      </c>
      <c r="J138" s="167">
        <v>0</v>
      </c>
      <c r="K138" s="168">
        <f>ROUND(E138*J138,2)</f>
        <v>0</v>
      </c>
      <c r="L138" s="168">
        <v>21</v>
      </c>
      <c r="M138" s="168">
        <f>G138*(1+L138/100)</f>
        <v>0</v>
      </c>
      <c r="N138" s="168">
        <v>0</v>
      </c>
      <c r="O138" s="168">
        <f>ROUND(E138*N138,2)</f>
        <v>0</v>
      </c>
      <c r="P138" s="168">
        <v>0</v>
      </c>
      <c r="Q138" s="168">
        <f>ROUND(E138*P138,2)</f>
        <v>0</v>
      </c>
      <c r="R138" s="168"/>
      <c r="S138" s="168" t="s">
        <v>264</v>
      </c>
      <c r="T138" s="169" t="s">
        <v>103</v>
      </c>
      <c r="U138" s="155">
        <v>0</v>
      </c>
      <c r="V138" s="155">
        <f>ROUND(E138*U138,2)</f>
        <v>0</v>
      </c>
      <c r="W138" s="155"/>
      <c r="X138" s="155" t="s">
        <v>104</v>
      </c>
      <c r="Y138" s="146"/>
      <c r="Z138" s="146"/>
      <c r="AA138" s="146"/>
      <c r="AB138" s="146"/>
      <c r="AC138" s="146"/>
      <c r="AD138" s="146"/>
      <c r="AE138" s="146"/>
      <c r="AF138" s="146"/>
      <c r="AG138" s="146" t="s">
        <v>105</v>
      </c>
      <c r="AH138" s="146"/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1" x14ac:dyDescent="0.25">
      <c r="A139" s="153"/>
      <c r="B139" s="154"/>
      <c r="C139" s="291" t="s">
        <v>151</v>
      </c>
      <c r="D139" s="292"/>
      <c r="E139" s="292"/>
      <c r="F139" s="292"/>
      <c r="G139" s="292"/>
      <c r="H139" s="155"/>
      <c r="I139" s="155"/>
      <c r="J139" s="155"/>
      <c r="K139" s="155"/>
      <c r="L139" s="155"/>
      <c r="M139" s="155"/>
      <c r="N139" s="155"/>
      <c r="O139" s="155"/>
      <c r="P139" s="155"/>
      <c r="Q139" s="155"/>
      <c r="R139" s="155"/>
      <c r="S139" s="155"/>
      <c r="T139" s="155"/>
      <c r="U139" s="155"/>
      <c r="V139" s="155"/>
      <c r="W139" s="155"/>
      <c r="X139" s="155"/>
      <c r="Y139" s="146"/>
      <c r="Z139" s="146"/>
      <c r="AA139" s="146"/>
      <c r="AB139" s="146"/>
      <c r="AC139" s="146"/>
      <c r="AD139" s="146"/>
      <c r="AE139" s="146"/>
      <c r="AF139" s="146"/>
      <c r="AG139" s="146" t="s">
        <v>107</v>
      </c>
      <c r="AH139" s="146"/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71" t="str">
        <f>C139</f>
        <v>Náklady na vyhotovení dokumentace skutečného provedení stavby a její předání objednateli v požadované formě a požadovaném počtu.</v>
      </c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5">
      <c r="A140" s="153"/>
      <c r="B140" s="154"/>
      <c r="C140" s="287"/>
      <c r="D140" s="288"/>
      <c r="E140" s="288"/>
      <c r="F140" s="288"/>
      <c r="G140" s="288"/>
      <c r="H140" s="155"/>
      <c r="I140" s="155"/>
      <c r="J140" s="155"/>
      <c r="K140" s="155"/>
      <c r="L140" s="155"/>
      <c r="M140" s="155"/>
      <c r="N140" s="155"/>
      <c r="O140" s="155"/>
      <c r="P140" s="155"/>
      <c r="Q140" s="155"/>
      <c r="R140" s="155"/>
      <c r="S140" s="155"/>
      <c r="T140" s="155"/>
      <c r="U140" s="155"/>
      <c r="V140" s="155"/>
      <c r="W140" s="155"/>
      <c r="X140" s="155"/>
      <c r="Y140" s="146"/>
      <c r="Z140" s="146"/>
      <c r="AA140" s="146"/>
      <c r="AB140" s="146"/>
      <c r="AC140" s="146"/>
      <c r="AD140" s="146"/>
      <c r="AE140" s="146"/>
      <c r="AF140" s="146"/>
      <c r="AG140" s="146" t="s">
        <v>94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1" x14ac:dyDescent="0.25">
      <c r="A141" s="163">
        <v>52</v>
      </c>
      <c r="B141" s="164" t="s">
        <v>152</v>
      </c>
      <c r="C141" s="174" t="s">
        <v>153</v>
      </c>
      <c r="D141" s="165" t="s">
        <v>102</v>
      </c>
      <c r="E141" s="166">
        <v>1</v>
      </c>
      <c r="F141" s="167"/>
      <c r="G141" s="168">
        <f>ROUND(E141*F141,2)</f>
        <v>0</v>
      </c>
      <c r="H141" s="167">
        <v>0</v>
      </c>
      <c r="I141" s="168">
        <f>ROUND(E141*H141,2)</f>
        <v>0</v>
      </c>
      <c r="J141" s="167">
        <v>0</v>
      </c>
      <c r="K141" s="168">
        <f>ROUND(E141*J141,2)</f>
        <v>0</v>
      </c>
      <c r="L141" s="168">
        <v>21</v>
      </c>
      <c r="M141" s="168">
        <f>G141*(1+L141/100)</f>
        <v>0</v>
      </c>
      <c r="N141" s="168">
        <v>0</v>
      </c>
      <c r="O141" s="168">
        <f>ROUND(E141*N141,2)</f>
        <v>0</v>
      </c>
      <c r="P141" s="168">
        <v>0</v>
      </c>
      <c r="Q141" s="168">
        <f>ROUND(E141*P141,2)</f>
        <v>0</v>
      </c>
      <c r="R141" s="168"/>
      <c r="S141" s="168" t="s">
        <v>264</v>
      </c>
      <c r="T141" s="169" t="s">
        <v>103</v>
      </c>
      <c r="U141" s="155">
        <v>0</v>
      </c>
      <c r="V141" s="155">
        <f>ROUND(E141*U141,2)</f>
        <v>0</v>
      </c>
      <c r="W141" s="155"/>
      <c r="X141" s="155" t="s">
        <v>104</v>
      </c>
      <c r="Y141" s="146"/>
      <c r="Z141" s="146"/>
      <c r="AA141" s="146"/>
      <c r="AB141" s="146"/>
      <c r="AC141" s="146"/>
      <c r="AD141" s="146"/>
      <c r="AE141" s="146"/>
      <c r="AF141" s="146"/>
      <c r="AG141" s="146" t="s">
        <v>105</v>
      </c>
      <c r="AH141" s="146"/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ht="13.95" customHeight="1" outlineLevel="1" x14ac:dyDescent="0.25">
      <c r="A142" s="153"/>
      <c r="B142" s="154"/>
      <c r="C142" s="291" t="s">
        <v>165</v>
      </c>
      <c r="D142" s="292"/>
      <c r="E142" s="292"/>
      <c r="F142" s="292"/>
      <c r="G142" s="292"/>
      <c r="H142" s="155"/>
      <c r="I142" s="155"/>
      <c r="J142" s="155"/>
      <c r="K142" s="155"/>
      <c r="L142" s="155"/>
      <c r="M142" s="155"/>
      <c r="N142" s="155"/>
      <c r="O142" s="155"/>
      <c r="P142" s="155"/>
      <c r="Q142" s="155"/>
      <c r="R142" s="155"/>
      <c r="S142" s="155"/>
      <c r="T142" s="155"/>
      <c r="U142" s="155"/>
      <c r="V142" s="155"/>
      <c r="W142" s="155"/>
      <c r="X142" s="155"/>
      <c r="Y142" s="146"/>
      <c r="Z142" s="146"/>
      <c r="AA142" s="146"/>
      <c r="AB142" s="146"/>
      <c r="AC142" s="146"/>
      <c r="AD142" s="146"/>
      <c r="AE142" s="146"/>
      <c r="AF142" s="146"/>
      <c r="AG142" s="146" t="s">
        <v>107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71" t="str">
        <f>C142</f>
        <v>Náklady spojené s povinnou publicitou. Zahrnuje zejména náklady na propagační a informační billboardy, tabule, internetovou propagaci, tiskoviny apod.</v>
      </c>
      <c r="BB142" s="146"/>
      <c r="BC142" s="146"/>
      <c r="BD142" s="146"/>
      <c r="BE142" s="146"/>
      <c r="BF142" s="146"/>
      <c r="BG142" s="146"/>
      <c r="BH142" s="146"/>
    </row>
    <row r="143" spans="1:60" outlineLevel="1" x14ac:dyDescent="0.25">
      <c r="A143" s="153"/>
      <c r="B143" s="154"/>
      <c r="C143" s="287"/>
      <c r="D143" s="288"/>
      <c r="E143" s="288"/>
      <c r="F143" s="288"/>
      <c r="G143" s="288"/>
      <c r="H143" s="155"/>
      <c r="I143" s="155"/>
      <c r="J143" s="155"/>
      <c r="K143" s="155"/>
      <c r="L143" s="155"/>
      <c r="M143" s="155"/>
      <c r="N143" s="155"/>
      <c r="O143" s="155"/>
      <c r="P143" s="155"/>
      <c r="Q143" s="155"/>
      <c r="R143" s="155"/>
      <c r="S143" s="155"/>
      <c r="T143" s="155"/>
      <c r="U143" s="155"/>
      <c r="V143" s="155"/>
      <c r="W143" s="155"/>
      <c r="X143" s="155"/>
      <c r="Y143" s="146"/>
      <c r="Z143" s="146"/>
      <c r="AA143" s="146"/>
      <c r="AB143" s="146"/>
      <c r="AC143" s="146"/>
      <c r="AD143" s="146"/>
      <c r="AE143" s="146"/>
      <c r="AF143" s="146"/>
      <c r="AG143" s="146" t="s">
        <v>94</v>
      </c>
      <c r="AH143" s="146"/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x14ac:dyDescent="0.25">
      <c r="A144" s="3"/>
      <c r="B144" s="4"/>
      <c r="C144" s="176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AE144">
        <v>15</v>
      </c>
      <c r="AF144">
        <v>21</v>
      </c>
      <c r="AG144" t="s">
        <v>78</v>
      </c>
    </row>
    <row r="145" spans="1:33" x14ac:dyDescent="0.25">
      <c r="A145" s="149"/>
      <c r="B145" s="150" t="s">
        <v>28</v>
      </c>
      <c r="C145" s="177"/>
      <c r="D145" s="151"/>
      <c r="E145" s="152"/>
      <c r="F145" s="152"/>
      <c r="G145" s="172">
        <f>G134+G123+G116+G109+G105+G74+G47+G8</f>
        <v>0</v>
      </c>
      <c r="H145" s="3"/>
      <c r="I145" s="3"/>
      <c r="J145" s="3"/>
      <c r="K145" s="3"/>
      <c r="L145" s="148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AE145">
        <f>SUMIF(L7:L143,AE144,G7:G143)</f>
        <v>0</v>
      </c>
      <c r="AF145">
        <f>SUMIF(L7:L143,AF144,G7:G143)</f>
        <v>0</v>
      </c>
      <c r="AG145" t="s">
        <v>154</v>
      </c>
    </row>
    <row r="146" spans="1:33" x14ac:dyDescent="0.25">
      <c r="C146" s="178"/>
      <c r="D146" s="10"/>
      <c r="AG146" t="s">
        <v>155</v>
      </c>
    </row>
    <row r="147" spans="1:33" x14ac:dyDescent="0.25">
      <c r="D147" s="10"/>
    </row>
    <row r="148" spans="1:33" x14ac:dyDescent="0.25">
      <c r="D148" s="10"/>
    </row>
    <row r="149" spans="1:33" x14ac:dyDescent="0.25">
      <c r="D149" s="10"/>
    </row>
    <row r="150" spans="1:33" x14ac:dyDescent="0.25">
      <c r="D150" s="10"/>
    </row>
    <row r="151" spans="1:33" x14ac:dyDescent="0.25">
      <c r="D151" s="10"/>
    </row>
    <row r="152" spans="1:33" x14ac:dyDescent="0.25">
      <c r="D152" s="10"/>
    </row>
    <row r="153" spans="1:33" x14ac:dyDescent="0.25">
      <c r="D153" s="10"/>
    </row>
    <row r="154" spans="1:33" x14ac:dyDescent="0.25">
      <c r="D154" s="10"/>
    </row>
    <row r="155" spans="1:33" x14ac:dyDescent="0.25">
      <c r="D155" s="10"/>
    </row>
    <row r="156" spans="1:33" x14ac:dyDescent="0.25">
      <c r="D156" s="10"/>
    </row>
    <row r="157" spans="1:33" x14ac:dyDescent="0.25">
      <c r="D157" s="10"/>
    </row>
    <row r="158" spans="1:33" x14ac:dyDescent="0.25">
      <c r="D158" s="10"/>
    </row>
    <row r="159" spans="1:33" x14ac:dyDescent="0.25">
      <c r="D159" s="10"/>
    </row>
    <row r="160" spans="1:33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</sheetData>
  <sheetProtection password="EA7D" sheet="1" objects="1" scenarios="1"/>
  <mergeCells count="56">
    <mergeCell ref="C97:G97"/>
    <mergeCell ref="C38:G38"/>
    <mergeCell ref="C39:G39"/>
    <mergeCell ref="C41:G41"/>
    <mergeCell ref="C77:G77"/>
    <mergeCell ref="C59:G59"/>
    <mergeCell ref="C101:G101"/>
    <mergeCell ref="C111:G111"/>
    <mergeCell ref="C103:G103"/>
    <mergeCell ref="C104:G104"/>
    <mergeCell ref="C108:G108"/>
    <mergeCell ref="C107:G107"/>
    <mergeCell ref="A1:G1"/>
    <mergeCell ref="C3:G3"/>
    <mergeCell ref="C25:G25"/>
    <mergeCell ref="C13:G13"/>
    <mergeCell ref="C15:G15"/>
    <mergeCell ref="C17:G17"/>
    <mergeCell ref="C10:G10"/>
    <mergeCell ref="C2:H2"/>
    <mergeCell ref="C4:H4"/>
    <mergeCell ref="C20:G20"/>
    <mergeCell ref="C23:G23"/>
    <mergeCell ref="C142:G142"/>
    <mergeCell ref="C143:G143"/>
    <mergeCell ref="C118:G118"/>
    <mergeCell ref="C122:G122"/>
    <mergeCell ref="C127:G127"/>
    <mergeCell ref="C128:G128"/>
    <mergeCell ref="C125:G125"/>
    <mergeCell ref="C130:G130"/>
    <mergeCell ref="C132:G132"/>
    <mergeCell ref="C136:G136"/>
    <mergeCell ref="C140:G140"/>
    <mergeCell ref="C120:G120"/>
    <mergeCell ref="C115:G115"/>
    <mergeCell ref="C137:G137"/>
    <mergeCell ref="C139:G139"/>
    <mergeCell ref="C113:G113"/>
    <mergeCell ref="C30:G30"/>
    <mergeCell ref="C31:G31"/>
    <mergeCell ref="C46:G46"/>
    <mergeCell ref="C69:G69"/>
    <mergeCell ref="C55:G55"/>
    <mergeCell ref="C66:G66"/>
    <mergeCell ref="C67:G67"/>
    <mergeCell ref="C93:G93"/>
    <mergeCell ref="C96:G96"/>
    <mergeCell ref="C80:G80"/>
    <mergeCell ref="C94:G94"/>
    <mergeCell ref="C63:G63"/>
    <mergeCell ref="C35:G35"/>
    <mergeCell ref="C53:G53"/>
    <mergeCell ref="C27:G27"/>
    <mergeCell ref="C49:G49"/>
    <mergeCell ref="C33:G33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H4936"/>
  <sheetViews>
    <sheetView tabSelected="1" workbookViewId="0">
      <pane ySplit="7" topLeftCell="A8" activePane="bottomLeft" state="frozen"/>
      <selection pane="bottomLeft" activeCell="F9" sqref="F9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0.109375" bestFit="1" customWidth="1"/>
    <col min="26" max="26" width="11.6640625" bestFit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94" t="s">
        <v>65</v>
      </c>
      <c r="B1" s="295"/>
      <c r="C1" s="295"/>
      <c r="D1" s="295"/>
      <c r="E1" s="295"/>
      <c r="F1" s="295"/>
      <c r="G1" s="295"/>
      <c r="H1" s="194"/>
      <c r="L1" s="198"/>
      <c r="AG1" t="s">
        <v>66</v>
      </c>
    </row>
    <row r="2" spans="1:60" ht="24.9" customHeight="1" x14ac:dyDescent="0.25">
      <c r="A2" s="195" t="s">
        <v>7</v>
      </c>
      <c r="B2" s="186" t="s">
        <v>255</v>
      </c>
      <c r="C2" s="299" t="s">
        <v>256</v>
      </c>
      <c r="D2" s="300"/>
      <c r="E2" s="300"/>
      <c r="F2" s="300"/>
      <c r="G2" s="300"/>
      <c r="H2" s="301"/>
      <c r="L2" s="198"/>
      <c r="AG2" t="s">
        <v>67</v>
      </c>
    </row>
    <row r="3" spans="1:60" ht="24.9" customHeight="1" x14ac:dyDescent="0.25">
      <c r="A3" s="195" t="s">
        <v>8</v>
      </c>
      <c r="B3" s="201" t="s">
        <v>341</v>
      </c>
      <c r="C3" s="296" t="s">
        <v>283</v>
      </c>
      <c r="D3" s="297"/>
      <c r="E3" s="297"/>
      <c r="F3" s="297"/>
      <c r="G3" s="298"/>
      <c r="H3" s="196"/>
      <c r="L3" s="198"/>
      <c r="AC3" s="123" t="s">
        <v>67</v>
      </c>
      <c r="AG3" t="s">
        <v>68</v>
      </c>
    </row>
    <row r="4" spans="1:60" ht="24.9" customHeight="1" x14ac:dyDescent="0.25">
      <c r="A4" s="197" t="s">
        <v>9</v>
      </c>
      <c r="B4" s="187" t="s">
        <v>255</v>
      </c>
      <c r="C4" s="302" t="s">
        <v>257</v>
      </c>
      <c r="D4" s="303"/>
      <c r="E4" s="303"/>
      <c r="F4" s="303"/>
      <c r="G4" s="303"/>
      <c r="H4" s="304"/>
      <c r="L4" s="198"/>
      <c r="AG4" t="s">
        <v>69</v>
      </c>
    </row>
    <row r="5" spans="1:60" x14ac:dyDescent="0.25">
      <c r="D5" s="10"/>
    </row>
    <row r="6" spans="1:60" ht="39.6" x14ac:dyDescent="0.25">
      <c r="A6" s="142" t="s">
        <v>70</v>
      </c>
      <c r="B6" s="144" t="s">
        <v>71</v>
      </c>
      <c r="C6" s="144" t="s">
        <v>72</v>
      </c>
      <c r="D6" s="143" t="s">
        <v>73</v>
      </c>
      <c r="E6" s="142" t="s">
        <v>74</v>
      </c>
      <c r="F6" s="141" t="s">
        <v>75</v>
      </c>
      <c r="G6" s="142" t="s">
        <v>28</v>
      </c>
      <c r="H6" s="145" t="s">
        <v>29</v>
      </c>
      <c r="I6" s="145" t="s">
        <v>76</v>
      </c>
      <c r="J6" s="145" t="s">
        <v>30</v>
      </c>
      <c r="K6" s="145" t="s">
        <v>77</v>
      </c>
      <c r="L6" s="145" t="s">
        <v>78</v>
      </c>
      <c r="M6" s="145" t="s">
        <v>79</v>
      </c>
      <c r="N6" s="145" t="s">
        <v>80</v>
      </c>
      <c r="O6" s="145" t="s">
        <v>81</v>
      </c>
      <c r="P6" s="145" t="s">
        <v>82</v>
      </c>
      <c r="Q6" s="145" t="s">
        <v>83</v>
      </c>
      <c r="R6" s="145" t="s">
        <v>84</v>
      </c>
      <c r="S6" s="145" t="s">
        <v>85</v>
      </c>
      <c r="T6" s="145" t="s">
        <v>86</v>
      </c>
      <c r="U6" s="145" t="s">
        <v>87</v>
      </c>
      <c r="V6" s="145" t="s">
        <v>88</v>
      </c>
      <c r="W6" s="145" t="s">
        <v>89</v>
      </c>
      <c r="X6" s="145" t="s">
        <v>90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5">
      <c r="A8" s="157" t="s">
        <v>91</v>
      </c>
      <c r="B8" s="158" t="s">
        <v>52</v>
      </c>
      <c r="C8" s="173" t="s">
        <v>53</v>
      </c>
      <c r="D8" s="159"/>
      <c r="E8" s="160"/>
      <c r="F8" s="161"/>
      <c r="G8" s="161">
        <f>SUMIF(AG9:AG47,"&lt;&gt;NOR",G9:G47)</f>
        <v>0</v>
      </c>
      <c r="H8" s="161"/>
      <c r="I8" s="161">
        <f>SUM(I9:I47)</f>
        <v>8847.7200000000012</v>
      </c>
      <c r="J8" s="161"/>
      <c r="K8" s="161">
        <f>SUM(K9:K47)</f>
        <v>415565.6</v>
      </c>
      <c r="L8" s="161"/>
      <c r="M8" s="161">
        <f>SUM(M9:M47)</f>
        <v>0</v>
      </c>
      <c r="N8" s="161"/>
      <c r="O8" s="161">
        <f>SUM(O9:O47)</f>
        <v>2.09</v>
      </c>
      <c r="P8" s="161"/>
      <c r="Q8" s="161">
        <f>SUM(Q9:Q47)</f>
        <v>130.84</v>
      </c>
      <c r="R8" s="161"/>
      <c r="S8" s="161"/>
      <c r="T8" s="162"/>
      <c r="U8" s="156"/>
      <c r="V8" s="156">
        <f>SUM(V9:V47)</f>
        <v>303.64</v>
      </c>
      <c r="W8" s="156"/>
      <c r="X8" s="156"/>
      <c r="Z8" s="84"/>
      <c r="AG8" t="s">
        <v>92</v>
      </c>
    </row>
    <row r="9" spans="1:60" outlineLevel="1" x14ac:dyDescent="0.25">
      <c r="A9" s="163">
        <v>1</v>
      </c>
      <c r="B9" s="164" t="s">
        <v>202</v>
      </c>
      <c r="C9" s="174" t="s">
        <v>290</v>
      </c>
      <c r="D9" s="165" t="s">
        <v>99</v>
      </c>
      <c r="E9" s="166">
        <v>320</v>
      </c>
      <c r="F9" s="167"/>
      <c r="G9" s="168">
        <f>ROUND(E9*F9,2)</f>
        <v>0</v>
      </c>
      <c r="H9" s="167">
        <v>0</v>
      </c>
      <c r="I9" s="168">
        <f>ROUND(E9*H9,2)</f>
        <v>0</v>
      </c>
      <c r="J9" s="167">
        <v>61.8</v>
      </c>
      <c r="K9" s="168">
        <f>ROUND(E9*J9,2)</f>
        <v>19776</v>
      </c>
      <c r="L9" s="168">
        <v>21</v>
      </c>
      <c r="M9" s="168">
        <f>G9*(1+L9/100)</f>
        <v>0</v>
      </c>
      <c r="N9" s="168">
        <v>0</v>
      </c>
      <c r="O9" s="168">
        <f>ROUND(E9*N9,2)</f>
        <v>0</v>
      </c>
      <c r="P9" s="168">
        <v>0.13800000000000001</v>
      </c>
      <c r="Q9" s="168">
        <f>ROUND(E9*P9,2)</f>
        <v>44.16</v>
      </c>
      <c r="R9" s="168" t="s">
        <v>111</v>
      </c>
      <c r="S9" s="168" t="s">
        <v>264</v>
      </c>
      <c r="T9" s="168" t="s">
        <v>264</v>
      </c>
      <c r="U9" s="155"/>
      <c r="V9" s="155"/>
      <c r="W9" s="155"/>
      <c r="X9" s="155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5">
      <c r="A10" s="153"/>
      <c r="B10" s="154"/>
      <c r="C10" s="285" t="s">
        <v>221</v>
      </c>
      <c r="D10" s="286"/>
      <c r="E10" s="286"/>
      <c r="F10" s="286"/>
      <c r="G10" s="286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53"/>
      <c r="B11" s="154"/>
      <c r="C11" s="175"/>
      <c r="D11" s="170"/>
      <c r="E11" s="170"/>
      <c r="F11" s="170"/>
      <c r="G11" s="170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22.95" customHeight="1" outlineLevel="1" x14ac:dyDescent="0.25">
      <c r="A12" s="163">
        <v>2</v>
      </c>
      <c r="B12" s="164" t="s">
        <v>259</v>
      </c>
      <c r="C12" s="174" t="s">
        <v>258</v>
      </c>
      <c r="D12" s="165" t="s">
        <v>120</v>
      </c>
      <c r="E12" s="166">
        <f>140+190*0.3</f>
        <v>197</v>
      </c>
      <c r="F12" s="167"/>
      <c r="G12" s="168">
        <f>ROUND(E12*F12,2)</f>
        <v>0</v>
      </c>
      <c r="H12" s="167">
        <v>0</v>
      </c>
      <c r="I12" s="168">
        <f>ROUND(E12*H12,2)</f>
        <v>0</v>
      </c>
      <c r="J12" s="167">
        <v>351</v>
      </c>
      <c r="K12" s="168">
        <f>ROUND(E12*J12,2)</f>
        <v>69147</v>
      </c>
      <c r="L12" s="168">
        <v>21</v>
      </c>
      <c r="M12" s="168">
        <f>G12*(1+L12/100)</f>
        <v>0</v>
      </c>
      <c r="N12" s="168">
        <v>0</v>
      </c>
      <c r="O12" s="168">
        <f>ROUND(E12*N12,2)</f>
        <v>0</v>
      </c>
      <c r="P12" s="168">
        <v>0.44</v>
      </c>
      <c r="Q12" s="168">
        <f>ROUND(E12*P12,2)</f>
        <v>86.68</v>
      </c>
      <c r="R12" s="168" t="s">
        <v>111</v>
      </c>
      <c r="S12" s="168" t="s">
        <v>264</v>
      </c>
      <c r="T12" s="168" t="s">
        <v>264</v>
      </c>
      <c r="U12" s="155">
        <v>3.3000000000000002E-2</v>
      </c>
      <c r="V12" s="155">
        <f>ROUND(E12*U12,2)</f>
        <v>6.5</v>
      </c>
      <c r="W12" s="155"/>
      <c r="X12" s="155" t="s">
        <v>112</v>
      </c>
      <c r="Y12" s="146"/>
      <c r="Z12" s="146"/>
      <c r="AA12" s="146"/>
      <c r="AB12" s="146"/>
      <c r="AC12" s="146"/>
      <c r="AD12" s="146"/>
      <c r="AE12" s="146"/>
      <c r="AF12" s="146"/>
      <c r="AG12" s="146" t="s">
        <v>113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53"/>
      <c r="B13" s="154"/>
      <c r="C13" s="289"/>
      <c r="D13" s="290"/>
      <c r="E13" s="290"/>
      <c r="F13" s="290"/>
      <c r="G13" s="290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46"/>
      <c r="Z13" s="146"/>
      <c r="AA13" s="146"/>
      <c r="AB13" s="146"/>
      <c r="AC13" s="146"/>
      <c r="AD13" s="146"/>
      <c r="AE13" s="146"/>
      <c r="AF13" s="146"/>
      <c r="AG13" s="146" t="s">
        <v>94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63">
        <v>3</v>
      </c>
      <c r="B14" s="164" t="s">
        <v>117</v>
      </c>
      <c r="C14" s="174" t="s">
        <v>118</v>
      </c>
      <c r="D14" s="165" t="s">
        <v>116</v>
      </c>
      <c r="E14" s="166">
        <v>76</v>
      </c>
      <c r="F14" s="167"/>
      <c r="G14" s="168">
        <f>ROUND(E14*F14,2)</f>
        <v>0</v>
      </c>
      <c r="H14" s="167">
        <v>80.97</v>
      </c>
      <c r="I14" s="168">
        <f>ROUND(E14*H14,2)</f>
        <v>6153.72</v>
      </c>
      <c r="J14" s="167">
        <v>214.53</v>
      </c>
      <c r="K14" s="168">
        <f>ROUND(E14*J14,2)</f>
        <v>16304.28</v>
      </c>
      <c r="L14" s="168">
        <v>21</v>
      </c>
      <c r="M14" s="168">
        <f>G14*(1+L14/100)</f>
        <v>0</v>
      </c>
      <c r="N14" s="168">
        <v>2.478E-2</v>
      </c>
      <c r="O14" s="168">
        <f>ROUND(E14*N14,2)</f>
        <v>1.88</v>
      </c>
      <c r="P14" s="168">
        <v>0</v>
      </c>
      <c r="Q14" s="168">
        <f>ROUND(E14*P14,2)</f>
        <v>0</v>
      </c>
      <c r="R14" s="168" t="s">
        <v>119</v>
      </c>
      <c r="S14" s="168" t="s">
        <v>264</v>
      </c>
      <c r="T14" s="168" t="s">
        <v>264</v>
      </c>
      <c r="U14" s="155">
        <v>0.54700000000000004</v>
      </c>
      <c r="V14" s="155">
        <f>ROUND(E14*U14,2)</f>
        <v>41.57</v>
      </c>
      <c r="W14" s="155"/>
      <c r="X14" s="155" t="s">
        <v>112</v>
      </c>
      <c r="Y14" s="146"/>
      <c r="Z14" s="146"/>
      <c r="AA14" s="146"/>
      <c r="AB14" s="146"/>
      <c r="AC14" s="146"/>
      <c r="AD14" s="146"/>
      <c r="AE14" s="146"/>
      <c r="AF14" s="146"/>
      <c r="AG14" s="146" t="s">
        <v>113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1" outlineLevel="1" x14ac:dyDescent="0.25">
      <c r="A15" s="153"/>
      <c r="B15" s="154"/>
      <c r="C15" s="285" t="s">
        <v>166</v>
      </c>
      <c r="D15" s="286"/>
      <c r="E15" s="286"/>
      <c r="F15" s="286"/>
      <c r="G15" s="286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46"/>
      <c r="Z15" s="146"/>
      <c r="AA15" s="146"/>
      <c r="AB15" s="146"/>
      <c r="AC15" s="146"/>
      <c r="AD15" s="146"/>
      <c r="AE15" s="146"/>
      <c r="AF15" s="146"/>
      <c r="AG15" s="146" t="s">
        <v>114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71" t="str">
        <f>C15</f>
        <v>ve výkopišti ve stavu a poloze, ve kterých byla na začátku zemních prací, a to především ochranným bedněním, se zřízením a odstraněním zajišťovací konstrukce a včetně opotřebení použitých materiálů,</v>
      </c>
      <c r="BB15" s="146"/>
      <c r="BC15" s="146"/>
      <c r="BD15" s="146"/>
      <c r="BE15" s="146"/>
      <c r="BF15" s="146"/>
      <c r="BG15" s="146"/>
      <c r="BH15" s="146"/>
    </row>
    <row r="16" spans="1:60" outlineLevel="1" x14ac:dyDescent="0.25">
      <c r="A16" s="153"/>
      <c r="B16" s="154"/>
      <c r="C16" s="287"/>
      <c r="D16" s="288"/>
      <c r="E16" s="288"/>
      <c r="F16" s="288"/>
      <c r="G16" s="288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46"/>
      <c r="Z16" s="146"/>
      <c r="AA16" s="146"/>
      <c r="AB16" s="146"/>
      <c r="AC16" s="146"/>
      <c r="AD16" s="146"/>
      <c r="AE16" s="146"/>
      <c r="AF16" s="146"/>
      <c r="AG16" s="146" t="s">
        <v>94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5">
      <c r="A17" s="163">
        <v>4</v>
      </c>
      <c r="B17" s="164" t="s">
        <v>184</v>
      </c>
      <c r="C17" s="174" t="s">
        <v>185</v>
      </c>
      <c r="D17" s="165" t="s">
        <v>120</v>
      </c>
      <c r="E17" s="166">
        <f>76*1.5*0.4</f>
        <v>45.6</v>
      </c>
      <c r="F17" s="167"/>
      <c r="G17" s="168">
        <f>ROUND(E17*F17,2)</f>
        <v>0</v>
      </c>
      <c r="H17" s="167">
        <v>0</v>
      </c>
      <c r="I17" s="168">
        <f>ROUND(E17*H17,2)</f>
        <v>0</v>
      </c>
      <c r="J17" s="167">
        <v>617</v>
      </c>
      <c r="K17" s="168">
        <f>ROUND(E17*J17,2)</f>
        <v>28135.200000000001</v>
      </c>
      <c r="L17" s="168">
        <v>21</v>
      </c>
      <c r="M17" s="168">
        <f>G17*(1+L17/100)</f>
        <v>0</v>
      </c>
      <c r="N17" s="168">
        <v>0</v>
      </c>
      <c r="O17" s="168">
        <f>ROUND(E17*N17,2)</f>
        <v>0</v>
      </c>
      <c r="P17" s="168">
        <v>0</v>
      </c>
      <c r="Q17" s="168">
        <f>ROUND(E17*P17,2)</f>
        <v>0</v>
      </c>
      <c r="R17" s="168" t="s">
        <v>119</v>
      </c>
      <c r="S17" s="168" t="s">
        <v>264</v>
      </c>
      <c r="T17" s="168" t="s">
        <v>264</v>
      </c>
      <c r="U17" s="155"/>
      <c r="V17" s="155"/>
      <c r="W17" s="155"/>
      <c r="X17" s="155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ht="14.25" customHeight="1" outlineLevel="1" x14ac:dyDescent="0.25">
      <c r="A18" s="153"/>
      <c r="B18" s="154"/>
      <c r="C18" s="285" t="s">
        <v>219</v>
      </c>
      <c r="D18" s="286"/>
      <c r="E18" s="286"/>
      <c r="F18" s="286"/>
      <c r="G18" s="286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53"/>
      <c r="B19" s="154"/>
      <c r="C19" s="175"/>
      <c r="D19" s="170"/>
      <c r="E19" s="170"/>
      <c r="F19" s="170"/>
      <c r="G19" s="170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5">
      <c r="A20" s="163">
        <v>5</v>
      </c>
      <c r="B20" s="164" t="s">
        <v>157</v>
      </c>
      <c r="C20" s="174" t="s">
        <v>292</v>
      </c>
      <c r="D20" s="165" t="s">
        <v>120</v>
      </c>
      <c r="E20" s="166">
        <f>76+150</f>
        <v>226</v>
      </c>
      <c r="F20" s="167"/>
      <c r="G20" s="168">
        <f>ROUND(E20*F20,2)</f>
        <v>0</v>
      </c>
      <c r="H20" s="167">
        <v>0</v>
      </c>
      <c r="I20" s="168">
        <f>ROUND(E20*H20,2)</f>
        <v>0</v>
      </c>
      <c r="J20" s="167">
        <v>191.5</v>
      </c>
      <c r="K20" s="168">
        <f>ROUND(E20*J20,2)</f>
        <v>43279</v>
      </c>
      <c r="L20" s="168">
        <v>21</v>
      </c>
      <c r="M20" s="168">
        <f>G20*(1+L20/100)</f>
        <v>0</v>
      </c>
      <c r="N20" s="168">
        <v>0</v>
      </c>
      <c r="O20" s="168">
        <f>ROUND(E20*N20,2)</f>
        <v>0</v>
      </c>
      <c r="P20" s="168">
        <v>0</v>
      </c>
      <c r="Q20" s="168">
        <f>ROUND(E20*P20,2)</f>
        <v>0</v>
      </c>
      <c r="R20" s="168" t="s">
        <v>119</v>
      </c>
      <c r="S20" s="168" t="s">
        <v>264</v>
      </c>
      <c r="T20" s="168" t="s">
        <v>264</v>
      </c>
      <c r="U20" s="155">
        <v>0.36799999999999999</v>
      </c>
      <c r="V20" s="155">
        <f>ROUND(E20*U20,2)</f>
        <v>83.17</v>
      </c>
      <c r="W20" s="155"/>
      <c r="X20" s="155" t="s">
        <v>112</v>
      </c>
      <c r="Y20" s="146"/>
      <c r="Z20" s="146"/>
      <c r="AA20" s="146"/>
      <c r="AB20" s="146"/>
      <c r="AC20" s="146"/>
      <c r="AD20" s="146"/>
      <c r="AE20" s="146"/>
      <c r="AF20" s="146"/>
      <c r="AG20" s="146" t="s">
        <v>113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53"/>
      <c r="B21" s="154"/>
      <c r="C21" s="287"/>
      <c r="D21" s="288"/>
      <c r="E21" s="288"/>
      <c r="F21" s="288"/>
      <c r="G21" s="288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46"/>
      <c r="Z21" s="146"/>
      <c r="AA21" s="146"/>
      <c r="AB21" s="146"/>
      <c r="AC21" s="146"/>
      <c r="AD21" s="146"/>
      <c r="AE21" s="146"/>
      <c r="AF21" s="146"/>
      <c r="AG21" s="146" t="s">
        <v>94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ht="20.399999999999999" outlineLevel="1" x14ac:dyDescent="0.25">
      <c r="A22" s="163">
        <v>6</v>
      </c>
      <c r="B22" s="164" t="s">
        <v>121</v>
      </c>
      <c r="C22" s="174" t="s">
        <v>122</v>
      </c>
      <c r="D22" s="165" t="s">
        <v>120</v>
      </c>
      <c r="E22" s="166">
        <f>E20*0.45</f>
        <v>101.7</v>
      </c>
      <c r="F22" s="167"/>
      <c r="G22" s="168">
        <f>ROUND(E22*F22,2)</f>
        <v>0</v>
      </c>
      <c r="H22" s="167">
        <v>0</v>
      </c>
      <c r="I22" s="168">
        <f>ROUND(E22*H22,2)</f>
        <v>0</v>
      </c>
      <c r="J22" s="167">
        <v>38.299999999999997</v>
      </c>
      <c r="K22" s="168">
        <f>ROUND(E22*J22,2)</f>
        <v>3895.11</v>
      </c>
      <c r="L22" s="168">
        <v>21</v>
      </c>
      <c r="M22" s="168">
        <f>G22*(1+L22/100)</f>
        <v>0</v>
      </c>
      <c r="N22" s="168">
        <v>0</v>
      </c>
      <c r="O22" s="168">
        <f>ROUND(E22*N22,2)</f>
        <v>0</v>
      </c>
      <c r="P22" s="168">
        <v>0</v>
      </c>
      <c r="Q22" s="168">
        <f>ROUND(E22*P22,2)</f>
        <v>0</v>
      </c>
      <c r="R22" s="168" t="s">
        <v>119</v>
      </c>
      <c r="S22" s="168" t="s">
        <v>264</v>
      </c>
      <c r="T22" s="168" t="s">
        <v>264</v>
      </c>
      <c r="U22" s="155">
        <v>5.8000000000000003E-2</v>
      </c>
      <c r="V22" s="155">
        <f>ROUND(E22*U22,2)</f>
        <v>5.9</v>
      </c>
      <c r="W22" s="155"/>
      <c r="X22" s="155" t="s">
        <v>112</v>
      </c>
      <c r="Y22" s="146"/>
      <c r="Z22" s="146"/>
      <c r="AA22" s="146"/>
      <c r="AB22" s="146"/>
      <c r="AC22" s="146"/>
      <c r="AD22" s="146"/>
      <c r="AE22" s="146"/>
      <c r="AF22" s="146"/>
      <c r="AG22" s="146" t="s">
        <v>113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5">
      <c r="A23" s="153"/>
      <c r="B23" s="154"/>
      <c r="C23" s="287"/>
      <c r="D23" s="288"/>
      <c r="E23" s="288"/>
      <c r="F23" s="288"/>
      <c r="G23" s="288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46"/>
      <c r="Z23" s="146"/>
      <c r="AA23" s="146"/>
      <c r="AB23" s="146"/>
      <c r="AC23" s="146"/>
      <c r="AD23" s="146"/>
      <c r="AE23" s="146"/>
      <c r="AF23" s="146"/>
      <c r="AG23" s="146" t="s">
        <v>94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5">
      <c r="A24" s="163">
        <v>7</v>
      </c>
      <c r="B24" s="164" t="s">
        <v>186</v>
      </c>
      <c r="C24" s="174" t="s">
        <v>187</v>
      </c>
      <c r="D24" s="165" t="s">
        <v>120</v>
      </c>
      <c r="E24" s="166">
        <v>13.65</v>
      </c>
      <c r="F24" s="167"/>
      <c r="G24" s="168">
        <f>ROUND(E24*F24,2)</f>
        <v>0</v>
      </c>
      <c r="H24" s="167">
        <v>0</v>
      </c>
      <c r="I24" s="168">
        <f>ROUND(E24*H24,2)</f>
        <v>0</v>
      </c>
      <c r="J24" s="167">
        <v>1273</v>
      </c>
      <c r="K24" s="168">
        <f>ROUND(E24*J24,2)</f>
        <v>17376.45</v>
      </c>
      <c r="L24" s="168">
        <v>21</v>
      </c>
      <c r="M24" s="168">
        <f>G24*(1+L24/100)</f>
        <v>0</v>
      </c>
      <c r="N24" s="168">
        <v>0</v>
      </c>
      <c r="O24" s="168">
        <f>ROUND(E24*N24,2)</f>
        <v>0</v>
      </c>
      <c r="P24" s="168">
        <v>0</v>
      </c>
      <c r="Q24" s="168">
        <f>ROUND(E24*P24,2)</f>
        <v>0</v>
      </c>
      <c r="R24" s="168" t="s">
        <v>119</v>
      </c>
      <c r="S24" s="168" t="s">
        <v>264</v>
      </c>
      <c r="T24" s="168" t="s">
        <v>264</v>
      </c>
      <c r="U24" s="155"/>
      <c r="V24" s="155"/>
      <c r="W24" s="155"/>
      <c r="X24" s="155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53"/>
      <c r="B25" s="154"/>
      <c r="C25" s="285" t="s">
        <v>188</v>
      </c>
      <c r="D25" s="286"/>
      <c r="E25" s="286"/>
      <c r="F25" s="286"/>
      <c r="G25" s="286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53"/>
      <c r="B26" s="154"/>
      <c r="C26" s="175"/>
      <c r="D26" s="170"/>
      <c r="E26" s="170"/>
      <c r="F26" s="170"/>
      <c r="G26" s="170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63">
        <v>8</v>
      </c>
      <c r="B27" s="164" t="s">
        <v>123</v>
      </c>
      <c r="C27" s="174" t="s">
        <v>124</v>
      </c>
      <c r="D27" s="165" t="s">
        <v>120</v>
      </c>
      <c r="E27" s="166">
        <f>E20+E24</f>
        <v>239.65</v>
      </c>
      <c r="F27" s="167"/>
      <c r="G27" s="168">
        <f>ROUND(E27*F27,2)</f>
        <v>0</v>
      </c>
      <c r="H27" s="167">
        <v>0</v>
      </c>
      <c r="I27" s="168">
        <f>ROUND(E27*H27,2)</f>
        <v>0</v>
      </c>
      <c r="J27" s="167">
        <v>259.5</v>
      </c>
      <c r="K27" s="168">
        <f>ROUND(E27*J27,2)</f>
        <v>62189.18</v>
      </c>
      <c r="L27" s="168">
        <v>21</v>
      </c>
      <c r="M27" s="168">
        <f>G27*(1+L27/100)</f>
        <v>0</v>
      </c>
      <c r="N27" s="168">
        <v>0</v>
      </c>
      <c r="O27" s="168">
        <f>ROUND(E27*N27,2)</f>
        <v>0</v>
      </c>
      <c r="P27" s="168">
        <v>0</v>
      </c>
      <c r="Q27" s="168">
        <f>ROUND(E27*P27,2)</f>
        <v>0</v>
      </c>
      <c r="R27" s="168" t="s">
        <v>119</v>
      </c>
      <c r="S27" s="168" t="s">
        <v>264</v>
      </c>
      <c r="T27" s="168" t="s">
        <v>264</v>
      </c>
      <c r="U27" s="155">
        <v>5.1999999999999998E-3</v>
      </c>
      <c r="V27" s="155">
        <f>ROUND(E27*U27,2)</f>
        <v>1.25</v>
      </c>
      <c r="W27" s="155"/>
      <c r="X27" s="155" t="s">
        <v>112</v>
      </c>
      <c r="Y27" s="146"/>
      <c r="Z27" s="146"/>
      <c r="AA27" s="146"/>
      <c r="AB27" s="146"/>
      <c r="AC27" s="146"/>
      <c r="AD27" s="146"/>
      <c r="AE27" s="146"/>
      <c r="AF27" s="146"/>
      <c r="AG27" s="146" t="s">
        <v>113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53"/>
      <c r="B28" s="154"/>
      <c r="C28" s="285" t="s">
        <v>125</v>
      </c>
      <c r="D28" s="286"/>
      <c r="E28" s="286"/>
      <c r="F28" s="286"/>
      <c r="G28" s="286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46"/>
      <c r="Z28" s="146"/>
      <c r="AA28" s="146"/>
      <c r="AB28" s="146"/>
      <c r="AC28" s="146"/>
      <c r="AD28" s="146"/>
      <c r="AE28" s="146"/>
      <c r="AF28" s="146"/>
      <c r="AG28" s="146" t="s">
        <v>114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53"/>
      <c r="B29" s="154"/>
      <c r="C29" s="287"/>
      <c r="D29" s="288"/>
      <c r="E29" s="288"/>
      <c r="F29" s="288"/>
      <c r="G29" s="288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46"/>
      <c r="Z29" s="146"/>
      <c r="AA29" s="146"/>
      <c r="AB29" s="146"/>
      <c r="AC29" s="146"/>
      <c r="AD29" s="146"/>
      <c r="AE29" s="146"/>
      <c r="AF29" s="146"/>
      <c r="AG29" s="146" t="s">
        <v>94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63">
        <v>9</v>
      </c>
      <c r="B30" s="164" t="s">
        <v>126</v>
      </c>
      <c r="C30" s="174" t="s">
        <v>171</v>
      </c>
      <c r="D30" s="165" t="s">
        <v>120</v>
      </c>
      <c r="E30" s="166">
        <f>E27</f>
        <v>239.65</v>
      </c>
      <c r="F30" s="167"/>
      <c r="G30" s="168">
        <f>ROUND(E30*F30,2)</f>
        <v>0</v>
      </c>
      <c r="H30" s="167">
        <v>0</v>
      </c>
      <c r="I30" s="168">
        <f>ROUND(E30*H30,2)</f>
        <v>0</v>
      </c>
      <c r="J30" s="167">
        <v>265</v>
      </c>
      <c r="K30" s="168">
        <f>ROUND(E30*J30,2)</f>
        <v>63507.25</v>
      </c>
      <c r="L30" s="168">
        <v>21</v>
      </c>
      <c r="M30" s="168">
        <f>G30*(1+L30/100)</f>
        <v>0</v>
      </c>
      <c r="N30" s="168">
        <v>0</v>
      </c>
      <c r="O30" s="168">
        <f>ROUND(E30*N30,2)</f>
        <v>0</v>
      </c>
      <c r="P30" s="168">
        <v>0</v>
      </c>
      <c r="Q30" s="168">
        <f>ROUND(E30*P30,2)</f>
        <v>0</v>
      </c>
      <c r="R30" s="168" t="s">
        <v>119</v>
      </c>
      <c r="S30" s="168" t="s">
        <v>264</v>
      </c>
      <c r="T30" s="168" t="s">
        <v>264</v>
      </c>
      <c r="U30" s="155">
        <v>0.65200000000000002</v>
      </c>
      <c r="V30" s="155">
        <f>ROUND(E30*U30,2)</f>
        <v>156.25</v>
      </c>
      <c r="W30" s="155"/>
      <c r="X30" s="155" t="s">
        <v>112</v>
      </c>
      <c r="Y30" s="146"/>
      <c r="Z30" s="146"/>
      <c r="AA30" s="146"/>
      <c r="AB30" s="146"/>
      <c r="AC30" s="146"/>
      <c r="AD30" s="146"/>
      <c r="AE30" s="146"/>
      <c r="AF30" s="146"/>
      <c r="AG30" s="146" t="s">
        <v>113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5">
      <c r="A31" s="153"/>
      <c r="B31" s="154"/>
      <c r="C31" s="289"/>
      <c r="D31" s="290"/>
      <c r="E31" s="290"/>
      <c r="F31" s="290"/>
      <c r="G31" s="290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46"/>
      <c r="Z31" s="146"/>
      <c r="AA31" s="146"/>
      <c r="AB31" s="146"/>
      <c r="AC31" s="146"/>
      <c r="AD31" s="146"/>
      <c r="AE31" s="146"/>
      <c r="AF31" s="146"/>
      <c r="AG31" s="146" t="s">
        <v>94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5">
      <c r="A32" s="163">
        <v>10</v>
      </c>
      <c r="B32" s="164" t="s">
        <v>127</v>
      </c>
      <c r="C32" s="174" t="s">
        <v>167</v>
      </c>
      <c r="D32" s="165" t="s">
        <v>99</v>
      </c>
      <c r="E32" s="166">
        <v>150</v>
      </c>
      <c r="F32" s="167"/>
      <c r="G32" s="168">
        <f>ROUND(E32*F32,2)</f>
        <v>0</v>
      </c>
      <c r="H32" s="167">
        <v>1.68</v>
      </c>
      <c r="I32" s="168">
        <f>ROUND(E32*H32,2)</f>
        <v>252</v>
      </c>
      <c r="J32" s="167">
        <v>22.42</v>
      </c>
      <c r="K32" s="168">
        <f>ROUND(E32*J32,2)</f>
        <v>3363</v>
      </c>
      <c r="L32" s="168">
        <v>21</v>
      </c>
      <c r="M32" s="168">
        <f>G32*(1+L32/100)</f>
        <v>0</v>
      </c>
      <c r="N32" s="168">
        <v>0</v>
      </c>
      <c r="O32" s="168">
        <f>ROUND(E32*N32,2)</f>
        <v>0</v>
      </c>
      <c r="P32" s="168">
        <v>0</v>
      </c>
      <c r="Q32" s="168">
        <f>ROUND(E32*P32,2)</f>
        <v>0</v>
      </c>
      <c r="R32" s="168" t="s">
        <v>128</v>
      </c>
      <c r="S32" s="168" t="s">
        <v>264</v>
      </c>
      <c r="T32" s="168" t="s">
        <v>264</v>
      </c>
      <c r="U32" s="155">
        <v>0.06</v>
      </c>
      <c r="V32" s="155">
        <f>ROUND(E32*U32,2)</f>
        <v>9</v>
      </c>
      <c r="W32" s="155"/>
      <c r="X32" s="155" t="s">
        <v>112</v>
      </c>
      <c r="Y32" s="146"/>
      <c r="Z32" s="146"/>
      <c r="AA32" s="146"/>
      <c r="AB32" s="146"/>
      <c r="AC32" s="146"/>
      <c r="AD32" s="146"/>
      <c r="AE32" s="146"/>
      <c r="AF32" s="146"/>
      <c r="AG32" s="146" t="s">
        <v>113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5">
      <c r="A33" s="153"/>
      <c r="B33" s="154"/>
      <c r="C33" s="285" t="s">
        <v>129</v>
      </c>
      <c r="D33" s="286"/>
      <c r="E33" s="286"/>
      <c r="F33" s="286"/>
      <c r="G33" s="286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46"/>
      <c r="Z33" s="146"/>
      <c r="AA33" s="146"/>
      <c r="AB33" s="146"/>
      <c r="AC33" s="146"/>
      <c r="AD33" s="146"/>
      <c r="AE33" s="146"/>
      <c r="AF33" s="146"/>
      <c r="AG33" s="146" t="s">
        <v>114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5">
      <c r="A34" s="153"/>
      <c r="B34" s="154"/>
      <c r="C34" s="287"/>
      <c r="D34" s="288"/>
      <c r="E34" s="288"/>
      <c r="F34" s="288"/>
      <c r="G34" s="288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46"/>
      <c r="Z34" s="146"/>
      <c r="AA34" s="146"/>
      <c r="AB34" s="146"/>
      <c r="AC34" s="146"/>
      <c r="AD34" s="146"/>
      <c r="AE34" s="146"/>
      <c r="AF34" s="146"/>
      <c r="AG34" s="146" t="s">
        <v>94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5">
      <c r="A35" s="163">
        <v>11</v>
      </c>
      <c r="B35" s="164" t="s">
        <v>205</v>
      </c>
      <c r="C35" s="174" t="s">
        <v>192</v>
      </c>
      <c r="D35" s="165" t="s">
        <v>99</v>
      </c>
      <c r="E35" s="166">
        <v>150</v>
      </c>
      <c r="F35" s="167"/>
      <c r="G35" s="168">
        <f>ROUND(E35*F35,2)</f>
        <v>0</v>
      </c>
      <c r="H35" s="167">
        <v>0</v>
      </c>
      <c r="I35" s="168">
        <f>ROUND(E35*H35,2)</f>
        <v>0</v>
      </c>
      <c r="J35" s="167">
        <v>17.399999999999999</v>
      </c>
      <c r="K35" s="168">
        <f>ROUND(E35*J35,2)</f>
        <v>2610</v>
      </c>
      <c r="L35" s="168">
        <v>21</v>
      </c>
      <c r="M35" s="168">
        <f>G35*(1+L35/100)</f>
        <v>0</v>
      </c>
      <c r="N35" s="168">
        <v>0</v>
      </c>
      <c r="O35" s="168">
        <f>ROUND(E35*N35,2)</f>
        <v>0</v>
      </c>
      <c r="P35" s="168">
        <v>0</v>
      </c>
      <c r="Q35" s="168">
        <f>ROUND(E35*P35,2)</f>
        <v>0</v>
      </c>
      <c r="R35" s="168" t="s">
        <v>191</v>
      </c>
      <c r="S35" s="168" t="s">
        <v>264</v>
      </c>
      <c r="T35" s="168" t="s">
        <v>264</v>
      </c>
      <c r="U35" s="155"/>
      <c r="V35" s="155"/>
      <c r="W35" s="155"/>
      <c r="X35" s="155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13.2" customHeight="1" outlineLevel="1" x14ac:dyDescent="0.25">
      <c r="A36" s="153"/>
      <c r="B36" s="154"/>
      <c r="C36" s="285" t="s">
        <v>193</v>
      </c>
      <c r="D36" s="286"/>
      <c r="E36" s="286"/>
      <c r="F36" s="286"/>
      <c r="G36" s="286"/>
      <c r="H36" s="188"/>
      <c r="I36" s="155"/>
      <c r="J36" s="188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53"/>
      <c r="B37" s="154"/>
      <c r="C37" s="175"/>
      <c r="D37" s="170"/>
      <c r="E37" s="170"/>
      <c r="F37" s="170"/>
      <c r="G37" s="170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5">
      <c r="A38" s="163">
        <v>12</v>
      </c>
      <c r="B38" s="164" t="s">
        <v>200</v>
      </c>
      <c r="C38" s="174" t="s">
        <v>201</v>
      </c>
      <c r="D38" s="165" t="s">
        <v>99</v>
      </c>
      <c r="E38" s="166">
        <f>E53+E60+E65</f>
        <v>660</v>
      </c>
      <c r="F38" s="167"/>
      <c r="G38" s="168">
        <f>ROUND(E38*F38,2)</f>
        <v>0</v>
      </c>
      <c r="H38" s="167">
        <v>0</v>
      </c>
      <c r="I38" s="168">
        <f>ROUND(E38*H38,2)</f>
        <v>0</v>
      </c>
      <c r="J38" s="167">
        <v>13.3</v>
      </c>
      <c r="K38" s="168">
        <f>ROUND(E38*J38,2)</f>
        <v>8778</v>
      </c>
      <c r="L38" s="168">
        <v>21</v>
      </c>
      <c r="M38" s="168">
        <f>G38*(1+L38/100)</f>
        <v>0</v>
      </c>
      <c r="N38" s="168">
        <v>0</v>
      </c>
      <c r="O38" s="168">
        <f>ROUND(E38*N38,2)</f>
        <v>0</v>
      </c>
      <c r="P38" s="168">
        <v>0</v>
      </c>
      <c r="Q38" s="168">
        <f>ROUND(E38*P38,2)</f>
        <v>0</v>
      </c>
      <c r="R38" s="168" t="s">
        <v>119</v>
      </c>
      <c r="S38" s="168" t="s">
        <v>264</v>
      </c>
      <c r="T38" s="168" t="s">
        <v>264</v>
      </c>
      <c r="U38" s="155"/>
      <c r="V38" s="155"/>
      <c r="W38" s="155"/>
      <c r="X38" s="155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5">
      <c r="A39" s="153"/>
      <c r="B39" s="154"/>
      <c r="C39" s="175"/>
      <c r="D39" s="170"/>
      <c r="E39" s="170"/>
      <c r="F39" s="170"/>
      <c r="G39" s="170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5">
      <c r="A40" s="163">
        <v>13</v>
      </c>
      <c r="B40" s="164" t="s">
        <v>194</v>
      </c>
      <c r="C40" s="174" t="s">
        <v>318</v>
      </c>
      <c r="D40" s="165" t="s">
        <v>96</v>
      </c>
      <c r="E40" s="166">
        <v>20</v>
      </c>
      <c r="F40" s="167"/>
      <c r="G40" s="168">
        <f>ROUND(E40*F40,2)</f>
        <v>0</v>
      </c>
      <c r="H40" s="167">
        <v>111</v>
      </c>
      <c r="I40" s="168">
        <f>ROUND(E40*H40,2)</f>
        <v>2220</v>
      </c>
      <c r="J40" s="167">
        <v>432</v>
      </c>
      <c r="K40" s="168">
        <f>ROUND(E40*J40,2)</f>
        <v>8640</v>
      </c>
      <c r="L40" s="168">
        <v>21</v>
      </c>
      <c r="M40" s="168">
        <f>G40*(1+L40/100)</f>
        <v>0</v>
      </c>
      <c r="N40" s="168">
        <v>9.4000000000000004E-3</v>
      </c>
      <c r="O40" s="168">
        <f>ROUND(E40*N40,2)</f>
        <v>0.19</v>
      </c>
      <c r="P40" s="168">
        <v>0</v>
      </c>
      <c r="Q40" s="168">
        <f>ROUND(E40*P40,2)</f>
        <v>0</v>
      </c>
      <c r="R40" s="168" t="s">
        <v>128</v>
      </c>
      <c r="S40" s="168" t="s">
        <v>264</v>
      </c>
      <c r="T40" s="168" t="s">
        <v>264</v>
      </c>
      <c r="U40" s="155"/>
      <c r="V40" s="155"/>
      <c r="W40" s="155"/>
      <c r="X40" s="155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1" x14ac:dyDescent="0.25">
      <c r="A41" s="153"/>
      <c r="B41" s="154"/>
      <c r="C41" s="305" t="s">
        <v>319</v>
      </c>
      <c r="D41" s="306"/>
      <c r="E41" s="306"/>
      <c r="F41" s="306"/>
      <c r="G41" s="306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1" x14ac:dyDescent="0.25">
      <c r="A42" s="153"/>
      <c r="B42" s="154"/>
      <c r="C42" s="287"/>
      <c r="D42" s="288"/>
      <c r="E42" s="288"/>
      <c r="F42" s="288"/>
      <c r="G42" s="288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63">
        <v>14</v>
      </c>
      <c r="B43" s="164" t="s">
        <v>317</v>
      </c>
      <c r="C43" s="174" t="s">
        <v>315</v>
      </c>
      <c r="D43" s="165" t="s">
        <v>96</v>
      </c>
      <c r="E43" s="166">
        <v>2</v>
      </c>
      <c r="F43" s="167"/>
      <c r="G43" s="168">
        <f>ROUND(E43*F43,2)</f>
        <v>0</v>
      </c>
      <c r="H43" s="167">
        <v>111</v>
      </c>
      <c r="I43" s="168">
        <f>ROUND(E43*H43,2)</f>
        <v>222</v>
      </c>
      <c r="J43" s="167">
        <v>432</v>
      </c>
      <c r="K43" s="168">
        <f>ROUND(E43*J43,2)</f>
        <v>864</v>
      </c>
      <c r="L43" s="168">
        <v>21</v>
      </c>
      <c r="M43" s="168">
        <f>G43*(1+L43/100)</f>
        <v>0</v>
      </c>
      <c r="N43" s="168">
        <v>9.4000000000000004E-3</v>
      </c>
      <c r="O43" s="168">
        <f>ROUND(E43*N43,2)</f>
        <v>0.02</v>
      </c>
      <c r="P43" s="168">
        <v>0</v>
      </c>
      <c r="Q43" s="168">
        <f>ROUND(E43*P43,2)</f>
        <v>0</v>
      </c>
      <c r="R43" s="168" t="s">
        <v>128</v>
      </c>
      <c r="S43" s="168" t="s">
        <v>264</v>
      </c>
      <c r="T43" s="168" t="s">
        <v>264</v>
      </c>
      <c r="U43" s="155"/>
      <c r="V43" s="155"/>
      <c r="W43" s="155"/>
      <c r="X43" s="155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53"/>
      <c r="B44" s="154"/>
      <c r="C44" s="305" t="s">
        <v>316</v>
      </c>
      <c r="D44" s="306"/>
      <c r="E44" s="306"/>
      <c r="F44" s="306"/>
      <c r="G44" s="306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5">
      <c r="A45" s="153"/>
      <c r="B45" s="154"/>
      <c r="C45" s="175"/>
      <c r="D45" s="170"/>
      <c r="E45" s="170"/>
      <c r="F45" s="170"/>
      <c r="G45" s="170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5">
      <c r="A46" s="163">
        <v>15</v>
      </c>
      <c r="B46" s="164" t="s">
        <v>130</v>
      </c>
      <c r="C46" s="174" t="s">
        <v>131</v>
      </c>
      <c r="D46" s="165" t="s">
        <v>120</v>
      </c>
      <c r="E46" s="166">
        <f>E30</f>
        <v>239.65</v>
      </c>
      <c r="F46" s="167"/>
      <c r="G46" s="168">
        <f>ROUND(E46*F46,2)</f>
        <v>0</v>
      </c>
      <c r="H46" s="167">
        <v>0</v>
      </c>
      <c r="I46" s="168">
        <f>ROUND(E46*H46,2)</f>
        <v>0</v>
      </c>
      <c r="J46" s="167">
        <v>282.5</v>
      </c>
      <c r="K46" s="168">
        <f>ROUND(E46*J46,2)</f>
        <v>67701.13</v>
      </c>
      <c r="L46" s="168">
        <v>21</v>
      </c>
      <c r="M46" s="168">
        <f>G46*(1+L46/100)</f>
        <v>0</v>
      </c>
      <c r="N46" s="168">
        <v>0</v>
      </c>
      <c r="O46" s="168">
        <f>ROUND(E46*N46,2)</f>
        <v>0</v>
      </c>
      <c r="P46" s="168">
        <v>0</v>
      </c>
      <c r="Q46" s="168">
        <f>ROUND(E46*P46,2)</f>
        <v>0</v>
      </c>
      <c r="R46" s="168" t="s">
        <v>119</v>
      </c>
      <c r="S46" s="168" t="s">
        <v>264</v>
      </c>
      <c r="T46" s="168" t="s">
        <v>264</v>
      </c>
      <c r="U46" s="155">
        <v>0</v>
      </c>
      <c r="V46" s="155">
        <f>ROUND(E46*U46,2)</f>
        <v>0</v>
      </c>
      <c r="W46" s="155"/>
      <c r="X46" s="155" t="s">
        <v>112</v>
      </c>
      <c r="Y46" s="146"/>
      <c r="Z46" s="146"/>
      <c r="AA46" s="146"/>
      <c r="AB46" s="146"/>
      <c r="AC46" s="146"/>
      <c r="AD46" s="146"/>
      <c r="AE46" s="146"/>
      <c r="AF46" s="146"/>
      <c r="AG46" s="146" t="s">
        <v>113</v>
      </c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5">
      <c r="A47" s="153"/>
      <c r="B47" s="154"/>
      <c r="C47" s="289"/>
      <c r="D47" s="290"/>
      <c r="E47" s="290"/>
      <c r="F47" s="290"/>
      <c r="G47" s="290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46"/>
      <c r="Z47" s="146"/>
      <c r="AA47" s="146"/>
      <c r="AB47" s="146"/>
      <c r="AC47" s="146"/>
      <c r="AD47" s="146"/>
      <c r="AE47" s="146"/>
      <c r="AF47" s="146"/>
      <c r="AG47" s="146" t="s">
        <v>94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5">
      <c r="A48" s="157" t="s">
        <v>91</v>
      </c>
      <c r="B48" s="158" t="s">
        <v>229</v>
      </c>
      <c r="C48" s="173" t="s">
        <v>230</v>
      </c>
      <c r="D48" s="159"/>
      <c r="E48" s="160"/>
      <c r="F48" s="161"/>
      <c r="G48" s="161">
        <f>SUMIF(AG49:AG51,"&lt;&gt;NOR",G49:G51)</f>
        <v>0</v>
      </c>
      <c r="H48" s="161"/>
      <c r="I48" s="161">
        <f>SUM(I49:I51)</f>
        <v>1829.05</v>
      </c>
      <c r="J48" s="161"/>
      <c r="K48" s="161">
        <f>SUM(K49:K51)</f>
        <v>1484.55</v>
      </c>
      <c r="L48" s="161"/>
      <c r="M48" s="161">
        <f>SUM(M49:M51)</f>
        <v>0</v>
      </c>
      <c r="N48" s="161"/>
      <c r="O48" s="161">
        <f>SUM(O49:O51)</f>
        <v>5.75</v>
      </c>
      <c r="P48" s="161"/>
      <c r="Q48" s="161">
        <f>SUM(Q49:Q51)</f>
        <v>0</v>
      </c>
      <c r="R48" s="161"/>
      <c r="S48" s="161"/>
      <c r="T48" s="162"/>
      <c r="U48" s="155"/>
      <c r="V48" s="155"/>
      <c r="W48" s="155"/>
      <c r="X48" s="155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63">
        <v>16</v>
      </c>
      <c r="B49" s="164" t="s">
        <v>234</v>
      </c>
      <c r="C49" s="174" t="s">
        <v>233</v>
      </c>
      <c r="D49" s="165" t="s">
        <v>120</v>
      </c>
      <c r="E49" s="166">
        <f>76*0.1*0.4</f>
        <v>3.0400000000000005</v>
      </c>
      <c r="F49" s="167"/>
      <c r="G49" s="168">
        <f>ROUND(E49*F49,2)</f>
        <v>0</v>
      </c>
      <c r="H49" s="167">
        <v>601.66</v>
      </c>
      <c r="I49" s="168">
        <f>ROUND(E49*H49,2)</f>
        <v>1829.05</v>
      </c>
      <c r="J49" s="167">
        <v>488.34</v>
      </c>
      <c r="K49" s="168">
        <f>ROUND(E49*J49,2)</f>
        <v>1484.55</v>
      </c>
      <c r="L49" s="168">
        <v>21</v>
      </c>
      <c r="M49" s="168">
        <f>G49*(1+L49/100)</f>
        <v>0</v>
      </c>
      <c r="N49" s="168">
        <v>1.8907700000000001</v>
      </c>
      <c r="O49" s="168">
        <f>ROUND(E49*N49,2)</f>
        <v>5.75</v>
      </c>
      <c r="P49" s="168">
        <v>0</v>
      </c>
      <c r="Q49" s="168">
        <f>ROUND(E49*P49,2)</f>
        <v>0</v>
      </c>
      <c r="R49" s="168" t="s">
        <v>231</v>
      </c>
      <c r="S49" s="168" t="s">
        <v>264</v>
      </c>
      <c r="T49" s="168" t="s">
        <v>264</v>
      </c>
      <c r="U49" s="155"/>
      <c r="V49" s="155"/>
      <c r="W49" s="155"/>
      <c r="X49" s="155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5">
      <c r="A50" s="153"/>
      <c r="B50" s="154"/>
      <c r="C50" s="285" t="s">
        <v>232</v>
      </c>
      <c r="D50" s="286"/>
      <c r="E50" s="286"/>
      <c r="F50" s="286"/>
      <c r="G50" s="286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53"/>
      <c r="B51" s="154"/>
      <c r="C51" s="287"/>
      <c r="D51" s="288"/>
      <c r="E51" s="288"/>
      <c r="F51" s="288"/>
      <c r="G51" s="288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x14ac:dyDescent="0.25">
      <c r="A52" s="157" t="s">
        <v>91</v>
      </c>
      <c r="B52" s="158" t="s">
        <v>54</v>
      </c>
      <c r="C52" s="173" t="s">
        <v>55</v>
      </c>
      <c r="D52" s="159"/>
      <c r="E52" s="160"/>
      <c r="F52" s="161"/>
      <c r="G52" s="161">
        <f>G53+G55+G57+G60+G62+G65+G68+G71</f>
        <v>0</v>
      </c>
      <c r="H52" s="161"/>
      <c r="I52" s="161">
        <f>SUM(I53:I73)</f>
        <v>141877.20000000001</v>
      </c>
      <c r="J52" s="161"/>
      <c r="K52" s="161">
        <f>SUM(K53:K73)</f>
        <v>98415.8</v>
      </c>
      <c r="L52" s="161"/>
      <c r="M52" s="161">
        <f>M53+M55+M57+M60+M62+M65+M68+M71</f>
        <v>0</v>
      </c>
      <c r="N52" s="161"/>
      <c r="O52" s="161">
        <f>SUM(O53:O73)</f>
        <v>373.28999999999996</v>
      </c>
      <c r="P52" s="161"/>
      <c r="Q52" s="161">
        <f>SUM(Q53:Q73)</f>
        <v>0</v>
      </c>
      <c r="R52" s="161"/>
      <c r="S52" s="161"/>
      <c r="T52" s="162"/>
      <c r="U52" s="156"/>
      <c r="V52" s="156">
        <f>SUM(V53:V73)</f>
        <v>0.56000000000000005</v>
      </c>
      <c r="W52" s="156"/>
      <c r="X52" s="156"/>
      <c r="Y52" s="84"/>
      <c r="AG52" t="s">
        <v>92</v>
      </c>
    </row>
    <row r="53" spans="1:60" ht="20.399999999999999" outlineLevel="1" x14ac:dyDescent="0.25">
      <c r="A53" s="163">
        <v>17</v>
      </c>
      <c r="B53" s="164" t="s">
        <v>304</v>
      </c>
      <c r="C53" s="174" t="s">
        <v>299</v>
      </c>
      <c r="D53" s="165" t="s">
        <v>99</v>
      </c>
      <c r="E53" s="166">
        <v>330</v>
      </c>
      <c r="F53" s="167"/>
      <c r="G53" s="168">
        <f>ROUND(E53*F53,2)</f>
        <v>0</v>
      </c>
      <c r="H53" s="167">
        <v>164.95</v>
      </c>
      <c r="I53" s="168">
        <f>ROUND(E53*H53,2)</f>
        <v>54433.5</v>
      </c>
      <c r="J53" s="167">
        <v>26.05</v>
      </c>
      <c r="K53" s="168">
        <f>ROUND(E53*J53,2)</f>
        <v>8596.5</v>
      </c>
      <c r="L53" s="168">
        <v>21</v>
      </c>
      <c r="M53" s="168">
        <f>G53*(1+L53/100)</f>
        <v>0</v>
      </c>
      <c r="N53" s="168">
        <v>0.378</v>
      </c>
      <c r="O53" s="168">
        <f>ROUND(E53*N53,2)</f>
        <v>124.74</v>
      </c>
      <c r="P53" s="168">
        <v>0</v>
      </c>
      <c r="Q53" s="168">
        <f>ROUND(E53*P53,2)</f>
        <v>0</v>
      </c>
      <c r="R53" s="168" t="s">
        <v>111</v>
      </c>
      <c r="S53" s="168" t="s">
        <v>264</v>
      </c>
      <c r="T53" s="168" t="s">
        <v>264</v>
      </c>
      <c r="U53" s="155"/>
      <c r="V53" s="155"/>
      <c r="W53" s="155"/>
      <c r="X53" s="155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5">
      <c r="A54" s="153"/>
      <c r="B54" s="154"/>
      <c r="C54" s="184"/>
      <c r="D54" s="185"/>
      <c r="E54" s="185"/>
      <c r="F54" s="185"/>
      <c r="G54" s="18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ht="20.399999999999999" outlineLevel="1" x14ac:dyDescent="0.25">
      <c r="A55" s="163">
        <v>18</v>
      </c>
      <c r="B55" s="164" t="s">
        <v>305</v>
      </c>
      <c r="C55" s="174" t="s">
        <v>303</v>
      </c>
      <c r="D55" s="165" t="s">
        <v>99</v>
      </c>
      <c r="E55" s="166">
        <v>190</v>
      </c>
      <c r="F55" s="167"/>
      <c r="G55" s="168">
        <f>ROUND(E55*F55,2)</f>
        <v>0</v>
      </c>
      <c r="H55" s="167">
        <v>164.95</v>
      </c>
      <c r="I55" s="168">
        <f>ROUND(E55*H55,2)</f>
        <v>31340.5</v>
      </c>
      <c r="J55" s="167">
        <v>26.05</v>
      </c>
      <c r="K55" s="168">
        <f>ROUND(E55*J55,2)</f>
        <v>4949.5</v>
      </c>
      <c r="L55" s="168">
        <v>21</v>
      </c>
      <c r="M55" s="168">
        <f>G55*(1+L55/100)</f>
        <v>0</v>
      </c>
      <c r="N55" s="168">
        <v>0.378</v>
      </c>
      <c r="O55" s="168">
        <f>ROUND(E55*N55,2)</f>
        <v>71.819999999999993</v>
      </c>
      <c r="P55" s="168">
        <v>0</v>
      </c>
      <c r="Q55" s="168">
        <f>ROUND(E55*P55,2)</f>
        <v>0</v>
      </c>
      <c r="R55" s="168" t="s">
        <v>111</v>
      </c>
      <c r="S55" s="168" t="s">
        <v>264</v>
      </c>
      <c r="T55" s="168" t="s">
        <v>264</v>
      </c>
      <c r="U55" s="155"/>
      <c r="V55" s="155"/>
      <c r="W55" s="155"/>
      <c r="X55" s="155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5">
      <c r="A56" s="153"/>
      <c r="B56" s="154"/>
      <c r="C56" s="184"/>
      <c r="D56" s="185"/>
      <c r="E56" s="185"/>
      <c r="F56" s="185"/>
      <c r="G56" s="18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63">
        <v>19</v>
      </c>
      <c r="B57" s="164" t="s">
        <v>222</v>
      </c>
      <c r="C57" s="174" t="s">
        <v>300</v>
      </c>
      <c r="D57" s="165" t="s">
        <v>99</v>
      </c>
      <c r="E57" s="166">
        <f>E53+E55+E60</f>
        <v>660</v>
      </c>
      <c r="F57" s="167"/>
      <c r="G57" s="168">
        <f>E57*F57</f>
        <v>0</v>
      </c>
      <c r="H57" s="167">
        <v>302.39999999999998</v>
      </c>
      <c r="I57" s="168">
        <v>0</v>
      </c>
      <c r="J57" s="167">
        <v>56.6</v>
      </c>
      <c r="K57" s="168">
        <v>0</v>
      </c>
      <c r="L57" s="168">
        <v>21</v>
      </c>
      <c r="M57" s="168">
        <f>G57*1.21</f>
        <v>0</v>
      </c>
      <c r="N57" s="168">
        <v>0.60104000000000002</v>
      </c>
      <c r="O57" s="168">
        <v>0</v>
      </c>
      <c r="P57" s="168">
        <v>0</v>
      </c>
      <c r="Q57" s="168">
        <v>0</v>
      </c>
      <c r="R57" s="168" t="s">
        <v>111</v>
      </c>
      <c r="S57" s="168" t="s">
        <v>264</v>
      </c>
      <c r="T57" s="168" t="s">
        <v>264</v>
      </c>
      <c r="U57" s="155"/>
      <c r="V57" s="155"/>
      <c r="W57" s="155"/>
      <c r="X57" s="155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53"/>
      <c r="B58" s="154"/>
      <c r="C58" s="285" t="s">
        <v>301</v>
      </c>
      <c r="D58" s="286"/>
      <c r="E58" s="286"/>
      <c r="F58" s="286"/>
      <c r="G58" s="286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5">
      <c r="A59" s="153"/>
      <c r="B59" s="154"/>
      <c r="C59" s="287"/>
      <c r="D59" s="288"/>
      <c r="E59" s="288"/>
      <c r="F59" s="288"/>
      <c r="G59" s="288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46"/>
      <c r="Z59" s="146"/>
      <c r="AA59" s="146"/>
      <c r="AB59" s="146"/>
      <c r="AC59" s="146"/>
      <c r="AD59" s="146"/>
      <c r="AE59" s="146"/>
      <c r="AF59" s="146"/>
      <c r="AG59" s="146" t="s">
        <v>94</v>
      </c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5">
      <c r="A60" s="163">
        <v>20</v>
      </c>
      <c r="B60" s="164" t="s">
        <v>306</v>
      </c>
      <c r="C60" s="174" t="s">
        <v>307</v>
      </c>
      <c r="D60" s="165" t="s">
        <v>99</v>
      </c>
      <c r="E60" s="166">
        <v>140</v>
      </c>
      <c r="F60" s="167"/>
      <c r="G60" s="168">
        <f>ROUND(E60*F60,2)</f>
        <v>0</v>
      </c>
      <c r="H60" s="167">
        <v>279.17</v>
      </c>
      <c r="I60" s="168">
        <f>ROUND(E60*H60,2)</f>
        <v>39083.800000000003</v>
      </c>
      <c r="J60" s="167">
        <v>44.33</v>
      </c>
      <c r="K60" s="168">
        <f>ROUND(E60*J60,2)</f>
        <v>6206.2</v>
      </c>
      <c r="L60" s="168">
        <v>21</v>
      </c>
      <c r="M60" s="168">
        <f>G60*(1+L60/100)</f>
        <v>0</v>
      </c>
      <c r="N60" s="168">
        <v>0.32754</v>
      </c>
      <c r="O60" s="168">
        <f>ROUND(E60*N60,2)</f>
        <v>45.86</v>
      </c>
      <c r="P60" s="168">
        <v>0</v>
      </c>
      <c r="Q60" s="168">
        <f>ROUND(E60*P60,2)</f>
        <v>0</v>
      </c>
      <c r="R60" s="168" t="s">
        <v>111</v>
      </c>
      <c r="S60" s="168" t="s">
        <v>264</v>
      </c>
      <c r="T60" s="168" t="s">
        <v>264</v>
      </c>
      <c r="U60" s="155">
        <v>4.0000000000000001E-3</v>
      </c>
      <c r="V60" s="155">
        <f>ROUND(E60*U60,2)</f>
        <v>0.56000000000000005</v>
      </c>
      <c r="W60" s="155"/>
      <c r="X60" s="155" t="s">
        <v>112</v>
      </c>
      <c r="Y60" s="146"/>
      <c r="Z60" s="146"/>
      <c r="AA60" s="146"/>
      <c r="AB60" s="146"/>
      <c r="AC60" s="146"/>
      <c r="AD60" s="146"/>
      <c r="AE60" s="146"/>
      <c r="AF60" s="146"/>
      <c r="AG60" s="146" t="s">
        <v>113</v>
      </c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5">
      <c r="A61" s="153"/>
      <c r="B61" s="154"/>
      <c r="C61" s="287"/>
      <c r="D61" s="288"/>
      <c r="E61" s="288"/>
      <c r="F61" s="288"/>
      <c r="G61" s="288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46"/>
      <c r="Z61" s="146"/>
      <c r="AA61" s="146"/>
      <c r="AB61" s="146"/>
      <c r="AC61" s="146"/>
      <c r="AD61" s="146"/>
      <c r="AE61" s="146"/>
      <c r="AF61" s="146"/>
      <c r="AG61" s="146" t="s">
        <v>94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1" x14ac:dyDescent="0.25">
      <c r="A62" s="163">
        <v>21</v>
      </c>
      <c r="B62" s="164" t="s">
        <v>308</v>
      </c>
      <c r="C62" s="174" t="s">
        <v>309</v>
      </c>
      <c r="D62" s="165" t="s">
        <v>99</v>
      </c>
      <c r="E62" s="166">
        <v>10</v>
      </c>
      <c r="F62" s="167"/>
      <c r="G62" s="168">
        <f>ROUND(E62*F62,2)</f>
        <v>0</v>
      </c>
      <c r="H62" s="167">
        <v>13.66</v>
      </c>
      <c r="I62" s="168">
        <f>ROUND(E62*H62,2)</f>
        <v>136.6</v>
      </c>
      <c r="J62" s="167">
        <v>1.1399999999999999</v>
      </c>
      <c r="K62" s="168">
        <f>ROUND(E62*J62,2)</f>
        <v>11.4</v>
      </c>
      <c r="L62" s="168">
        <v>21</v>
      </c>
      <c r="M62" s="168">
        <f>G62*(1+L62/100)</f>
        <v>0</v>
      </c>
      <c r="N62" s="168">
        <v>6.0999999999999997E-4</v>
      </c>
      <c r="O62" s="168">
        <f>ROUND(E62*N62,2)</f>
        <v>0.01</v>
      </c>
      <c r="P62" s="168">
        <v>0</v>
      </c>
      <c r="Q62" s="168">
        <f>ROUND(E62*P62,2)</f>
        <v>0</v>
      </c>
      <c r="R62" s="168" t="s">
        <v>111</v>
      </c>
      <c r="S62" s="168" t="s">
        <v>264</v>
      </c>
      <c r="T62" s="168" t="s">
        <v>103</v>
      </c>
      <c r="U62" s="155"/>
      <c r="V62" s="155"/>
      <c r="W62" s="155"/>
      <c r="X62" s="155"/>
      <c r="Y62" s="146"/>
      <c r="Z62" s="146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outlineLevel="1" x14ac:dyDescent="0.25">
      <c r="A63" s="153"/>
      <c r="B63" s="154"/>
      <c r="C63" s="285" t="s">
        <v>311</v>
      </c>
      <c r="D63" s="286"/>
      <c r="E63" s="286"/>
      <c r="F63" s="286"/>
      <c r="G63" s="286"/>
      <c r="H63" s="188"/>
      <c r="I63" s="155"/>
      <c r="J63" s="188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46"/>
      <c r="Z63" s="146"/>
      <c r="AA63" s="146"/>
      <c r="AB63" s="146"/>
      <c r="AC63" s="146"/>
      <c r="AD63" s="146"/>
      <c r="AE63" s="146"/>
      <c r="AF63" s="146"/>
      <c r="AG63" s="146"/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1" x14ac:dyDescent="0.25">
      <c r="A64" s="153"/>
      <c r="B64" s="154"/>
      <c r="C64" s="307"/>
      <c r="D64" s="307"/>
      <c r="E64" s="307"/>
      <c r="F64" s="307"/>
      <c r="G64" s="307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ht="12.75" customHeight="1" outlineLevel="1" x14ac:dyDescent="0.25">
      <c r="A65" s="163">
        <v>22</v>
      </c>
      <c r="B65" s="164" t="s">
        <v>100</v>
      </c>
      <c r="C65" s="174" t="s">
        <v>302</v>
      </c>
      <c r="D65" s="165" t="s">
        <v>99</v>
      </c>
      <c r="E65" s="166">
        <v>190</v>
      </c>
      <c r="F65" s="167"/>
      <c r="G65" s="168">
        <f>ROUND(E65*F65,2)</f>
        <v>0</v>
      </c>
      <c r="H65" s="155"/>
      <c r="I65" s="155"/>
      <c r="J65" s="155"/>
      <c r="K65" s="155"/>
      <c r="L65" s="168">
        <v>21</v>
      </c>
      <c r="M65" s="168">
        <f>G65*(1+L65/100)</f>
        <v>0</v>
      </c>
      <c r="N65" s="168">
        <v>0.188</v>
      </c>
      <c r="O65" s="168">
        <f>ROUND(E65*N65,2)</f>
        <v>35.72</v>
      </c>
      <c r="P65" s="168">
        <v>0</v>
      </c>
      <c r="Q65" s="168">
        <f>ROUND(E65*P65,2)</f>
        <v>0</v>
      </c>
      <c r="R65" s="168" t="s">
        <v>95</v>
      </c>
      <c r="S65" s="168" t="s">
        <v>264</v>
      </c>
      <c r="T65" s="168" t="s">
        <v>103</v>
      </c>
      <c r="U65" s="155"/>
      <c r="V65" s="155"/>
      <c r="W65" s="155"/>
      <c r="X65" s="155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ht="12.75" customHeight="1" outlineLevel="1" x14ac:dyDescent="0.25">
      <c r="A66" s="153"/>
      <c r="B66" s="154"/>
      <c r="C66" s="285" t="s">
        <v>310</v>
      </c>
      <c r="D66" s="286"/>
      <c r="E66" s="286"/>
      <c r="F66" s="286"/>
      <c r="G66" s="286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46"/>
      <c r="Z66" s="146"/>
      <c r="AA66" s="146"/>
      <c r="AB66" s="146"/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ht="12.75" customHeight="1" outlineLevel="1" x14ac:dyDescent="0.25">
      <c r="A67" s="153"/>
      <c r="B67" s="154"/>
      <c r="C67" s="175"/>
      <c r="D67" s="170"/>
      <c r="E67" s="170"/>
      <c r="F67" s="170"/>
      <c r="G67" s="170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ht="12.75" customHeight="1" outlineLevel="1" x14ac:dyDescent="0.25">
      <c r="A68" s="163">
        <v>23</v>
      </c>
      <c r="B68" s="164" t="s">
        <v>293</v>
      </c>
      <c r="C68" s="174" t="s">
        <v>294</v>
      </c>
      <c r="D68" s="165" t="s">
        <v>99</v>
      </c>
      <c r="E68" s="166">
        <v>330</v>
      </c>
      <c r="F68" s="167"/>
      <c r="G68" s="168">
        <f>ROUND(E68*F68,2)</f>
        <v>0</v>
      </c>
      <c r="H68" s="167">
        <v>51.16</v>
      </c>
      <c r="I68" s="168">
        <f>ROUND(E68*H68,2)</f>
        <v>16882.8</v>
      </c>
      <c r="J68" s="167">
        <v>238.34</v>
      </c>
      <c r="K68" s="168">
        <f>ROUND(E68*J68,2)</f>
        <v>78652.2</v>
      </c>
      <c r="L68" s="168">
        <v>21</v>
      </c>
      <c r="M68" s="168">
        <f>G68*(1+L68/100)</f>
        <v>0</v>
      </c>
      <c r="N68" s="168">
        <v>9.2799999999999994E-2</v>
      </c>
      <c r="O68" s="168">
        <f>ROUND(E68*N68,2)</f>
        <v>30.62</v>
      </c>
      <c r="P68" s="168">
        <v>0</v>
      </c>
      <c r="Q68" s="168">
        <f>ROUND(E68*P68,2)</f>
        <v>0</v>
      </c>
      <c r="R68" s="168" t="s">
        <v>111</v>
      </c>
      <c r="S68" s="168" t="s">
        <v>264</v>
      </c>
      <c r="T68" s="168" t="s">
        <v>264</v>
      </c>
      <c r="U68" s="155"/>
      <c r="V68" s="155"/>
      <c r="W68" s="155"/>
      <c r="X68" s="155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ht="12.75" customHeight="1" outlineLevel="1" x14ac:dyDescent="0.25">
      <c r="A69" s="153"/>
      <c r="B69" s="154"/>
      <c r="C69" s="285" t="s">
        <v>295</v>
      </c>
      <c r="D69" s="285"/>
      <c r="E69" s="285"/>
      <c r="F69" s="285"/>
      <c r="G69" s="28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12.75" customHeight="1" outlineLevel="1" x14ac:dyDescent="0.25">
      <c r="A70" s="153"/>
      <c r="B70" s="154"/>
      <c r="C70" s="175"/>
      <c r="D70" s="170"/>
      <c r="E70" s="170"/>
      <c r="F70" s="170"/>
      <c r="G70" s="170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ht="12.75" customHeight="1" outlineLevel="1" x14ac:dyDescent="0.25">
      <c r="A71" s="163">
        <v>24</v>
      </c>
      <c r="B71" s="164" t="s">
        <v>296</v>
      </c>
      <c r="C71" s="174" t="s">
        <v>297</v>
      </c>
      <c r="D71" s="165" t="s">
        <v>99</v>
      </c>
      <c r="E71" s="166">
        <f>E68*1.04</f>
        <v>343.2</v>
      </c>
      <c r="F71" s="167"/>
      <c r="G71" s="168">
        <f>ROUND(E71*F71,2)</f>
        <v>0</v>
      </c>
      <c r="H71" s="155"/>
      <c r="I71" s="155"/>
      <c r="J71" s="155"/>
      <c r="K71" s="155"/>
      <c r="L71" s="168">
        <v>21</v>
      </c>
      <c r="M71" s="168">
        <f>G71*(1+L71/100)</f>
        <v>0</v>
      </c>
      <c r="N71" s="168">
        <v>0.188</v>
      </c>
      <c r="O71" s="168">
        <f>ROUND(E71*N71,2)</f>
        <v>64.52</v>
      </c>
      <c r="P71" s="168">
        <v>0</v>
      </c>
      <c r="Q71" s="168">
        <f>ROUND(E71*P71,2)</f>
        <v>0</v>
      </c>
      <c r="R71" s="168" t="s">
        <v>95</v>
      </c>
      <c r="S71" s="168" t="s">
        <v>264</v>
      </c>
      <c r="T71" s="169" t="s">
        <v>103</v>
      </c>
      <c r="U71" s="155"/>
      <c r="V71" s="155"/>
      <c r="W71" s="155"/>
      <c r="X71" s="155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ht="12.75" customHeight="1" outlineLevel="1" x14ac:dyDescent="0.25">
      <c r="A72" s="153"/>
      <c r="B72" s="154"/>
      <c r="C72" s="285" t="s">
        <v>298</v>
      </c>
      <c r="D72" s="285"/>
      <c r="E72" s="285"/>
      <c r="F72" s="285"/>
      <c r="G72" s="28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46"/>
      <c r="Z72" s="146"/>
      <c r="AA72" s="146"/>
      <c r="AB72" s="146"/>
      <c r="AC72" s="146"/>
      <c r="AD72" s="146"/>
      <c r="AE72" s="146"/>
      <c r="AF72" s="146"/>
      <c r="AG72" s="146"/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ht="12.75" customHeight="1" outlineLevel="1" x14ac:dyDescent="0.25">
      <c r="A73" s="153"/>
      <c r="B73" s="154"/>
      <c r="C73" s="175"/>
      <c r="D73" s="170"/>
      <c r="E73" s="170"/>
      <c r="F73" s="170"/>
      <c r="G73" s="170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46"/>
      <c r="Z73" s="146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5">
      <c r="A74" s="157" t="s">
        <v>91</v>
      </c>
      <c r="B74" s="158" t="s">
        <v>235</v>
      </c>
      <c r="C74" s="173" t="s">
        <v>236</v>
      </c>
      <c r="D74" s="159"/>
      <c r="E74" s="160"/>
      <c r="F74" s="161"/>
      <c r="G74" s="161">
        <f>G75</f>
        <v>0</v>
      </c>
      <c r="H74" s="161"/>
      <c r="I74" s="161">
        <f>SUM(I75:I77)</f>
        <v>380700.72</v>
      </c>
      <c r="J74" s="161"/>
      <c r="K74" s="161">
        <f>SUM(K75:K77)</f>
        <v>61239.28</v>
      </c>
      <c r="L74" s="161"/>
      <c r="M74" s="161">
        <f>M75</f>
        <v>0</v>
      </c>
      <c r="N74" s="161"/>
      <c r="O74" s="161">
        <f>SUM(O75:O77)</f>
        <v>1.93</v>
      </c>
      <c r="P74" s="161"/>
      <c r="Q74" s="161">
        <f>SUM(Q75:Q77)</f>
        <v>0</v>
      </c>
      <c r="R74" s="161"/>
      <c r="S74" s="161"/>
      <c r="T74" s="162"/>
      <c r="U74" s="155"/>
      <c r="V74" s="155"/>
      <c r="W74" s="155"/>
      <c r="X74" s="155"/>
      <c r="Y74" s="146"/>
      <c r="Z74" s="146"/>
      <c r="AA74" s="146"/>
      <c r="AB74" s="146"/>
      <c r="AC74" s="146"/>
      <c r="AD74" s="146"/>
      <c r="AE74" s="146"/>
      <c r="AF74" s="146"/>
      <c r="AG74" s="146"/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5">
      <c r="A75" s="163">
        <v>25</v>
      </c>
      <c r="B75" s="164" t="s">
        <v>250</v>
      </c>
      <c r="C75" s="174" t="s">
        <v>251</v>
      </c>
      <c r="D75" s="165" t="s">
        <v>116</v>
      </c>
      <c r="E75" s="166">
        <v>76</v>
      </c>
      <c r="F75" s="167"/>
      <c r="G75" s="168">
        <f>ROUND(E75*F75,2)</f>
        <v>0</v>
      </c>
      <c r="H75" s="167">
        <v>5009.22</v>
      </c>
      <c r="I75" s="168">
        <f>ROUND(E75*H75,2)</f>
        <v>380700.72</v>
      </c>
      <c r="J75" s="167">
        <v>805.78</v>
      </c>
      <c r="K75" s="168">
        <f>ROUND(E75*J75,2)</f>
        <v>61239.28</v>
      </c>
      <c r="L75" s="168">
        <v>21</v>
      </c>
      <c r="M75" s="168">
        <f>G75*(1+L75/100)</f>
        <v>0</v>
      </c>
      <c r="N75" s="168">
        <v>2.545E-2</v>
      </c>
      <c r="O75" s="168">
        <f>ROUND(E75*N75,2)</f>
        <v>1.93</v>
      </c>
      <c r="P75" s="168">
        <v>0</v>
      </c>
      <c r="Q75" s="168">
        <f>ROUND(E75*P75,2)</f>
        <v>0</v>
      </c>
      <c r="R75" s="168" t="s">
        <v>235</v>
      </c>
      <c r="S75" s="168" t="s">
        <v>264</v>
      </c>
      <c r="T75" s="168" t="s">
        <v>103</v>
      </c>
      <c r="U75" s="155"/>
      <c r="V75" s="155"/>
      <c r="W75" s="155"/>
      <c r="X75" s="155"/>
      <c r="Y75" s="146"/>
      <c r="Z75" s="146"/>
      <c r="AA75" s="146"/>
      <c r="AB75" s="146"/>
      <c r="AC75" s="146"/>
      <c r="AD75" s="146"/>
      <c r="AE75" s="146"/>
      <c r="AF75" s="146"/>
      <c r="AG75" s="146"/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ht="12.75" customHeight="1" outlineLevel="1" x14ac:dyDescent="0.25">
      <c r="A76" s="153"/>
      <c r="B76" s="154"/>
      <c r="C76" s="291" t="s">
        <v>249</v>
      </c>
      <c r="D76" s="292"/>
      <c r="E76" s="292"/>
      <c r="F76" s="292"/>
      <c r="G76" s="292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46"/>
      <c r="Z76" s="146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5">
      <c r="A77" s="153"/>
      <c r="B77" s="154"/>
      <c r="C77" s="287"/>
      <c r="D77" s="288"/>
      <c r="E77" s="288"/>
      <c r="F77" s="288"/>
      <c r="G77" s="288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46"/>
      <c r="Z77" s="146"/>
      <c r="AA77" s="146"/>
      <c r="AB77" s="146"/>
      <c r="AC77" s="146"/>
      <c r="AD77" s="146"/>
      <c r="AE77" s="146"/>
      <c r="AF77" s="146"/>
      <c r="AG77" s="146"/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5">
      <c r="A78" s="157" t="s">
        <v>91</v>
      </c>
      <c r="B78" s="158" t="s">
        <v>195</v>
      </c>
      <c r="C78" s="173" t="s">
        <v>196</v>
      </c>
      <c r="D78" s="159"/>
      <c r="E78" s="160"/>
      <c r="F78" s="161"/>
      <c r="G78" s="161">
        <f>G79</f>
        <v>0</v>
      </c>
      <c r="H78" s="161"/>
      <c r="I78" s="161">
        <f>SUM(I79:I81)</f>
        <v>33.119999999999997</v>
      </c>
      <c r="J78" s="161"/>
      <c r="K78" s="161">
        <f>SUM(K79:K81)</f>
        <v>1100.8800000000001</v>
      </c>
      <c r="L78" s="161"/>
      <c r="M78" s="161">
        <f>M79</f>
        <v>0</v>
      </c>
      <c r="N78" s="161"/>
      <c r="O78" s="161">
        <f>SUM(O79:O81)</f>
        <v>0.03</v>
      </c>
      <c r="P78" s="161"/>
      <c r="Q78" s="161">
        <f>SUM(Q79:Q81)</f>
        <v>0</v>
      </c>
      <c r="R78" s="161"/>
      <c r="S78" s="161"/>
      <c r="T78" s="162"/>
      <c r="U78" s="155"/>
      <c r="V78" s="155"/>
      <c r="W78" s="155"/>
      <c r="X78" s="155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5">
      <c r="A79" s="163">
        <v>26</v>
      </c>
      <c r="B79" s="164" t="s">
        <v>312</v>
      </c>
      <c r="C79" s="174" t="s">
        <v>313</v>
      </c>
      <c r="D79" s="165" t="s">
        <v>96</v>
      </c>
      <c r="E79" s="166">
        <v>6</v>
      </c>
      <c r="F79" s="167"/>
      <c r="G79" s="168">
        <f>ROUND(E79*F79,2)</f>
        <v>0</v>
      </c>
      <c r="H79" s="167">
        <v>5.52</v>
      </c>
      <c r="I79" s="168">
        <f>ROUND(E79*H79,2)</f>
        <v>33.119999999999997</v>
      </c>
      <c r="J79" s="167">
        <v>183.48</v>
      </c>
      <c r="K79" s="168">
        <f>ROUND(E79*J79,2)</f>
        <v>1100.8800000000001</v>
      </c>
      <c r="L79" s="168">
        <v>21</v>
      </c>
      <c r="M79" s="168">
        <f>G79*(1+L79/100)</f>
        <v>0</v>
      </c>
      <c r="N79" s="168">
        <v>4.6800000000000001E-3</v>
      </c>
      <c r="O79" s="168">
        <f>ROUND(E79*N79,2)</f>
        <v>0.03</v>
      </c>
      <c r="P79" s="168">
        <v>0</v>
      </c>
      <c r="Q79" s="212">
        <f>ROUND(E79*P79,2)</f>
        <v>0</v>
      </c>
      <c r="R79" s="168" t="s">
        <v>197</v>
      </c>
      <c r="S79" s="168" t="s">
        <v>264</v>
      </c>
      <c r="T79" s="168" t="s">
        <v>103</v>
      </c>
      <c r="U79" s="155"/>
      <c r="V79" s="155"/>
      <c r="W79" s="155"/>
      <c r="X79" s="155"/>
      <c r="Y79" s="146"/>
      <c r="Z79" s="146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12.75" customHeight="1" outlineLevel="1" x14ac:dyDescent="0.25">
      <c r="A80" s="153"/>
      <c r="B80" s="154"/>
      <c r="C80" s="189" t="s">
        <v>314</v>
      </c>
      <c r="D80" s="190"/>
      <c r="E80" s="191"/>
      <c r="F80" s="200"/>
      <c r="G80" s="193"/>
      <c r="H80" s="188"/>
      <c r="I80" s="155"/>
      <c r="J80" s="188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46"/>
      <c r="Z80" s="146"/>
      <c r="AA80" s="146"/>
      <c r="AB80" s="146"/>
      <c r="AC80" s="146"/>
      <c r="AD80" s="146"/>
      <c r="AE80" s="146"/>
      <c r="AF80" s="146"/>
      <c r="AG80" s="146"/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53"/>
      <c r="B81" s="154"/>
      <c r="C81" s="287"/>
      <c r="D81" s="288"/>
      <c r="E81" s="288"/>
      <c r="F81" s="288"/>
      <c r="G81" s="288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x14ac:dyDescent="0.25">
      <c r="A82" s="157" t="s">
        <v>91</v>
      </c>
      <c r="B82" s="158" t="s">
        <v>58</v>
      </c>
      <c r="C82" s="173" t="s">
        <v>59</v>
      </c>
      <c r="D82" s="159"/>
      <c r="E82" s="160"/>
      <c r="F82" s="161"/>
      <c r="G82" s="161">
        <f>SUMIF(AG83:AG86,"&lt;&gt;NOR",G83:G86)</f>
        <v>0</v>
      </c>
      <c r="H82" s="161"/>
      <c r="I82" s="161">
        <f>SUM(I83:I86)</f>
        <v>0</v>
      </c>
      <c r="J82" s="161"/>
      <c r="K82" s="161">
        <f>SUM(K83:K86)</f>
        <v>50080.36</v>
      </c>
      <c r="L82" s="161"/>
      <c r="M82" s="161">
        <f>SUM(M83:M86)</f>
        <v>0</v>
      </c>
      <c r="N82" s="161"/>
      <c r="O82" s="161">
        <f>SUM(O83:O86)</f>
        <v>0</v>
      </c>
      <c r="P82" s="161"/>
      <c r="Q82" s="161">
        <f>SUM(Q83:Q86)</f>
        <v>0</v>
      </c>
      <c r="R82" s="161"/>
      <c r="S82" s="161"/>
      <c r="T82" s="162"/>
      <c r="U82" s="156"/>
      <c r="V82" s="156">
        <f>SUM(V83:V86)</f>
        <v>35.409999999999997</v>
      </c>
      <c r="W82" s="156"/>
      <c r="X82" s="156"/>
      <c r="AG82" t="s">
        <v>92</v>
      </c>
    </row>
    <row r="83" spans="1:60" outlineLevel="1" x14ac:dyDescent="0.25">
      <c r="A83" s="163">
        <v>27</v>
      </c>
      <c r="B83" s="164" t="s">
        <v>159</v>
      </c>
      <c r="C83" s="174" t="s">
        <v>140</v>
      </c>
      <c r="D83" s="165" t="s">
        <v>132</v>
      </c>
      <c r="E83" s="166">
        <f>E65*0.1*2+E53*0.08*2</f>
        <v>90.800000000000011</v>
      </c>
      <c r="F83" s="167"/>
      <c r="G83" s="168">
        <f>ROUND(E83*F83,2)</f>
        <v>0</v>
      </c>
      <c r="H83" s="167">
        <v>0</v>
      </c>
      <c r="I83" s="168">
        <f>ROUND(E83*H83,2)</f>
        <v>0</v>
      </c>
      <c r="J83" s="167">
        <v>225.5</v>
      </c>
      <c r="K83" s="168">
        <f>ROUND(E83*J83,2)</f>
        <v>20475.400000000001</v>
      </c>
      <c r="L83" s="168">
        <v>21</v>
      </c>
      <c r="M83" s="168">
        <f>G83*(1+L83/100)</f>
        <v>0</v>
      </c>
      <c r="N83" s="168">
        <v>0</v>
      </c>
      <c r="O83" s="168">
        <f>ROUND(E83*N83,2)</f>
        <v>0</v>
      </c>
      <c r="P83" s="168">
        <v>0</v>
      </c>
      <c r="Q83" s="168">
        <f>ROUND(E83*P83,2)</f>
        <v>0</v>
      </c>
      <c r="R83" s="168" t="s">
        <v>111</v>
      </c>
      <c r="S83" s="168" t="s">
        <v>264</v>
      </c>
      <c r="T83" s="168" t="s">
        <v>264</v>
      </c>
      <c r="U83" s="155">
        <v>0.39</v>
      </c>
      <c r="V83" s="155">
        <f>ROUND(E83*U83,2)</f>
        <v>35.409999999999997</v>
      </c>
      <c r="W83" s="155"/>
      <c r="X83" s="155" t="s">
        <v>138</v>
      </c>
      <c r="Y83" s="146"/>
      <c r="Z83" s="146"/>
      <c r="AA83" s="146"/>
      <c r="AB83" s="146"/>
      <c r="AC83" s="146"/>
      <c r="AD83" s="146"/>
      <c r="AE83" s="146"/>
      <c r="AF83" s="146"/>
      <c r="AG83" s="146" t="s">
        <v>139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1" x14ac:dyDescent="0.25">
      <c r="A84" s="153"/>
      <c r="B84" s="154"/>
      <c r="C84" s="287"/>
      <c r="D84" s="288"/>
      <c r="E84" s="288"/>
      <c r="F84" s="288"/>
      <c r="G84" s="288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46"/>
      <c r="Z84" s="146"/>
      <c r="AA84" s="146"/>
      <c r="AB84" s="146"/>
      <c r="AC84" s="146"/>
      <c r="AD84" s="146"/>
      <c r="AE84" s="146"/>
      <c r="AF84" s="146"/>
      <c r="AG84" s="146" t="s">
        <v>94</v>
      </c>
      <c r="AH84" s="146"/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5">
      <c r="A85" s="163">
        <v>28</v>
      </c>
      <c r="B85" s="164" t="s">
        <v>198</v>
      </c>
      <c r="C85" s="174" t="s">
        <v>199</v>
      </c>
      <c r="D85" s="165" t="s">
        <v>132</v>
      </c>
      <c r="E85" s="166">
        <f>E55*0.25*2+E53*0.2*2+E60*0.25*2+E57*0.1*1.8</f>
        <v>415.8</v>
      </c>
      <c r="F85" s="167"/>
      <c r="G85" s="168">
        <f>ROUND(E85*F85,2)</f>
        <v>0</v>
      </c>
      <c r="H85" s="167">
        <v>0</v>
      </c>
      <c r="I85" s="168">
        <f>ROUND(E85*H85,2)</f>
        <v>0</v>
      </c>
      <c r="J85" s="167">
        <v>71.2</v>
      </c>
      <c r="K85" s="168">
        <f>ROUND(E85*J85,2)</f>
        <v>29604.959999999999</v>
      </c>
      <c r="L85" s="168">
        <v>21</v>
      </c>
      <c r="M85" s="168">
        <f>G85*(1+L85/100)</f>
        <v>0</v>
      </c>
      <c r="N85" s="168">
        <v>0</v>
      </c>
      <c r="O85" s="168">
        <f>ROUND(E85*N85,2)</f>
        <v>0</v>
      </c>
      <c r="P85" s="168">
        <v>0</v>
      </c>
      <c r="Q85" s="168">
        <f>ROUND(E85*P85,2)</f>
        <v>0</v>
      </c>
      <c r="R85" s="168" t="s">
        <v>111</v>
      </c>
      <c r="S85" s="168" t="s">
        <v>264</v>
      </c>
      <c r="T85" s="168" t="s">
        <v>264</v>
      </c>
      <c r="U85" s="155"/>
      <c r="V85" s="155"/>
      <c r="W85" s="155"/>
      <c r="X85" s="155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1" x14ac:dyDescent="0.25">
      <c r="A86" s="153"/>
      <c r="B86" s="154"/>
      <c r="C86" s="287"/>
      <c r="D86" s="288"/>
      <c r="E86" s="288"/>
      <c r="F86" s="288"/>
      <c r="G86" s="288"/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46"/>
      <c r="Z86" s="146"/>
      <c r="AA86" s="146"/>
      <c r="AB86" s="146"/>
      <c r="AC86" s="146"/>
      <c r="AD86" s="146"/>
      <c r="AE86" s="146"/>
      <c r="AF86" s="146"/>
      <c r="AG86" s="146"/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x14ac:dyDescent="0.25">
      <c r="A87" s="157" t="s">
        <v>91</v>
      </c>
      <c r="B87" s="158" t="s">
        <v>60</v>
      </c>
      <c r="C87" s="173" t="s">
        <v>61</v>
      </c>
      <c r="D87" s="159"/>
      <c r="E87" s="160"/>
      <c r="F87" s="161"/>
      <c r="G87" s="161">
        <f>SUMIF(AG88:AG93,"&lt;&gt;NOR",G88:G93)</f>
        <v>0</v>
      </c>
      <c r="H87" s="161"/>
      <c r="I87" s="161">
        <f>SUM(I88:I93)</f>
        <v>0</v>
      </c>
      <c r="J87" s="161"/>
      <c r="K87" s="161">
        <f>SUM(K88:K93)</f>
        <v>399801</v>
      </c>
      <c r="L87" s="161"/>
      <c r="M87" s="161">
        <f>SUM(M88:M93)</f>
        <v>0</v>
      </c>
      <c r="N87" s="161"/>
      <c r="O87" s="161">
        <f>SUM(O88:O93)</f>
        <v>0</v>
      </c>
      <c r="P87" s="161"/>
      <c r="Q87" s="161">
        <f>SUM(Q88:Q93)</f>
        <v>0</v>
      </c>
      <c r="R87" s="161"/>
      <c r="S87" s="161"/>
      <c r="T87" s="162"/>
      <c r="U87" s="156"/>
      <c r="V87" s="156">
        <f>SUM(V88:V93)</f>
        <v>123.97</v>
      </c>
      <c r="W87" s="156"/>
      <c r="X87" s="156"/>
      <c r="Z87" s="84"/>
      <c r="AG87" t="s">
        <v>92</v>
      </c>
    </row>
    <row r="88" spans="1:60" outlineLevel="1" x14ac:dyDescent="0.25">
      <c r="A88" s="163">
        <v>29</v>
      </c>
      <c r="B88" s="164" t="s">
        <v>286</v>
      </c>
      <c r="C88" s="174" t="s">
        <v>287</v>
      </c>
      <c r="D88" s="165" t="s">
        <v>132</v>
      </c>
      <c r="E88" s="166">
        <f>E9*0.05*2+E12*2</f>
        <v>426</v>
      </c>
      <c r="F88" s="167"/>
      <c r="G88" s="168">
        <f>ROUND(E88*F88,2)</f>
        <v>0</v>
      </c>
      <c r="H88" s="167">
        <v>0</v>
      </c>
      <c r="I88" s="168">
        <f>ROUND(E88*H88,2)</f>
        <v>0</v>
      </c>
      <c r="J88" s="167">
        <v>406.5</v>
      </c>
      <c r="K88" s="168">
        <f>ROUND(E88*J88,2)</f>
        <v>173169</v>
      </c>
      <c r="L88" s="168">
        <v>21</v>
      </c>
      <c r="M88" s="168">
        <f>G88*(1+L88/100)</f>
        <v>0</v>
      </c>
      <c r="N88" s="168">
        <v>0</v>
      </c>
      <c r="O88" s="168">
        <f>ROUND(E88*N88,2)</f>
        <v>0</v>
      </c>
      <c r="P88" s="168">
        <v>0</v>
      </c>
      <c r="Q88" s="168">
        <f>ROUND(E88*P88,2)</f>
        <v>0</v>
      </c>
      <c r="R88" s="168"/>
      <c r="S88" s="168" t="s">
        <v>264</v>
      </c>
      <c r="T88" s="168" t="s">
        <v>264</v>
      </c>
      <c r="U88" s="155">
        <v>0.29099999999999998</v>
      </c>
      <c r="V88" s="155">
        <f>ROUND(E88*U88,2)</f>
        <v>123.97</v>
      </c>
      <c r="W88" s="155"/>
      <c r="X88" s="155" t="s">
        <v>141</v>
      </c>
      <c r="Y88" s="182"/>
      <c r="Z88" s="146"/>
      <c r="AA88" s="146"/>
      <c r="AB88" s="146"/>
      <c r="AC88" s="146"/>
      <c r="AD88" s="146"/>
      <c r="AE88" s="146"/>
      <c r="AF88" s="146"/>
      <c r="AG88" s="146" t="s">
        <v>142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5">
      <c r="A89" s="153"/>
      <c r="B89" s="154"/>
      <c r="C89" s="289"/>
      <c r="D89" s="290"/>
      <c r="E89" s="290"/>
      <c r="F89" s="290"/>
      <c r="G89" s="290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82"/>
      <c r="Z89" s="146"/>
      <c r="AA89" s="146"/>
      <c r="AB89" s="146"/>
      <c r="AC89" s="146"/>
      <c r="AD89" s="146"/>
      <c r="AE89" s="146"/>
      <c r="AF89" s="146"/>
      <c r="AG89" s="146"/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5">
      <c r="A90" s="163">
        <v>30</v>
      </c>
      <c r="B90" s="164" t="s">
        <v>288</v>
      </c>
      <c r="C90" s="174" t="s">
        <v>289</v>
      </c>
      <c r="D90" s="165" t="s">
        <v>132</v>
      </c>
      <c r="E90" s="166">
        <f>E88*8</f>
        <v>3408</v>
      </c>
      <c r="F90" s="167"/>
      <c r="G90" s="168">
        <f>ROUND(E90*F90,2)</f>
        <v>0</v>
      </c>
      <c r="H90" s="167">
        <v>0</v>
      </c>
      <c r="I90" s="168">
        <f>ROUND(E90*H90,2)</f>
        <v>0</v>
      </c>
      <c r="J90" s="167">
        <v>29</v>
      </c>
      <c r="K90" s="168">
        <f>ROUND(E90*J90,2)</f>
        <v>98832</v>
      </c>
      <c r="L90" s="168">
        <v>21</v>
      </c>
      <c r="M90" s="168">
        <f>G90*(1+L90/100)</f>
        <v>0</v>
      </c>
      <c r="N90" s="168">
        <v>0</v>
      </c>
      <c r="O90" s="168">
        <f>ROUND(E90*N90,2)</f>
        <v>0</v>
      </c>
      <c r="P90" s="168">
        <v>0</v>
      </c>
      <c r="Q90" s="212">
        <f>ROUND(E90*P90,2)</f>
        <v>0</v>
      </c>
      <c r="R90" s="168" t="s">
        <v>111</v>
      </c>
      <c r="S90" s="168" t="s">
        <v>264</v>
      </c>
      <c r="T90" s="168" t="s">
        <v>264</v>
      </c>
      <c r="U90" s="155"/>
      <c r="V90" s="155"/>
      <c r="W90" s="155"/>
      <c r="X90" s="155"/>
      <c r="Y90" s="182"/>
      <c r="Z90" s="146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1" x14ac:dyDescent="0.25">
      <c r="A91" s="153"/>
      <c r="B91" s="154"/>
      <c r="C91" s="293"/>
      <c r="D91" s="293"/>
      <c r="E91" s="293"/>
      <c r="F91" s="293"/>
      <c r="G91" s="293"/>
      <c r="H91" s="155"/>
      <c r="I91" s="155"/>
      <c r="J91" s="155"/>
      <c r="K91" s="155"/>
      <c r="L91" s="155"/>
      <c r="M91" s="155"/>
      <c r="N91" s="155"/>
      <c r="O91" s="155"/>
      <c r="P91" s="155"/>
      <c r="Q91" s="155"/>
      <c r="R91" s="155"/>
      <c r="S91" s="155"/>
      <c r="T91" s="155"/>
      <c r="U91" s="155"/>
      <c r="V91" s="155"/>
      <c r="W91" s="155"/>
      <c r="X91" s="155"/>
      <c r="Y91" s="182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1" x14ac:dyDescent="0.25">
      <c r="A92" s="163">
        <v>31</v>
      </c>
      <c r="B92" s="164" t="s">
        <v>162</v>
      </c>
      <c r="C92" s="174" t="s">
        <v>161</v>
      </c>
      <c r="D92" s="165" t="s">
        <v>132</v>
      </c>
      <c r="E92" s="166">
        <f>E88</f>
        <v>426</v>
      </c>
      <c r="F92" s="167"/>
      <c r="G92" s="168">
        <f>ROUND(E92*F92,2)</f>
        <v>0</v>
      </c>
      <c r="H92" s="167">
        <v>0</v>
      </c>
      <c r="I92" s="168">
        <f>ROUND(E92*H92,2)</f>
        <v>0</v>
      </c>
      <c r="J92" s="167">
        <v>300</v>
      </c>
      <c r="K92" s="168">
        <f>ROUND(E92*J92,2)</f>
        <v>127800</v>
      </c>
      <c r="L92" s="168">
        <v>21</v>
      </c>
      <c r="M92" s="168">
        <f>G92*(1+L92/100)</f>
        <v>0</v>
      </c>
      <c r="N92" s="168">
        <v>0</v>
      </c>
      <c r="O92" s="168">
        <f>ROUND(E92*N92,2)</f>
        <v>0</v>
      </c>
      <c r="P92" s="168">
        <v>0</v>
      </c>
      <c r="Q92" s="168">
        <f>ROUND(E92*P92,2)</f>
        <v>0</v>
      </c>
      <c r="R92" s="168" t="s">
        <v>143</v>
      </c>
      <c r="S92" s="168" t="s">
        <v>264</v>
      </c>
      <c r="T92" s="168" t="s">
        <v>264</v>
      </c>
      <c r="U92" s="155"/>
      <c r="V92" s="155"/>
      <c r="W92" s="155"/>
      <c r="X92" s="155"/>
      <c r="Y92" s="182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5">
      <c r="A93" s="153"/>
      <c r="B93" s="154"/>
      <c r="C93" s="289"/>
      <c r="D93" s="290"/>
      <c r="E93" s="290"/>
      <c r="F93" s="290"/>
      <c r="G93" s="290"/>
      <c r="H93" s="155"/>
      <c r="I93" s="155"/>
      <c r="J93" s="155"/>
      <c r="K93" s="155"/>
      <c r="L93" s="155"/>
      <c r="M93" s="155"/>
      <c r="N93" s="155"/>
      <c r="O93" s="155"/>
      <c r="P93" s="155"/>
      <c r="Q93" s="155"/>
      <c r="R93" s="155"/>
      <c r="S93" s="155"/>
      <c r="T93" s="155"/>
      <c r="U93" s="155"/>
      <c r="V93" s="155"/>
      <c r="W93" s="155"/>
      <c r="X93" s="155"/>
      <c r="Y93" s="146"/>
      <c r="Z93" s="146"/>
      <c r="AA93" s="146"/>
      <c r="AB93" s="146"/>
      <c r="AC93" s="146"/>
      <c r="AD93" s="146"/>
      <c r="AE93" s="146"/>
      <c r="AF93" s="146"/>
      <c r="AG93" s="146" t="s">
        <v>94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x14ac:dyDescent="0.25">
      <c r="A94" s="157" t="s">
        <v>91</v>
      </c>
      <c r="B94" s="158" t="s">
        <v>63</v>
      </c>
      <c r="C94" s="173" t="s">
        <v>26</v>
      </c>
      <c r="D94" s="159"/>
      <c r="E94" s="160"/>
      <c r="F94" s="161"/>
      <c r="G94" s="161">
        <f>G95+G97+G100+G102</f>
        <v>0</v>
      </c>
      <c r="H94" s="161"/>
      <c r="I94" s="161">
        <f>SUM(I97:I99)</f>
        <v>0</v>
      </c>
      <c r="J94" s="161"/>
      <c r="K94" s="161">
        <f>SUM(K97:K99)</f>
        <v>0</v>
      </c>
      <c r="L94" s="161"/>
      <c r="M94" s="161">
        <f>M95+M97+M100+M102</f>
        <v>0</v>
      </c>
      <c r="N94" s="161"/>
      <c r="O94" s="161">
        <f>SUM(O97:O99)</f>
        <v>0</v>
      </c>
      <c r="P94" s="161"/>
      <c r="Q94" s="161">
        <f>SUM(Q97:Q99)</f>
        <v>0</v>
      </c>
      <c r="R94" s="161"/>
      <c r="S94" s="161"/>
      <c r="T94" s="162"/>
      <c r="U94" s="156"/>
      <c r="V94" s="156">
        <f>SUM(V97:V99)</f>
        <v>0</v>
      </c>
      <c r="W94" s="156"/>
      <c r="X94" s="156"/>
      <c r="Z94" s="84"/>
      <c r="AG94" t="s">
        <v>92</v>
      </c>
    </row>
    <row r="95" spans="1:60" x14ac:dyDescent="0.25">
      <c r="A95" s="163">
        <v>32</v>
      </c>
      <c r="B95" s="164" t="s">
        <v>168</v>
      </c>
      <c r="C95" s="174" t="s">
        <v>106</v>
      </c>
      <c r="D95" s="165" t="s">
        <v>102</v>
      </c>
      <c r="E95" s="166">
        <v>1</v>
      </c>
      <c r="F95" s="167"/>
      <c r="G95" s="168">
        <f>ROUND(E95*F95,2)</f>
        <v>0</v>
      </c>
      <c r="H95" s="167">
        <v>0</v>
      </c>
      <c r="I95" s="168">
        <f>ROUND(E95*H95,2)</f>
        <v>0</v>
      </c>
      <c r="J95" s="167">
        <v>0</v>
      </c>
      <c r="K95" s="168">
        <f>ROUND(E95*J95,2)</f>
        <v>0</v>
      </c>
      <c r="L95" s="168">
        <v>21</v>
      </c>
      <c r="M95" s="168">
        <f>G95*(1+L95/100)</f>
        <v>0</v>
      </c>
      <c r="N95" s="168">
        <v>0</v>
      </c>
      <c r="O95" s="168">
        <f>ROUND(E95*N95,2)</f>
        <v>0</v>
      </c>
      <c r="P95" s="168">
        <v>0</v>
      </c>
      <c r="Q95" s="168">
        <f>ROUND(E95*P95,2)</f>
        <v>0</v>
      </c>
      <c r="R95" s="168"/>
      <c r="S95" s="168" t="s">
        <v>264</v>
      </c>
      <c r="T95" s="169" t="s">
        <v>103</v>
      </c>
      <c r="U95" s="156"/>
      <c r="V95" s="156"/>
      <c r="W95" s="156"/>
      <c r="X95" s="156"/>
    </row>
    <row r="96" spans="1:60" x14ac:dyDescent="0.25">
      <c r="A96" s="179"/>
      <c r="B96" s="180"/>
      <c r="C96" s="289"/>
      <c r="D96" s="290"/>
      <c r="E96" s="290"/>
      <c r="F96" s="290"/>
      <c r="G96" s="290"/>
      <c r="H96" s="181"/>
      <c r="I96" s="181"/>
      <c r="J96" s="181"/>
      <c r="K96" s="181"/>
      <c r="L96" s="181"/>
      <c r="M96" s="181"/>
      <c r="N96" s="181"/>
      <c r="O96" s="181"/>
      <c r="P96" s="181"/>
      <c r="Q96" s="181"/>
      <c r="R96" s="181"/>
      <c r="S96" s="181"/>
      <c r="T96" s="181"/>
      <c r="U96" s="156"/>
      <c r="V96" s="156"/>
      <c r="W96" s="156"/>
      <c r="X96" s="156"/>
    </row>
    <row r="97" spans="1:60" outlineLevel="1" x14ac:dyDescent="0.25">
      <c r="A97" s="163">
        <v>33</v>
      </c>
      <c r="B97" s="164" t="s">
        <v>144</v>
      </c>
      <c r="C97" s="174" t="s">
        <v>145</v>
      </c>
      <c r="D97" s="165" t="s">
        <v>102</v>
      </c>
      <c r="E97" s="166">
        <v>1</v>
      </c>
      <c r="F97" s="167"/>
      <c r="G97" s="168">
        <f>ROUND(E97*F97,2)</f>
        <v>0</v>
      </c>
      <c r="H97" s="167">
        <v>0</v>
      </c>
      <c r="I97" s="168">
        <f>ROUND(E97*H97,2)</f>
        <v>0</v>
      </c>
      <c r="J97" s="167">
        <v>0</v>
      </c>
      <c r="K97" s="168">
        <f>ROUND(E97*J97,2)</f>
        <v>0</v>
      </c>
      <c r="L97" s="168">
        <v>21</v>
      </c>
      <c r="M97" s="168">
        <f>G97*(1+L97/100)</f>
        <v>0</v>
      </c>
      <c r="N97" s="168">
        <v>0</v>
      </c>
      <c r="O97" s="168">
        <f>ROUND(E97*N97,2)</f>
        <v>0</v>
      </c>
      <c r="P97" s="168">
        <v>0</v>
      </c>
      <c r="Q97" s="168">
        <f>ROUND(E97*P97,2)</f>
        <v>0</v>
      </c>
      <c r="R97" s="168"/>
      <c r="S97" s="168" t="s">
        <v>264</v>
      </c>
      <c r="T97" s="169" t="s">
        <v>103</v>
      </c>
      <c r="U97" s="155">
        <v>0</v>
      </c>
      <c r="V97" s="155">
        <f>ROUND(E97*U97,2)</f>
        <v>0</v>
      </c>
      <c r="W97" s="155"/>
      <c r="X97" s="155" t="s">
        <v>104</v>
      </c>
      <c r="Y97" s="146"/>
      <c r="Z97" s="146"/>
      <c r="AA97" s="146"/>
      <c r="AB97" s="146"/>
      <c r="AC97" s="146"/>
      <c r="AD97" s="146"/>
      <c r="AE97" s="146"/>
      <c r="AF97" s="146"/>
      <c r="AG97" s="146" t="s">
        <v>105</v>
      </c>
      <c r="AH97" s="146"/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1" outlineLevel="1" x14ac:dyDescent="0.25">
      <c r="A98" s="153"/>
      <c r="B98" s="154"/>
      <c r="C98" s="291" t="s">
        <v>146</v>
      </c>
      <c r="D98" s="292"/>
      <c r="E98" s="292"/>
      <c r="F98" s="292"/>
      <c r="G98" s="292"/>
      <c r="H98" s="155"/>
      <c r="I98" s="155"/>
      <c r="J98" s="155"/>
      <c r="K98" s="155"/>
      <c r="L98" s="155"/>
      <c r="M98" s="155"/>
      <c r="N98" s="155"/>
      <c r="O98" s="155"/>
      <c r="P98" s="155"/>
      <c r="Q98" s="155"/>
      <c r="R98" s="155"/>
      <c r="S98" s="155"/>
      <c r="T98" s="155"/>
      <c r="U98" s="155"/>
      <c r="V98" s="155"/>
      <c r="W98" s="155"/>
      <c r="X98" s="155"/>
      <c r="Y98" s="146"/>
      <c r="Z98" s="146"/>
      <c r="AA98" s="146"/>
      <c r="AB98" s="146"/>
      <c r="AC98" s="146"/>
      <c r="AD98" s="146"/>
      <c r="AE98" s="146"/>
      <c r="AF98" s="146"/>
      <c r="AG98" s="146" t="s">
        <v>107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71" t="str">
        <f>C98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98" s="146"/>
      <c r="BC98" s="146"/>
      <c r="BD98" s="146"/>
      <c r="BE98" s="146"/>
      <c r="BF98" s="146"/>
      <c r="BG98" s="146"/>
      <c r="BH98" s="146"/>
    </row>
    <row r="99" spans="1:60" outlineLevel="1" x14ac:dyDescent="0.25">
      <c r="A99" s="153"/>
      <c r="B99" s="154"/>
      <c r="C99" s="287"/>
      <c r="D99" s="288"/>
      <c r="E99" s="288"/>
      <c r="F99" s="288"/>
      <c r="G99" s="288"/>
      <c r="H99" s="155"/>
      <c r="I99" s="155"/>
      <c r="J99" s="155"/>
      <c r="K99" s="155"/>
      <c r="L99" s="155"/>
      <c r="M99" s="155"/>
      <c r="N99" s="155"/>
      <c r="O99" s="155"/>
      <c r="P99" s="155"/>
      <c r="Q99" s="155"/>
      <c r="R99" s="155"/>
      <c r="S99" s="155"/>
      <c r="T99" s="155"/>
      <c r="U99" s="155"/>
      <c r="V99" s="155"/>
      <c r="W99" s="155"/>
      <c r="X99" s="155"/>
      <c r="Y99" s="146"/>
      <c r="Z99" s="146"/>
      <c r="AA99" s="146"/>
      <c r="AB99" s="146"/>
      <c r="AC99" s="146"/>
      <c r="AD99" s="146"/>
      <c r="AE99" s="146"/>
      <c r="AF99" s="146"/>
      <c r="AG99" s="146" t="s">
        <v>94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outlineLevel="1" x14ac:dyDescent="0.25">
      <c r="A100" s="163">
        <v>34</v>
      </c>
      <c r="B100" s="164" t="s">
        <v>163</v>
      </c>
      <c r="C100" s="174" t="s">
        <v>101</v>
      </c>
      <c r="D100" s="165" t="s">
        <v>102</v>
      </c>
      <c r="E100" s="166">
        <v>1</v>
      </c>
      <c r="F100" s="167"/>
      <c r="G100" s="168">
        <f>ROUND(E100*F100,2)</f>
        <v>0</v>
      </c>
      <c r="H100" s="167">
        <v>0</v>
      </c>
      <c r="I100" s="168">
        <f>ROUND(E100*H100,2)</f>
        <v>0</v>
      </c>
      <c r="J100" s="167">
        <v>0</v>
      </c>
      <c r="K100" s="168">
        <f>ROUND(E100*J100,2)</f>
        <v>0</v>
      </c>
      <c r="L100" s="168">
        <v>21</v>
      </c>
      <c r="M100" s="168">
        <f>G100*(1+L100/100)</f>
        <v>0</v>
      </c>
      <c r="N100" s="168">
        <v>0</v>
      </c>
      <c r="O100" s="168">
        <f>ROUND(E100*N100,2)</f>
        <v>0</v>
      </c>
      <c r="P100" s="168">
        <v>0</v>
      </c>
      <c r="Q100" s="168">
        <f>ROUND(E100*P100,2)</f>
        <v>0</v>
      </c>
      <c r="R100" s="168"/>
      <c r="S100" s="168" t="s">
        <v>264</v>
      </c>
      <c r="T100" s="169" t="s">
        <v>103</v>
      </c>
      <c r="U100" s="155"/>
      <c r="V100" s="155"/>
      <c r="W100" s="155"/>
      <c r="X100" s="155"/>
      <c r="Y100" s="146"/>
      <c r="Z100" s="146"/>
      <c r="AA100" s="146"/>
      <c r="AB100" s="146"/>
      <c r="AC100" s="146"/>
      <c r="AD100" s="146"/>
      <c r="AE100" s="146"/>
      <c r="AF100" s="146"/>
      <c r="AG100" s="146"/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1" x14ac:dyDescent="0.25">
      <c r="A101" s="153"/>
      <c r="B101" s="154"/>
      <c r="C101" s="289"/>
      <c r="D101" s="290"/>
      <c r="E101" s="290"/>
      <c r="F101" s="290"/>
      <c r="G101" s="290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  <c r="V101" s="155"/>
      <c r="W101" s="155"/>
      <c r="X101" s="155"/>
      <c r="Y101" s="146"/>
      <c r="Z101" s="146"/>
      <c r="AA101" s="146"/>
      <c r="AB101" s="146"/>
      <c r="AC101" s="146"/>
      <c r="AD101" s="146"/>
      <c r="AE101" s="146"/>
      <c r="AF101" s="146"/>
      <c r="AG101" s="146"/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5">
      <c r="A102" s="163">
        <v>35</v>
      </c>
      <c r="B102" s="164" t="s">
        <v>108</v>
      </c>
      <c r="C102" s="174" t="s">
        <v>109</v>
      </c>
      <c r="D102" s="165" t="s">
        <v>102</v>
      </c>
      <c r="E102" s="166">
        <v>1</v>
      </c>
      <c r="F102" s="167"/>
      <c r="G102" s="168">
        <f>ROUND(E102*F102,2)</f>
        <v>0</v>
      </c>
      <c r="H102" s="167">
        <v>0</v>
      </c>
      <c r="I102" s="168">
        <f>ROUND(E102*H102,2)</f>
        <v>0</v>
      </c>
      <c r="J102" s="167">
        <v>0</v>
      </c>
      <c r="K102" s="168">
        <f>ROUND(E102*J102,2)</f>
        <v>0</v>
      </c>
      <c r="L102" s="168">
        <v>21</v>
      </c>
      <c r="M102" s="168">
        <f>G102*(1+L102/100)</f>
        <v>0</v>
      </c>
      <c r="N102" s="168">
        <v>0</v>
      </c>
      <c r="O102" s="168">
        <f>ROUND(E102*N102,2)</f>
        <v>0</v>
      </c>
      <c r="P102" s="168">
        <v>0</v>
      </c>
      <c r="Q102" s="168">
        <f>ROUND(E102*P102,2)</f>
        <v>0</v>
      </c>
      <c r="R102" s="168"/>
      <c r="S102" s="168" t="s">
        <v>264</v>
      </c>
      <c r="T102" s="169" t="s">
        <v>103</v>
      </c>
      <c r="U102" s="155"/>
      <c r="V102" s="155"/>
      <c r="W102" s="155"/>
      <c r="X102" s="155"/>
      <c r="Y102" s="146"/>
      <c r="Z102" s="146"/>
      <c r="AA102" s="146"/>
      <c r="AB102" s="146"/>
      <c r="AC102" s="146"/>
      <c r="AD102" s="146"/>
      <c r="AE102" s="146"/>
      <c r="AF102" s="146"/>
      <c r="AG102" s="146"/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ht="22.5" customHeight="1" outlineLevel="1" x14ac:dyDescent="0.25">
      <c r="A103" s="153"/>
      <c r="B103" s="154"/>
      <c r="C103" s="291" t="s">
        <v>110</v>
      </c>
      <c r="D103" s="292"/>
      <c r="E103" s="292"/>
      <c r="F103" s="292"/>
      <c r="G103" s="292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  <c r="V103" s="155"/>
      <c r="W103" s="155"/>
      <c r="X103" s="155"/>
      <c r="Y103" s="146"/>
      <c r="Z103" s="146"/>
      <c r="AA103" s="146"/>
      <c r="AB103" s="146"/>
      <c r="AC103" s="146"/>
      <c r="AD103" s="146"/>
      <c r="AE103" s="146"/>
      <c r="AF103" s="146"/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1" x14ac:dyDescent="0.25">
      <c r="A104" s="153"/>
      <c r="B104" s="154"/>
      <c r="C104" s="175"/>
      <c r="D104" s="170"/>
      <c r="E104" s="170"/>
      <c r="F104" s="170"/>
      <c r="G104" s="170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  <c r="V104" s="155"/>
      <c r="W104" s="155"/>
      <c r="X104" s="155"/>
      <c r="Y104" s="146"/>
      <c r="Z104" s="146"/>
      <c r="AA104" s="146"/>
      <c r="AB104" s="146"/>
      <c r="AC104" s="146"/>
      <c r="AD104" s="146"/>
      <c r="AE104" s="146"/>
      <c r="AF104" s="146"/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x14ac:dyDescent="0.25">
      <c r="A105" s="157" t="s">
        <v>91</v>
      </c>
      <c r="B105" s="158" t="s">
        <v>64</v>
      </c>
      <c r="C105" s="173" t="s">
        <v>27</v>
      </c>
      <c r="D105" s="159"/>
      <c r="E105" s="160"/>
      <c r="F105" s="161"/>
      <c r="G105" s="161">
        <f>SUMIF(AG106:AG114,"&lt;&gt;NOR",G106:G114)</f>
        <v>0</v>
      </c>
      <c r="H105" s="161"/>
      <c r="I105" s="161">
        <f>SUM(I106:I114)</f>
        <v>0</v>
      </c>
      <c r="J105" s="161"/>
      <c r="K105" s="161">
        <f>SUM(K106:K114)</f>
        <v>0</v>
      </c>
      <c r="L105" s="161"/>
      <c r="M105" s="161">
        <f>SUM(M106:M114)</f>
        <v>0</v>
      </c>
      <c r="N105" s="161"/>
      <c r="O105" s="161">
        <f>SUM(O106:O114)</f>
        <v>0</v>
      </c>
      <c r="P105" s="161"/>
      <c r="Q105" s="161">
        <f>SUM(Q106:Q114)</f>
        <v>0</v>
      </c>
      <c r="R105" s="161"/>
      <c r="S105" s="161"/>
      <c r="T105" s="162"/>
      <c r="U105" s="156"/>
      <c r="V105" s="156">
        <f>SUM(V106:V114)</f>
        <v>0</v>
      </c>
      <c r="W105" s="156"/>
      <c r="X105" s="156"/>
      <c r="AG105" t="s">
        <v>92</v>
      </c>
    </row>
    <row r="106" spans="1:60" outlineLevel="1" x14ac:dyDescent="0.25">
      <c r="A106" s="163">
        <v>36</v>
      </c>
      <c r="B106" s="164" t="s">
        <v>147</v>
      </c>
      <c r="C106" s="174" t="s">
        <v>148</v>
      </c>
      <c r="D106" s="165" t="s">
        <v>102</v>
      </c>
      <c r="E106" s="166">
        <v>1</v>
      </c>
      <c r="F106" s="167"/>
      <c r="G106" s="168">
        <f>ROUND(E106*F106,2)</f>
        <v>0</v>
      </c>
      <c r="H106" s="167">
        <v>0</v>
      </c>
      <c r="I106" s="168">
        <f>ROUND(E106*H106,2)</f>
        <v>0</v>
      </c>
      <c r="J106" s="167">
        <v>0</v>
      </c>
      <c r="K106" s="168">
        <f>ROUND(E106*J106,2)</f>
        <v>0</v>
      </c>
      <c r="L106" s="168">
        <v>21</v>
      </c>
      <c r="M106" s="168">
        <f>G106*(1+L106/100)</f>
        <v>0</v>
      </c>
      <c r="N106" s="168">
        <v>0</v>
      </c>
      <c r="O106" s="168">
        <f>ROUND(E106*N106,2)</f>
        <v>0</v>
      </c>
      <c r="P106" s="168">
        <v>0</v>
      </c>
      <c r="Q106" s="168">
        <f>ROUND(E106*P106,2)</f>
        <v>0</v>
      </c>
      <c r="R106" s="168"/>
      <c r="S106" s="168" t="s">
        <v>264</v>
      </c>
      <c r="T106" s="169" t="s">
        <v>103</v>
      </c>
      <c r="U106" s="155">
        <v>0</v>
      </c>
      <c r="V106" s="155">
        <f>ROUND(E106*U106,2)</f>
        <v>0</v>
      </c>
      <c r="W106" s="155"/>
      <c r="X106" s="155" t="s">
        <v>104</v>
      </c>
      <c r="Y106" s="182"/>
      <c r="Z106" s="146"/>
      <c r="AA106" s="146"/>
      <c r="AB106" s="146"/>
      <c r="AC106" s="146"/>
      <c r="AD106" s="146"/>
      <c r="AE106" s="146"/>
      <c r="AF106" s="146"/>
      <c r="AG106" s="146" t="s">
        <v>105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ht="33.75" customHeight="1" outlineLevel="1" x14ac:dyDescent="0.25">
      <c r="A107" s="153"/>
      <c r="B107" s="154"/>
      <c r="C107" s="291" t="s">
        <v>164</v>
      </c>
      <c r="D107" s="292"/>
      <c r="E107" s="292"/>
      <c r="F107" s="292"/>
      <c r="G107" s="292"/>
      <c r="H107" s="155"/>
      <c r="I107" s="155"/>
      <c r="J107" s="155"/>
      <c r="K107" s="155"/>
      <c r="L107" s="155"/>
      <c r="M107" s="155"/>
      <c r="N107" s="155"/>
      <c r="O107" s="155"/>
      <c r="P107" s="155"/>
      <c r="Q107" s="155"/>
      <c r="R107" s="155"/>
      <c r="S107" s="155"/>
      <c r="T107" s="155"/>
      <c r="U107" s="155"/>
      <c r="V107" s="155"/>
      <c r="W107" s="155"/>
      <c r="X107" s="155"/>
      <c r="Y107" s="146"/>
      <c r="Z107" s="146"/>
      <c r="AA107" s="146"/>
      <c r="AB107" s="146"/>
      <c r="AC107" s="146"/>
      <c r="AD107" s="146"/>
      <c r="AE107" s="146"/>
      <c r="AF107" s="146"/>
      <c r="AG107" s="146" t="s">
        <v>107</v>
      </c>
      <c r="AH107" s="146"/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71" t="str">
        <f>C107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107" s="146"/>
      <c r="BC107" s="146"/>
      <c r="BD107" s="146"/>
      <c r="BE107" s="146"/>
      <c r="BF107" s="146"/>
      <c r="BG107" s="146"/>
      <c r="BH107" s="146"/>
    </row>
    <row r="108" spans="1:60" outlineLevel="1" x14ac:dyDescent="0.25">
      <c r="A108" s="153"/>
      <c r="B108" s="154"/>
      <c r="C108" s="287"/>
      <c r="D108" s="288"/>
      <c r="E108" s="288"/>
      <c r="F108" s="288"/>
      <c r="G108" s="288"/>
      <c r="H108" s="155"/>
      <c r="I108" s="155"/>
      <c r="J108" s="155"/>
      <c r="K108" s="155"/>
      <c r="L108" s="155"/>
      <c r="M108" s="155"/>
      <c r="N108" s="155"/>
      <c r="O108" s="155"/>
      <c r="P108" s="155"/>
      <c r="Q108" s="155"/>
      <c r="R108" s="155"/>
      <c r="S108" s="155"/>
      <c r="T108" s="155"/>
      <c r="U108" s="155"/>
      <c r="V108" s="155"/>
      <c r="W108" s="155"/>
      <c r="X108" s="155"/>
      <c r="Y108" s="146"/>
      <c r="Z108" s="146"/>
      <c r="AA108" s="146"/>
      <c r="AB108" s="146"/>
      <c r="AC108" s="146"/>
      <c r="AD108" s="146"/>
      <c r="AE108" s="146"/>
      <c r="AF108" s="146"/>
      <c r="AG108" s="146" t="s">
        <v>94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1" x14ac:dyDescent="0.25">
      <c r="A109" s="163">
        <v>37</v>
      </c>
      <c r="B109" s="164" t="s">
        <v>149</v>
      </c>
      <c r="C109" s="174" t="s">
        <v>150</v>
      </c>
      <c r="D109" s="165" t="s">
        <v>102</v>
      </c>
      <c r="E109" s="166">
        <v>1</v>
      </c>
      <c r="F109" s="167"/>
      <c r="G109" s="168">
        <f>ROUND(E109*F109,2)</f>
        <v>0</v>
      </c>
      <c r="H109" s="167">
        <v>0</v>
      </c>
      <c r="I109" s="168">
        <f>ROUND(E109*H109,2)</f>
        <v>0</v>
      </c>
      <c r="J109" s="167">
        <v>0</v>
      </c>
      <c r="K109" s="168">
        <f>ROUND(E109*J109,2)</f>
        <v>0</v>
      </c>
      <c r="L109" s="168">
        <v>21</v>
      </c>
      <c r="M109" s="168">
        <f>G109*(1+L109/100)</f>
        <v>0</v>
      </c>
      <c r="N109" s="168">
        <v>0</v>
      </c>
      <c r="O109" s="168">
        <f>ROUND(E109*N109,2)</f>
        <v>0</v>
      </c>
      <c r="P109" s="168">
        <v>0</v>
      </c>
      <c r="Q109" s="168">
        <f>ROUND(E109*P109,2)</f>
        <v>0</v>
      </c>
      <c r="R109" s="168"/>
      <c r="S109" s="168" t="s">
        <v>264</v>
      </c>
      <c r="T109" s="169" t="s">
        <v>103</v>
      </c>
      <c r="U109" s="155">
        <v>0</v>
      </c>
      <c r="V109" s="155">
        <f>ROUND(E109*U109,2)</f>
        <v>0</v>
      </c>
      <c r="W109" s="155"/>
      <c r="X109" s="155" t="s">
        <v>104</v>
      </c>
      <c r="Y109" s="146"/>
      <c r="Z109" s="146"/>
      <c r="AA109" s="146"/>
      <c r="AB109" s="146"/>
      <c r="AC109" s="146"/>
      <c r="AD109" s="146"/>
      <c r="AE109" s="146"/>
      <c r="AF109" s="146"/>
      <c r="AG109" s="146" t="s">
        <v>105</v>
      </c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5">
      <c r="A110" s="153"/>
      <c r="B110" s="154"/>
      <c r="C110" s="291" t="s">
        <v>151</v>
      </c>
      <c r="D110" s="292"/>
      <c r="E110" s="292"/>
      <c r="F110" s="292"/>
      <c r="G110" s="292"/>
      <c r="H110" s="155"/>
      <c r="I110" s="155"/>
      <c r="J110" s="155"/>
      <c r="K110" s="155"/>
      <c r="L110" s="155"/>
      <c r="M110" s="155"/>
      <c r="N110" s="155"/>
      <c r="O110" s="155"/>
      <c r="P110" s="155"/>
      <c r="Q110" s="155"/>
      <c r="R110" s="155"/>
      <c r="S110" s="155"/>
      <c r="T110" s="155"/>
      <c r="U110" s="155"/>
      <c r="V110" s="155"/>
      <c r="W110" s="155"/>
      <c r="X110" s="155"/>
      <c r="Y110" s="146"/>
      <c r="Z110" s="146"/>
      <c r="AA110" s="146"/>
      <c r="AB110" s="146"/>
      <c r="AC110" s="146"/>
      <c r="AD110" s="146"/>
      <c r="AE110" s="146"/>
      <c r="AF110" s="146"/>
      <c r="AG110" s="146" t="s">
        <v>107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71" t="str">
        <f>C110</f>
        <v>Náklady na vyhotovení dokumentace skutečného provedení stavby a její předání objednateli v požadované formě a požadovaném počtu.</v>
      </c>
      <c r="BB110" s="146"/>
      <c r="BC110" s="146"/>
      <c r="BD110" s="146"/>
      <c r="BE110" s="146"/>
      <c r="BF110" s="146"/>
      <c r="BG110" s="146"/>
      <c r="BH110" s="146"/>
    </row>
    <row r="111" spans="1:60" outlineLevel="1" x14ac:dyDescent="0.25">
      <c r="A111" s="153"/>
      <c r="B111" s="154"/>
      <c r="C111" s="287"/>
      <c r="D111" s="288"/>
      <c r="E111" s="288"/>
      <c r="F111" s="288"/>
      <c r="G111" s="288"/>
      <c r="H111" s="155"/>
      <c r="I111" s="155"/>
      <c r="J111" s="155"/>
      <c r="K111" s="155"/>
      <c r="L111" s="155"/>
      <c r="M111" s="155"/>
      <c r="N111" s="155"/>
      <c r="O111" s="155"/>
      <c r="P111" s="155"/>
      <c r="Q111" s="155"/>
      <c r="R111" s="155"/>
      <c r="S111" s="155"/>
      <c r="T111" s="155"/>
      <c r="U111" s="155"/>
      <c r="V111" s="155"/>
      <c r="W111" s="155"/>
      <c r="X111" s="155"/>
      <c r="Y111" s="146"/>
      <c r="Z111" s="146"/>
      <c r="AA111" s="146"/>
      <c r="AB111" s="146"/>
      <c r="AC111" s="146"/>
      <c r="AD111" s="146"/>
      <c r="AE111" s="146"/>
      <c r="AF111" s="146"/>
      <c r="AG111" s="146" t="s">
        <v>94</v>
      </c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outlineLevel="1" x14ac:dyDescent="0.25">
      <c r="A112" s="163">
        <v>38</v>
      </c>
      <c r="B112" s="164" t="s">
        <v>152</v>
      </c>
      <c r="C112" s="174" t="s">
        <v>153</v>
      </c>
      <c r="D112" s="165" t="s">
        <v>102</v>
      </c>
      <c r="E112" s="166">
        <v>1</v>
      </c>
      <c r="F112" s="167"/>
      <c r="G112" s="168">
        <f>ROUND(E112*F112,2)</f>
        <v>0</v>
      </c>
      <c r="H112" s="167">
        <v>0</v>
      </c>
      <c r="I112" s="168">
        <f>ROUND(E112*H112,2)</f>
        <v>0</v>
      </c>
      <c r="J112" s="167">
        <v>0</v>
      </c>
      <c r="K112" s="168">
        <f>ROUND(E112*J112,2)</f>
        <v>0</v>
      </c>
      <c r="L112" s="168">
        <v>21</v>
      </c>
      <c r="M112" s="168">
        <f>G112*(1+L112/100)</f>
        <v>0</v>
      </c>
      <c r="N112" s="168">
        <v>0</v>
      </c>
      <c r="O112" s="168">
        <f>ROUND(E112*N112,2)</f>
        <v>0</v>
      </c>
      <c r="P112" s="168">
        <v>0</v>
      </c>
      <c r="Q112" s="168">
        <f>ROUND(E112*P112,2)</f>
        <v>0</v>
      </c>
      <c r="R112" s="168"/>
      <c r="S112" s="168" t="s">
        <v>264</v>
      </c>
      <c r="T112" s="169" t="s">
        <v>103</v>
      </c>
      <c r="U112" s="155">
        <v>0</v>
      </c>
      <c r="V112" s="155">
        <f>ROUND(E112*U112,2)</f>
        <v>0</v>
      </c>
      <c r="W112" s="155"/>
      <c r="X112" s="155" t="s">
        <v>104</v>
      </c>
      <c r="Y112" s="146"/>
      <c r="Z112" s="146"/>
      <c r="AA112" s="146"/>
      <c r="AB112" s="146"/>
      <c r="AC112" s="146"/>
      <c r="AD112" s="146"/>
      <c r="AE112" s="146"/>
      <c r="AF112" s="146"/>
      <c r="AG112" s="146" t="s">
        <v>105</v>
      </c>
      <c r="AH112" s="146"/>
      <c r="AI112" s="146"/>
      <c r="AJ112" s="146"/>
      <c r="AK112" s="146"/>
      <c r="AL112" s="146"/>
      <c r="AM112" s="146"/>
      <c r="AN112" s="146"/>
      <c r="AO112" s="146"/>
      <c r="AP112" s="146"/>
      <c r="AQ112" s="146"/>
      <c r="AR112" s="146"/>
      <c r="AS112" s="146"/>
      <c r="AT112" s="146"/>
      <c r="AU112" s="146"/>
      <c r="AV112" s="146"/>
      <c r="AW112" s="146"/>
      <c r="AX112" s="146"/>
      <c r="AY112" s="146"/>
      <c r="AZ112" s="146"/>
      <c r="BA112" s="146"/>
      <c r="BB112" s="146"/>
      <c r="BC112" s="146"/>
      <c r="BD112" s="146"/>
      <c r="BE112" s="146"/>
      <c r="BF112" s="146"/>
      <c r="BG112" s="146"/>
      <c r="BH112" s="146"/>
    </row>
    <row r="113" spans="1:60" ht="13.95" customHeight="1" outlineLevel="1" x14ac:dyDescent="0.25">
      <c r="A113" s="153"/>
      <c r="B113" s="154"/>
      <c r="C113" s="291" t="s">
        <v>165</v>
      </c>
      <c r="D113" s="292"/>
      <c r="E113" s="292"/>
      <c r="F113" s="292"/>
      <c r="G113" s="292"/>
      <c r="H113" s="155"/>
      <c r="I113" s="155"/>
      <c r="J113" s="155"/>
      <c r="K113" s="155"/>
      <c r="L113" s="155"/>
      <c r="M113" s="155"/>
      <c r="N113" s="155"/>
      <c r="O113" s="155"/>
      <c r="P113" s="155"/>
      <c r="Q113" s="155"/>
      <c r="R113" s="155"/>
      <c r="S113" s="155"/>
      <c r="T113" s="155"/>
      <c r="U113" s="155"/>
      <c r="V113" s="155"/>
      <c r="W113" s="155"/>
      <c r="X113" s="155"/>
      <c r="Y113" s="146"/>
      <c r="Z113" s="146"/>
      <c r="AA113" s="146"/>
      <c r="AB113" s="146"/>
      <c r="AC113" s="146"/>
      <c r="AD113" s="146"/>
      <c r="AE113" s="146"/>
      <c r="AF113" s="146"/>
      <c r="AG113" s="146" t="s">
        <v>107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71" t="str">
        <f>C113</f>
        <v>Náklady spojené s povinnou publicitou. Zahrnuje zejména náklady na propagační a informační billboardy, tabule, internetovou propagaci, tiskoviny apod.</v>
      </c>
      <c r="BB113" s="146"/>
      <c r="BC113" s="146"/>
      <c r="BD113" s="146"/>
      <c r="BE113" s="146"/>
      <c r="BF113" s="146"/>
      <c r="BG113" s="146"/>
      <c r="BH113" s="146"/>
    </row>
    <row r="114" spans="1:60" outlineLevel="1" x14ac:dyDescent="0.25">
      <c r="A114" s="153"/>
      <c r="B114" s="154"/>
      <c r="C114" s="287"/>
      <c r="D114" s="288"/>
      <c r="E114" s="288"/>
      <c r="F114" s="288"/>
      <c r="G114" s="288"/>
      <c r="H114" s="155"/>
      <c r="I114" s="155"/>
      <c r="J114" s="155"/>
      <c r="K114" s="155"/>
      <c r="L114" s="155"/>
      <c r="M114" s="155"/>
      <c r="N114" s="155"/>
      <c r="O114" s="155"/>
      <c r="P114" s="155"/>
      <c r="Q114" s="155"/>
      <c r="R114" s="155"/>
      <c r="S114" s="155"/>
      <c r="T114" s="155"/>
      <c r="U114" s="155"/>
      <c r="V114" s="155"/>
      <c r="W114" s="155"/>
      <c r="X114" s="155"/>
      <c r="Y114" s="146"/>
      <c r="Z114" s="146"/>
      <c r="AA114" s="146"/>
      <c r="AB114" s="146"/>
      <c r="AC114" s="146"/>
      <c r="AD114" s="146"/>
      <c r="AE114" s="146"/>
      <c r="AF114" s="146"/>
      <c r="AG114" s="146" t="s">
        <v>94</v>
      </c>
      <c r="AH114" s="146"/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x14ac:dyDescent="0.25">
      <c r="A115" s="3"/>
      <c r="B115" s="4"/>
      <c r="C115" s="176"/>
      <c r="D115" s="6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AE115">
        <v>15</v>
      </c>
      <c r="AF115">
        <v>21</v>
      </c>
      <c r="AG115" t="s">
        <v>78</v>
      </c>
    </row>
    <row r="116" spans="1:60" x14ac:dyDescent="0.25">
      <c r="A116" s="149"/>
      <c r="B116" s="150" t="s">
        <v>28</v>
      </c>
      <c r="C116" s="177"/>
      <c r="D116" s="151"/>
      <c r="E116" s="152"/>
      <c r="F116" s="152"/>
      <c r="G116" s="172">
        <f>G105+G94+G87+G82+G78+G74+G52+G48+G8</f>
        <v>0</v>
      </c>
      <c r="H116" s="3"/>
      <c r="I116" s="3"/>
      <c r="J116" s="3"/>
      <c r="K116" s="3"/>
      <c r="L116" s="148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AE116">
        <f>SUMIF(L7:L114,AE115,G7:G114)</f>
        <v>0</v>
      </c>
      <c r="AF116">
        <f>SUMIF(L7:L114,AF115,G7:G114)</f>
        <v>0</v>
      </c>
      <c r="AG116" t="s">
        <v>154</v>
      </c>
    </row>
    <row r="117" spans="1:60" x14ac:dyDescent="0.25">
      <c r="C117" s="178"/>
      <c r="D117" s="10"/>
      <c r="AG117" t="s">
        <v>155</v>
      </c>
    </row>
    <row r="118" spans="1:60" x14ac:dyDescent="0.25">
      <c r="D118" s="10"/>
    </row>
    <row r="119" spans="1:60" x14ac:dyDescent="0.25">
      <c r="D119" s="10"/>
    </row>
    <row r="120" spans="1:60" x14ac:dyDescent="0.25">
      <c r="D120" s="10"/>
    </row>
    <row r="121" spans="1:60" x14ac:dyDescent="0.25">
      <c r="D121" s="10"/>
    </row>
    <row r="122" spans="1:60" x14ac:dyDescent="0.25">
      <c r="D122" s="10"/>
    </row>
    <row r="123" spans="1:60" x14ac:dyDescent="0.25">
      <c r="D123" s="10"/>
    </row>
    <row r="124" spans="1:60" x14ac:dyDescent="0.25">
      <c r="D124" s="10"/>
    </row>
    <row r="125" spans="1:60" x14ac:dyDescent="0.25">
      <c r="D125" s="10"/>
    </row>
    <row r="126" spans="1:60" x14ac:dyDescent="0.25">
      <c r="D126" s="10"/>
    </row>
    <row r="127" spans="1:60" x14ac:dyDescent="0.25">
      <c r="D127" s="10"/>
    </row>
    <row r="128" spans="1:60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</sheetData>
  <sheetProtection password="EA7D" sheet="1" objects="1" scenarios="1"/>
  <mergeCells count="51">
    <mergeCell ref="C113:G113"/>
    <mergeCell ref="C114:G114"/>
    <mergeCell ref="C69:G69"/>
    <mergeCell ref="C72:G72"/>
    <mergeCell ref="C103:G103"/>
    <mergeCell ref="C107:G107"/>
    <mergeCell ref="C108:G108"/>
    <mergeCell ref="C110:G110"/>
    <mergeCell ref="C84:G84"/>
    <mergeCell ref="C81:G81"/>
    <mergeCell ref="C76:G76"/>
    <mergeCell ref="C77:G77"/>
    <mergeCell ref="C111:G111"/>
    <mergeCell ref="C89:G89"/>
    <mergeCell ref="C91:G91"/>
    <mergeCell ref="C99:G99"/>
    <mergeCell ref="C101:G101"/>
    <mergeCell ref="C86:G86"/>
    <mergeCell ref="C93:G93"/>
    <mergeCell ref="C96:G96"/>
    <mergeCell ref="C98:G98"/>
    <mergeCell ref="C58:G58"/>
    <mergeCell ref="C59:G59"/>
    <mergeCell ref="C61:G61"/>
    <mergeCell ref="C64:G64"/>
    <mergeCell ref="C66:G66"/>
    <mergeCell ref="C63:G63"/>
    <mergeCell ref="C50:G50"/>
    <mergeCell ref="C51:G51"/>
    <mergeCell ref="C34:G34"/>
    <mergeCell ref="C36:G36"/>
    <mergeCell ref="C41:G41"/>
    <mergeCell ref="C42:G42"/>
    <mergeCell ref="C47:G47"/>
    <mergeCell ref="C44:G44"/>
    <mergeCell ref="C25:G25"/>
    <mergeCell ref="C28:G28"/>
    <mergeCell ref="C29:G29"/>
    <mergeCell ref="C31:G31"/>
    <mergeCell ref="C33:G33"/>
    <mergeCell ref="C15:G15"/>
    <mergeCell ref="C16:G16"/>
    <mergeCell ref="C18:G18"/>
    <mergeCell ref="C21:G21"/>
    <mergeCell ref="C23:G23"/>
    <mergeCell ref="C10:G10"/>
    <mergeCell ref="C13:G13"/>
    <mergeCell ref="A1:G1"/>
    <mergeCell ref="C2:H2"/>
    <mergeCell ref="C3:G3"/>
    <mergeCell ref="C4:H4"/>
  </mergeCells>
  <pageMargins left="0.59055118110236204" right="0.196850393700787" top="0.78740157499999996" bottom="0.78740157499999996" header="0.3" footer="0.3"/>
  <pageSetup paperSize="9" scale="88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BH4903"/>
  <sheetViews>
    <sheetView workbookViewId="0">
      <pane ySplit="7" topLeftCell="A8" activePane="bottomLeft" state="frozen"/>
      <selection pane="bottomLeft" activeCell="F9" sqref="F9"/>
    </sheetView>
  </sheetViews>
  <sheetFormatPr defaultRowHeight="13.2" outlineLevelRow="1" x14ac:dyDescent="0.25"/>
  <cols>
    <col min="1" max="1" width="3.44140625" customWidth="1"/>
    <col min="2" max="2" width="12.5546875" style="123" customWidth="1"/>
    <col min="3" max="3" width="63.33203125" style="123" customWidth="1"/>
    <col min="4" max="4" width="4.88671875" customWidth="1"/>
    <col min="5" max="5" width="10.5546875" customWidth="1"/>
    <col min="6" max="6" width="9.88671875" customWidth="1"/>
    <col min="7" max="7" width="12.6640625" customWidth="1"/>
    <col min="8" max="11" width="0" hidden="1" customWidth="1"/>
    <col min="12" max="12" width="11.6640625" bestFit="1" customWidth="1"/>
    <col min="13" max="13" width="11.6640625" customWidth="1"/>
    <col min="14" max="17" width="0" hidden="1" customWidth="1"/>
    <col min="18" max="18" width="6.88671875" customWidth="1"/>
    <col min="20" max="20" width="8.44140625" customWidth="1"/>
    <col min="21" max="24" width="0" hidden="1" customWidth="1"/>
    <col min="25" max="25" width="10.109375" bestFit="1" customWidth="1"/>
    <col min="26" max="26" width="11.6640625" bestFit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94" t="s">
        <v>65</v>
      </c>
      <c r="B1" s="295"/>
      <c r="C1" s="295"/>
      <c r="D1" s="295"/>
      <c r="E1" s="295"/>
      <c r="F1" s="295"/>
      <c r="G1" s="295"/>
      <c r="H1" s="194"/>
      <c r="L1" s="198"/>
      <c r="AG1" t="s">
        <v>66</v>
      </c>
    </row>
    <row r="2" spans="1:60" ht="24.9" customHeight="1" x14ac:dyDescent="0.25">
      <c r="A2" s="195" t="s">
        <v>7</v>
      </c>
      <c r="B2" s="186" t="s">
        <v>255</v>
      </c>
      <c r="C2" s="299" t="s">
        <v>256</v>
      </c>
      <c r="D2" s="300"/>
      <c r="E2" s="300"/>
      <c r="F2" s="300"/>
      <c r="G2" s="300"/>
      <c r="H2" s="301"/>
      <c r="L2" s="198"/>
      <c r="AG2" t="s">
        <v>67</v>
      </c>
    </row>
    <row r="3" spans="1:60" ht="24.9" customHeight="1" x14ac:dyDescent="0.25">
      <c r="A3" s="195" t="s">
        <v>8</v>
      </c>
      <c r="B3" s="201" t="s">
        <v>342</v>
      </c>
      <c r="C3" s="296" t="s">
        <v>284</v>
      </c>
      <c r="D3" s="297"/>
      <c r="E3" s="297"/>
      <c r="F3" s="297"/>
      <c r="G3" s="298"/>
      <c r="H3" s="196"/>
      <c r="L3" s="198"/>
      <c r="AC3" s="123" t="s">
        <v>67</v>
      </c>
      <c r="AG3" t="s">
        <v>68</v>
      </c>
    </row>
    <row r="4" spans="1:60" ht="24.9" customHeight="1" x14ac:dyDescent="0.25">
      <c r="A4" s="197" t="s">
        <v>9</v>
      </c>
      <c r="B4" s="187" t="s">
        <v>255</v>
      </c>
      <c r="C4" s="302" t="s">
        <v>257</v>
      </c>
      <c r="D4" s="303"/>
      <c r="E4" s="303"/>
      <c r="F4" s="303"/>
      <c r="G4" s="303"/>
      <c r="H4" s="304"/>
      <c r="L4" s="198"/>
      <c r="AG4" t="s">
        <v>69</v>
      </c>
    </row>
    <row r="5" spans="1:60" x14ac:dyDescent="0.25">
      <c r="D5" s="10"/>
    </row>
    <row r="6" spans="1:60" ht="39.6" x14ac:dyDescent="0.25">
      <c r="A6" s="142" t="s">
        <v>70</v>
      </c>
      <c r="B6" s="144" t="s">
        <v>71</v>
      </c>
      <c r="C6" s="144" t="s">
        <v>72</v>
      </c>
      <c r="D6" s="143" t="s">
        <v>73</v>
      </c>
      <c r="E6" s="142" t="s">
        <v>74</v>
      </c>
      <c r="F6" s="141" t="s">
        <v>75</v>
      </c>
      <c r="G6" s="142" t="s">
        <v>28</v>
      </c>
      <c r="H6" s="145" t="s">
        <v>29</v>
      </c>
      <c r="I6" s="145" t="s">
        <v>76</v>
      </c>
      <c r="J6" s="145" t="s">
        <v>30</v>
      </c>
      <c r="K6" s="145" t="s">
        <v>77</v>
      </c>
      <c r="L6" s="145" t="s">
        <v>78</v>
      </c>
      <c r="M6" s="145" t="s">
        <v>79</v>
      </c>
      <c r="N6" s="145" t="s">
        <v>80</v>
      </c>
      <c r="O6" s="145" t="s">
        <v>81</v>
      </c>
      <c r="P6" s="145" t="s">
        <v>82</v>
      </c>
      <c r="Q6" s="145" t="s">
        <v>83</v>
      </c>
      <c r="R6" s="145" t="s">
        <v>84</v>
      </c>
      <c r="S6" s="145" t="s">
        <v>85</v>
      </c>
      <c r="T6" s="145" t="s">
        <v>86</v>
      </c>
      <c r="U6" s="145" t="s">
        <v>87</v>
      </c>
      <c r="V6" s="145" t="s">
        <v>88</v>
      </c>
      <c r="W6" s="145" t="s">
        <v>89</v>
      </c>
      <c r="X6" s="145" t="s">
        <v>90</v>
      </c>
    </row>
    <row r="7" spans="1:60" hidden="1" x14ac:dyDescent="0.25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</row>
    <row r="8" spans="1:60" x14ac:dyDescent="0.25">
      <c r="A8" s="157" t="s">
        <v>91</v>
      </c>
      <c r="B8" s="158" t="s">
        <v>52</v>
      </c>
      <c r="C8" s="173" t="s">
        <v>53</v>
      </c>
      <c r="D8" s="159"/>
      <c r="E8" s="160"/>
      <c r="F8" s="161"/>
      <c r="G8" s="161">
        <f>SUMIF(AG9:AG27,"&lt;&gt;NOR",G9:G27)</f>
        <v>0</v>
      </c>
      <c r="H8" s="161"/>
      <c r="I8" s="161">
        <f>SUM(I9:I27)</f>
        <v>176.4</v>
      </c>
      <c r="J8" s="161"/>
      <c r="K8" s="161">
        <f>SUM(K9:K27)</f>
        <v>19802.260000000002</v>
      </c>
      <c r="L8" s="161"/>
      <c r="M8" s="161">
        <f>SUM(M9:M27)</f>
        <v>0</v>
      </c>
      <c r="N8" s="161"/>
      <c r="O8" s="161">
        <f>SUM(O9:O27)</f>
        <v>0</v>
      </c>
      <c r="P8" s="161"/>
      <c r="Q8" s="161">
        <f>SUM(Q9:Q27)</f>
        <v>0</v>
      </c>
      <c r="R8" s="161"/>
      <c r="S8" s="161"/>
      <c r="T8" s="162"/>
      <c r="U8" s="156"/>
      <c r="V8" s="156">
        <f>SUM(V9:V27)</f>
        <v>11.46</v>
      </c>
      <c r="W8" s="156"/>
      <c r="X8" s="156"/>
      <c r="Z8" s="84"/>
      <c r="AG8" t="s">
        <v>92</v>
      </c>
    </row>
    <row r="9" spans="1:60" outlineLevel="1" x14ac:dyDescent="0.25">
      <c r="A9" s="163">
        <v>1</v>
      </c>
      <c r="B9" s="164" t="s">
        <v>226</v>
      </c>
      <c r="C9" s="174" t="s">
        <v>227</v>
      </c>
      <c r="D9" s="165" t="s">
        <v>120</v>
      </c>
      <c r="E9" s="166">
        <f>70*0.35*0.8-1.95</f>
        <v>17.650000000000002</v>
      </c>
      <c r="F9" s="167"/>
      <c r="G9" s="168">
        <f>ROUND(E9*F9,2)</f>
        <v>0</v>
      </c>
      <c r="H9" s="167">
        <v>0</v>
      </c>
      <c r="I9" s="168">
        <f>ROUND(E9*H9,2)</f>
        <v>0</v>
      </c>
      <c r="J9" s="167">
        <v>489</v>
      </c>
      <c r="K9" s="168">
        <f>ROUND(E9*J9,2)</f>
        <v>8630.85</v>
      </c>
      <c r="L9" s="168">
        <v>21</v>
      </c>
      <c r="M9" s="168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68" t="s">
        <v>119</v>
      </c>
      <c r="S9" s="168" t="s">
        <v>264</v>
      </c>
      <c r="T9" s="168" t="s">
        <v>264</v>
      </c>
      <c r="U9" s="155"/>
      <c r="V9" s="155"/>
      <c r="W9" s="155"/>
      <c r="X9" s="155"/>
      <c r="Y9" s="146"/>
      <c r="Z9" s="146"/>
      <c r="AA9" s="146"/>
      <c r="AB9" s="146"/>
      <c r="AC9" s="146"/>
      <c r="AD9" s="146"/>
      <c r="AE9" s="146"/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ht="22.95" customHeight="1" outlineLevel="1" x14ac:dyDescent="0.25">
      <c r="A10" s="153"/>
      <c r="B10" s="154"/>
      <c r="C10" s="285" t="s">
        <v>228</v>
      </c>
      <c r="D10" s="286"/>
      <c r="E10" s="286"/>
      <c r="F10" s="286"/>
      <c r="G10" s="286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5">
      <c r="A11" s="153"/>
      <c r="B11" s="154"/>
      <c r="C11" s="175"/>
      <c r="D11" s="170"/>
      <c r="E11" s="170"/>
      <c r="F11" s="170"/>
      <c r="G11" s="170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5">
      <c r="A12" s="163">
        <v>2</v>
      </c>
      <c r="B12" s="164" t="s">
        <v>186</v>
      </c>
      <c r="C12" s="174" t="s">
        <v>187</v>
      </c>
      <c r="D12" s="165" t="s">
        <v>120</v>
      </c>
      <c r="E12" s="166">
        <v>1.95</v>
      </c>
      <c r="F12" s="167"/>
      <c r="G12" s="168">
        <f>ROUND(E12*F12,2)</f>
        <v>0</v>
      </c>
      <c r="H12" s="167">
        <v>0</v>
      </c>
      <c r="I12" s="168">
        <f>ROUND(E12*H12,2)</f>
        <v>0</v>
      </c>
      <c r="J12" s="167">
        <v>1273</v>
      </c>
      <c r="K12" s="168">
        <f>ROUND(E12*J12,2)</f>
        <v>2482.35</v>
      </c>
      <c r="L12" s="168">
        <v>21</v>
      </c>
      <c r="M12" s="168">
        <f>G12*(1+L12/100)</f>
        <v>0</v>
      </c>
      <c r="N12" s="168">
        <v>0</v>
      </c>
      <c r="O12" s="168">
        <f>ROUND(E12*N12,2)</f>
        <v>0</v>
      </c>
      <c r="P12" s="168">
        <v>0</v>
      </c>
      <c r="Q12" s="168">
        <f>ROUND(E12*P12,2)</f>
        <v>0</v>
      </c>
      <c r="R12" s="168" t="s">
        <v>119</v>
      </c>
      <c r="S12" s="168" t="s">
        <v>264</v>
      </c>
      <c r="T12" s="168" t="s">
        <v>264</v>
      </c>
      <c r="U12" s="155"/>
      <c r="V12" s="155"/>
      <c r="W12" s="155"/>
      <c r="X12" s="155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5">
      <c r="A13" s="153"/>
      <c r="B13" s="154"/>
      <c r="C13" s="285" t="s">
        <v>188</v>
      </c>
      <c r="D13" s="286"/>
      <c r="E13" s="286"/>
      <c r="F13" s="286"/>
      <c r="G13" s="286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5">
      <c r="A14" s="153"/>
      <c r="B14" s="154"/>
      <c r="C14" s="175"/>
      <c r="D14" s="170"/>
      <c r="E14" s="170"/>
      <c r="F14" s="170"/>
      <c r="G14" s="170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12.75" customHeight="1" outlineLevel="1" x14ac:dyDescent="0.25">
      <c r="A15" s="163">
        <v>3</v>
      </c>
      <c r="B15" s="164" t="s">
        <v>123</v>
      </c>
      <c r="C15" s="174" t="s">
        <v>124</v>
      </c>
      <c r="D15" s="165" t="s">
        <v>120</v>
      </c>
      <c r="E15" s="166">
        <f>E9-70*0.4*0.35</f>
        <v>7.8500000000000032</v>
      </c>
      <c r="F15" s="167"/>
      <c r="G15" s="168">
        <f>ROUND(E15*F15,2)</f>
        <v>0</v>
      </c>
      <c r="H15" s="167">
        <v>0</v>
      </c>
      <c r="I15" s="168">
        <f>ROUND(E15*H15,2)</f>
        <v>0</v>
      </c>
      <c r="J15" s="167">
        <v>259.5</v>
      </c>
      <c r="K15" s="168">
        <f>ROUND(E15*J15,2)</f>
        <v>2037.08</v>
      </c>
      <c r="L15" s="168">
        <v>21</v>
      </c>
      <c r="M15" s="168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68" t="s">
        <v>119</v>
      </c>
      <c r="S15" s="168" t="s">
        <v>264</v>
      </c>
      <c r="T15" s="168" t="s">
        <v>264</v>
      </c>
      <c r="U15" s="155">
        <v>5.1999999999999998E-3</v>
      </c>
      <c r="V15" s="155">
        <f>ROUND(E15*U15,2)</f>
        <v>0.04</v>
      </c>
      <c r="W15" s="155"/>
      <c r="X15" s="155" t="s">
        <v>112</v>
      </c>
      <c r="Y15" s="146"/>
      <c r="Z15" s="146"/>
      <c r="AA15" s="146"/>
      <c r="AB15" s="146"/>
      <c r="AC15" s="146"/>
      <c r="AD15" s="146"/>
      <c r="AE15" s="146"/>
      <c r="AF15" s="146"/>
      <c r="AG15" s="146" t="s">
        <v>113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5">
      <c r="A16" s="153"/>
      <c r="B16" s="154"/>
      <c r="C16" s="285" t="s">
        <v>125</v>
      </c>
      <c r="D16" s="286"/>
      <c r="E16" s="286"/>
      <c r="F16" s="286"/>
      <c r="G16" s="286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46"/>
      <c r="Z16" s="146"/>
      <c r="AA16" s="146"/>
      <c r="AB16" s="146"/>
      <c r="AC16" s="146"/>
      <c r="AD16" s="146"/>
      <c r="AE16" s="146"/>
      <c r="AF16" s="146"/>
      <c r="AG16" s="146" t="s">
        <v>114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5">
      <c r="A17" s="153"/>
      <c r="B17" s="154"/>
      <c r="C17" s="287"/>
      <c r="D17" s="288"/>
      <c r="E17" s="288"/>
      <c r="F17" s="288"/>
      <c r="G17" s="288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46"/>
      <c r="Z17" s="146"/>
      <c r="AA17" s="146"/>
      <c r="AB17" s="146"/>
      <c r="AC17" s="146"/>
      <c r="AD17" s="146"/>
      <c r="AE17" s="146"/>
      <c r="AF17" s="146"/>
      <c r="AG17" s="146" t="s">
        <v>94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5">
      <c r="A18" s="163">
        <v>4</v>
      </c>
      <c r="B18" s="164" t="s">
        <v>126</v>
      </c>
      <c r="C18" s="174" t="s">
        <v>171</v>
      </c>
      <c r="D18" s="165" t="s">
        <v>120</v>
      </c>
      <c r="E18" s="166">
        <f>E15</f>
        <v>7.8500000000000032</v>
      </c>
      <c r="F18" s="167"/>
      <c r="G18" s="168">
        <f>ROUND(E18*F18,2)</f>
        <v>0</v>
      </c>
      <c r="H18" s="167">
        <v>0</v>
      </c>
      <c r="I18" s="168">
        <f>ROUND(E18*H18,2)</f>
        <v>0</v>
      </c>
      <c r="J18" s="167">
        <v>265</v>
      </c>
      <c r="K18" s="168">
        <f>ROUND(E18*J18,2)</f>
        <v>2080.25</v>
      </c>
      <c r="L18" s="168">
        <v>21</v>
      </c>
      <c r="M18" s="168">
        <f>G18*(1+L18/100)</f>
        <v>0</v>
      </c>
      <c r="N18" s="168">
        <v>0</v>
      </c>
      <c r="O18" s="168">
        <f>ROUND(E18*N18,2)</f>
        <v>0</v>
      </c>
      <c r="P18" s="168">
        <v>0</v>
      </c>
      <c r="Q18" s="168">
        <f>ROUND(E18*P18,2)</f>
        <v>0</v>
      </c>
      <c r="R18" s="168" t="s">
        <v>119</v>
      </c>
      <c r="S18" s="168" t="s">
        <v>264</v>
      </c>
      <c r="T18" s="168" t="s">
        <v>264</v>
      </c>
      <c r="U18" s="155">
        <v>0.65200000000000002</v>
      </c>
      <c r="V18" s="155">
        <f>ROUND(E18*U18,2)</f>
        <v>5.12</v>
      </c>
      <c r="W18" s="155"/>
      <c r="X18" s="155" t="s">
        <v>112</v>
      </c>
      <c r="Y18" s="146"/>
      <c r="Z18" s="146"/>
      <c r="AA18" s="146"/>
      <c r="AB18" s="146"/>
      <c r="AC18" s="146"/>
      <c r="AD18" s="146"/>
      <c r="AE18" s="146"/>
      <c r="AF18" s="146"/>
      <c r="AG18" s="146" t="s">
        <v>113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5">
      <c r="A19" s="153"/>
      <c r="B19" s="154"/>
      <c r="C19" s="289"/>
      <c r="D19" s="290"/>
      <c r="E19" s="290"/>
      <c r="F19" s="290"/>
      <c r="G19" s="290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46"/>
      <c r="Z19" s="146"/>
      <c r="AA19" s="146"/>
      <c r="AB19" s="146"/>
      <c r="AC19" s="146"/>
      <c r="AD19" s="146"/>
      <c r="AE19" s="146"/>
      <c r="AF19" s="146"/>
      <c r="AG19" s="146" t="s">
        <v>94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5">
      <c r="A20" s="163">
        <v>5</v>
      </c>
      <c r="B20" s="164" t="s">
        <v>223</v>
      </c>
      <c r="C20" s="174" t="s">
        <v>225</v>
      </c>
      <c r="D20" s="165" t="s">
        <v>120</v>
      </c>
      <c r="E20" s="166">
        <f>70*0.7*0.35</f>
        <v>17.149999999999999</v>
      </c>
      <c r="F20" s="167"/>
      <c r="G20" s="168">
        <f>E20*F20</f>
        <v>0</v>
      </c>
      <c r="H20" s="167">
        <v>0</v>
      </c>
      <c r="I20" s="168">
        <v>0</v>
      </c>
      <c r="J20" s="167">
        <v>124</v>
      </c>
      <c r="K20" s="168">
        <v>0</v>
      </c>
      <c r="L20" s="168">
        <v>21</v>
      </c>
      <c r="M20" s="168">
        <f>G20*1.21</f>
        <v>0</v>
      </c>
      <c r="N20" s="168">
        <v>0</v>
      </c>
      <c r="O20" s="168">
        <v>0</v>
      </c>
      <c r="P20" s="168">
        <v>0</v>
      </c>
      <c r="Q20" s="168">
        <v>0</v>
      </c>
      <c r="R20" s="168" t="s">
        <v>119</v>
      </c>
      <c r="S20" s="168" t="s">
        <v>264</v>
      </c>
      <c r="T20" s="168" t="s">
        <v>264</v>
      </c>
      <c r="U20" s="155"/>
      <c r="V20" s="155"/>
      <c r="W20" s="155"/>
      <c r="X20" s="155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5">
      <c r="A21" s="153"/>
      <c r="B21" s="154"/>
      <c r="C21" s="285" t="s">
        <v>224</v>
      </c>
      <c r="D21" s="286"/>
      <c r="E21" s="286"/>
      <c r="F21" s="286"/>
      <c r="G21" s="286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5">
      <c r="A22" s="153"/>
      <c r="B22" s="154"/>
      <c r="C22" s="175"/>
      <c r="D22" s="170"/>
      <c r="E22" s="170"/>
      <c r="F22" s="170"/>
      <c r="G22" s="170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5">
      <c r="A23" s="163">
        <v>6</v>
      </c>
      <c r="B23" s="164" t="s">
        <v>127</v>
      </c>
      <c r="C23" s="174" t="s">
        <v>167</v>
      </c>
      <c r="D23" s="165" t="s">
        <v>99</v>
      </c>
      <c r="E23" s="166">
        <f>70*1.5</f>
        <v>105</v>
      </c>
      <c r="F23" s="167"/>
      <c r="G23" s="168">
        <f>ROUND(E23*F23,2)</f>
        <v>0</v>
      </c>
      <c r="H23" s="167">
        <v>1.68</v>
      </c>
      <c r="I23" s="168">
        <f>ROUND(E23*H23,2)</f>
        <v>176.4</v>
      </c>
      <c r="J23" s="167">
        <v>22.42</v>
      </c>
      <c r="K23" s="168">
        <f>ROUND(E23*J23,2)</f>
        <v>2354.1</v>
      </c>
      <c r="L23" s="168">
        <v>21</v>
      </c>
      <c r="M23" s="168">
        <f>G23*(1+L23/100)</f>
        <v>0</v>
      </c>
      <c r="N23" s="168">
        <v>0</v>
      </c>
      <c r="O23" s="168">
        <f>ROUND(E23*N23,2)</f>
        <v>0</v>
      </c>
      <c r="P23" s="168">
        <v>0</v>
      </c>
      <c r="Q23" s="168">
        <f>ROUND(E23*P23,2)</f>
        <v>0</v>
      </c>
      <c r="R23" s="168" t="s">
        <v>128</v>
      </c>
      <c r="S23" s="168" t="s">
        <v>264</v>
      </c>
      <c r="T23" s="168" t="s">
        <v>264</v>
      </c>
      <c r="U23" s="155">
        <v>0.06</v>
      </c>
      <c r="V23" s="155">
        <f>ROUND(E23*U23,2)</f>
        <v>6.3</v>
      </c>
      <c r="W23" s="155"/>
      <c r="X23" s="155" t="s">
        <v>112</v>
      </c>
      <c r="Y23" s="146"/>
      <c r="Z23" s="146"/>
      <c r="AA23" s="146"/>
      <c r="AB23" s="146"/>
      <c r="AC23" s="146"/>
      <c r="AD23" s="146"/>
      <c r="AE23" s="146"/>
      <c r="AF23" s="146"/>
      <c r="AG23" s="146" t="s">
        <v>113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5">
      <c r="A24" s="153"/>
      <c r="B24" s="154"/>
      <c r="C24" s="285" t="s">
        <v>129</v>
      </c>
      <c r="D24" s="286"/>
      <c r="E24" s="286"/>
      <c r="F24" s="286"/>
      <c r="G24" s="286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46"/>
      <c r="Z24" s="146"/>
      <c r="AA24" s="146"/>
      <c r="AB24" s="146"/>
      <c r="AC24" s="146"/>
      <c r="AD24" s="146"/>
      <c r="AE24" s="146"/>
      <c r="AF24" s="146"/>
      <c r="AG24" s="146" t="s">
        <v>114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5">
      <c r="A25" s="153"/>
      <c r="B25" s="154"/>
      <c r="C25" s="287"/>
      <c r="D25" s="288"/>
      <c r="E25" s="288"/>
      <c r="F25" s="288"/>
      <c r="G25" s="288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46"/>
      <c r="Z25" s="146"/>
      <c r="AA25" s="146"/>
      <c r="AB25" s="146"/>
      <c r="AC25" s="146"/>
      <c r="AD25" s="146"/>
      <c r="AE25" s="146"/>
      <c r="AF25" s="146"/>
      <c r="AG25" s="146" t="s">
        <v>94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5">
      <c r="A26" s="163">
        <v>7</v>
      </c>
      <c r="B26" s="164" t="s">
        <v>130</v>
      </c>
      <c r="C26" s="174" t="s">
        <v>131</v>
      </c>
      <c r="D26" s="165" t="s">
        <v>120</v>
      </c>
      <c r="E26" s="166">
        <f>E18</f>
        <v>7.8500000000000032</v>
      </c>
      <c r="F26" s="167"/>
      <c r="G26" s="168">
        <f>ROUND(E26*F26,2)</f>
        <v>0</v>
      </c>
      <c r="H26" s="167">
        <v>0</v>
      </c>
      <c r="I26" s="168">
        <f>ROUND(E26*H26,2)</f>
        <v>0</v>
      </c>
      <c r="J26" s="167">
        <v>282.5</v>
      </c>
      <c r="K26" s="168">
        <f>ROUND(E26*J26,2)</f>
        <v>2217.63</v>
      </c>
      <c r="L26" s="168">
        <v>21</v>
      </c>
      <c r="M26" s="168">
        <f>G26*(1+L26/100)</f>
        <v>0</v>
      </c>
      <c r="N26" s="168">
        <v>0</v>
      </c>
      <c r="O26" s="168">
        <f>ROUND(E26*N26,2)</f>
        <v>0</v>
      </c>
      <c r="P26" s="168">
        <v>0</v>
      </c>
      <c r="Q26" s="168">
        <f>ROUND(E26*P26,2)</f>
        <v>0</v>
      </c>
      <c r="R26" s="168" t="s">
        <v>119</v>
      </c>
      <c r="S26" s="168" t="s">
        <v>264</v>
      </c>
      <c r="T26" s="168" t="s">
        <v>264</v>
      </c>
      <c r="U26" s="155">
        <v>0</v>
      </c>
      <c r="V26" s="155">
        <f>ROUND(E26*U26,2)</f>
        <v>0</v>
      </c>
      <c r="W26" s="155"/>
      <c r="X26" s="155" t="s">
        <v>112</v>
      </c>
      <c r="Y26" s="146"/>
      <c r="Z26" s="146"/>
      <c r="AA26" s="146"/>
      <c r="AB26" s="146"/>
      <c r="AC26" s="146"/>
      <c r="AD26" s="146"/>
      <c r="AE26" s="146"/>
      <c r="AF26" s="146"/>
      <c r="AG26" s="146" t="s">
        <v>113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5">
      <c r="A27" s="153"/>
      <c r="B27" s="154"/>
      <c r="C27" s="289"/>
      <c r="D27" s="290"/>
      <c r="E27" s="290"/>
      <c r="F27" s="290"/>
      <c r="G27" s="290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46"/>
      <c r="Z27" s="146"/>
      <c r="AA27" s="146"/>
      <c r="AB27" s="146"/>
      <c r="AC27" s="146"/>
      <c r="AD27" s="146"/>
      <c r="AE27" s="146"/>
      <c r="AF27" s="146"/>
      <c r="AG27" s="146" t="s">
        <v>94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5">
      <c r="A28" s="157" t="s">
        <v>91</v>
      </c>
      <c r="B28" s="158" t="s">
        <v>229</v>
      </c>
      <c r="C28" s="173" t="s">
        <v>230</v>
      </c>
      <c r="D28" s="159"/>
      <c r="E28" s="160"/>
      <c r="F28" s="161"/>
      <c r="G28" s="161">
        <f>G29+G32</f>
        <v>0</v>
      </c>
      <c r="H28" s="161"/>
      <c r="I28" s="161">
        <f>SUM(I29:I31)</f>
        <v>1474.07</v>
      </c>
      <c r="J28" s="161"/>
      <c r="K28" s="161">
        <f>SUM(K29:K31)</f>
        <v>1196.43</v>
      </c>
      <c r="L28" s="161"/>
      <c r="M28" s="161">
        <f>M29+M32</f>
        <v>0</v>
      </c>
      <c r="N28" s="161"/>
      <c r="O28" s="161">
        <f>SUM(O29:O31)</f>
        <v>4.63</v>
      </c>
      <c r="P28" s="161"/>
      <c r="Q28" s="161">
        <f>SUM(Q29:Q31)</f>
        <v>0</v>
      </c>
      <c r="R28" s="161"/>
      <c r="S28" s="161"/>
      <c r="T28" s="162"/>
      <c r="U28" s="155"/>
      <c r="V28" s="155"/>
      <c r="W28" s="155"/>
      <c r="X28" s="155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5">
      <c r="A29" s="163">
        <v>8</v>
      </c>
      <c r="B29" s="164" t="s">
        <v>234</v>
      </c>
      <c r="C29" s="174" t="s">
        <v>233</v>
      </c>
      <c r="D29" s="165" t="s">
        <v>120</v>
      </c>
      <c r="E29" s="166">
        <f>70*0.35*0.1</f>
        <v>2.4500000000000002</v>
      </c>
      <c r="F29" s="167"/>
      <c r="G29" s="168">
        <f>ROUND(E29*F29,2)</f>
        <v>0</v>
      </c>
      <c r="H29" s="167">
        <v>601.66</v>
      </c>
      <c r="I29" s="168">
        <f>ROUND(E29*H29,2)</f>
        <v>1474.07</v>
      </c>
      <c r="J29" s="167">
        <v>488.34</v>
      </c>
      <c r="K29" s="168">
        <f>ROUND(E29*J29,2)</f>
        <v>1196.43</v>
      </c>
      <c r="L29" s="168">
        <v>21</v>
      </c>
      <c r="M29" s="168">
        <f>G29*(1+L29/100)</f>
        <v>0</v>
      </c>
      <c r="N29" s="168">
        <v>1.8907700000000001</v>
      </c>
      <c r="O29" s="168">
        <f>ROUND(E29*N29,2)</f>
        <v>4.63</v>
      </c>
      <c r="P29" s="168">
        <v>0</v>
      </c>
      <c r="Q29" s="168">
        <f>ROUND(E29*P29,2)</f>
        <v>0</v>
      </c>
      <c r="R29" s="168" t="s">
        <v>231</v>
      </c>
      <c r="S29" s="168" t="s">
        <v>264</v>
      </c>
      <c r="T29" s="168" t="s">
        <v>264</v>
      </c>
      <c r="U29" s="155"/>
      <c r="V29" s="155"/>
      <c r="W29" s="155"/>
      <c r="X29" s="155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5">
      <c r="A30" s="153"/>
      <c r="B30" s="154"/>
      <c r="C30" s="285" t="s">
        <v>232</v>
      </c>
      <c r="D30" s="286"/>
      <c r="E30" s="286"/>
      <c r="F30" s="286"/>
      <c r="G30" s="286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5">
      <c r="A31" s="153"/>
      <c r="B31" s="154"/>
      <c r="C31" s="287"/>
      <c r="D31" s="288"/>
      <c r="E31" s="288"/>
      <c r="F31" s="288"/>
      <c r="G31" s="288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5">
      <c r="A32" s="163">
        <v>9</v>
      </c>
      <c r="B32" s="164" t="s">
        <v>331</v>
      </c>
      <c r="C32" s="174" t="s">
        <v>332</v>
      </c>
      <c r="D32" s="165" t="s">
        <v>132</v>
      </c>
      <c r="E32" s="166">
        <f>70*0.3*0.35*1.85</f>
        <v>13.5975</v>
      </c>
      <c r="F32" s="167"/>
      <c r="G32" s="168">
        <f>ROUND(E32*F32,2)</f>
        <v>0</v>
      </c>
      <c r="H32" s="167">
        <v>601.66</v>
      </c>
      <c r="I32" s="168">
        <f>ROUND(E32*H32,2)</f>
        <v>8181.07</v>
      </c>
      <c r="J32" s="167">
        <v>488.34</v>
      </c>
      <c r="K32" s="168">
        <f>ROUND(E32*J32,2)</f>
        <v>6640.2</v>
      </c>
      <c r="L32" s="168">
        <v>21</v>
      </c>
      <c r="M32" s="168">
        <f>G32*(1+L32/100)</f>
        <v>0</v>
      </c>
      <c r="N32" s="168">
        <v>1.8907700000000001</v>
      </c>
      <c r="O32" s="168">
        <f>ROUND(E32*N32,2)</f>
        <v>25.71</v>
      </c>
      <c r="P32" s="168">
        <v>0</v>
      </c>
      <c r="Q32" s="168">
        <f>ROUND(E32*P32,2)</f>
        <v>0</v>
      </c>
      <c r="R32" s="168" t="s">
        <v>231</v>
      </c>
      <c r="S32" s="168" t="s">
        <v>264</v>
      </c>
      <c r="T32" s="168" t="s">
        <v>103</v>
      </c>
      <c r="U32" s="155"/>
      <c r="V32" s="155"/>
      <c r="W32" s="155"/>
      <c r="X32" s="155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5">
      <c r="A33" s="153"/>
      <c r="B33" s="154"/>
      <c r="C33" s="218" t="s">
        <v>333</v>
      </c>
      <c r="D33" s="219"/>
      <c r="E33" s="220"/>
      <c r="F33" s="188"/>
      <c r="G33" s="155"/>
      <c r="H33" s="188"/>
      <c r="I33" s="155"/>
      <c r="J33" s="188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5">
      <c r="A34" s="153"/>
      <c r="B34" s="154"/>
      <c r="C34" s="175"/>
      <c r="D34" s="170"/>
      <c r="E34" s="170"/>
      <c r="F34" s="170"/>
      <c r="G34" s="170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5">
      <c r="A35" s="157" t="s">
        <v>91</v>
      </c>
      <c r="B35" s="158" t="s">
        <v>235</v>
      </c>
      <c r="C35" s="173" t="s">
        <v>236</v>
      </c>
      <c r="D35" s="159"/>
      <c r="E35" s="160"/>
      <c r="F35" s="161"/>
      <c r="G35" s="161">
        <f>G36+G39+G41+G44+G47+G51+G53+G55+G49</f>
        <v>0</v>
      </c>
      <c r="H35" s="161"/>
      <c r="I35" s="161">
        <f>SUM(I36:I56)</f>
        <v>60492.84</v>
      </c>
      <c r="J35" s="161"/>
      <c r="K35" s="161">
        <f>SUM(K36:K56)</f>
        <v>44751.560000000005</v>
      </c>
      <c r="L35" s="161"/>
      <c r="M35" s="161">
        <f>M36+M39+M41+M44+M47+M51+M53+M55+M49</f>
        <v>0</v>
      </c>
      <c r="N35" s="161"/>
      <c r="O35" s="161">
        <f>SUM(O36:O56)</f>
        <v>0.31</v>
      </c>
      <c r="P35" s="161"/>
      <c r="Q35" s="161">
        <f>SUM(Q36:Q56)</f>
        <v>0</v>
      </c>
      <c r="R35" s="161"/>
      <c r="S35" s="161"/>
      <c r="T35" s="162"/>
      <c r="U35" s="155"/>
      <c r="V35" s="155"/>
      <c r="W35" s="155"/>
      <c r="X35" s="155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ht="20.399999999999999" outlineLevel="1" x14ac:dyDescent="0.25">
      <c r="A36" s="163">
        <v>10</v>
      </c>
      <c r="B36" s="164" t="s">
        <v>240</v>
      </c>
      <c r="C36" s="174" t="s">
        <v>241</v>
      </c>
      <c r="D36" s="165" t="s">
        <v>96</v>
      </c>
      <c r="E36" s="166">
        <v>1</v>
      </c>
      <c r="F36" s="167"/>
      <c r="G36" s="168">
        <f>ROUND(E36*F36,2)</f>
        <v>0</v>
      </c>
      <c r="H36" s="167">
        <v>0</v>
      </c>
      <c r="I36" s="168">
        <f>ROUND(E36*H36,2)</f>
        <v>0</v>
      </c>
      <c r="J36" s="167">
        <v>5330</v>
      </c>
      <c r="K36" s="168">
        <f>ROUND(E36*J36,2)</f>
        <v>5330</v>
      </c>
      <c r="L36" s="168">
        <v>21</v>
      </c>
      <c r="M36" s="168">
        <f>G36*(1+L36/100)</f>
        <v>0</v>
      </c>
      <c r="N36" s="168">
        <v>0</v>
      </c>
      <c r="O36" s="168">
        <f>ROUND(E36*N36,2)</f>
        <v>0</v>
      </c>
      <c r="P36" s="168">
        <v>0</v>
      </c>
      <c r="Q36" s="168">
        <f>ROUND(E36*P36,2)</f>
        <v>0</v>
      </c>
      <c r="R36" s="168" t="s">
        <v>235</v>
      </c>
      <c r="S36" s="168" t="s">
        <v>264</v>
      </c>
      <c r="T36" s="168" t="s">
        <v>103</v>
      </c>
      <c r="U36" s="155"/>
      <c r="V36" s="155"/>
      <c r="W36" s="155"/>
      <c r="X36" s="155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5">
      <c r="A37" s="153"/>
      <c r="B37" s="154"/>
      <c r="C37" s="291" t="s">
        <v>325</v>
      </c>
      <c r="D37" s="292"/>
      <c r="E37" s="292"/>
      <c r="F37" s="292"/>
      <c r="G37" s="292"/>
      <c r="H37" s="188"/>
      <c r="I37" s="155"/>
      <c r="J37" s="188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5">
      <c r="A38" s="153"/>
      <c r="B38" s="154"/>
      <c r="C38" s="287"/>
      <c r="D38" s="288"/>
      <c r="E38" s="288"/>
      <c r="F38" s="288"/>
      <c r="G38" s="288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5">
      <c r="A39" s="163">
        <v>11</v>
      </c>
      <c r="B39" s="164" t="s">
        <v>237</v>
      </c>
      <c r="C39" s="174" t="s">
        <v>320</v>
      </c>
      <c r="D39" s="165" t="s">
        <v>96</v>
      </c>
      <c r="E39" s="166">
        <v>12</v>
      </c>
      <c r="F39" s="167"/>
      <c r="G39" s="168">
        <f>ROUND(E39*F39,2)</f>
        <v>0</v>
      </c>
      <c r="H39" s="167">
        <v>0</v>
      </c>
      <c r="I39" s="168">
        <f>ROUND(E39*H39,2)</f>
        <v>0</v>
      </c>
      <c r="J39" s="167">
        <v>548</v>
      </c>
      <c r="K39" s="168">
        <f>ROUND(E39*J39,2)</f>
        <v>6576</v>
      </c>
      <c r="L39" s="168">
        <v>21</v>
      </c>
      <c r="M39" s="168">
        <f>G39*(1+L39/100)</f>
        <v>0</v>
      </c>
      <c r="N39" s="168">
        <v>0</v>
      </c>
      <c r="O39" s="168">
        <f>ROUND(E39*N39,2)</f>
        <v>0</v>
      </c>
      <c r="P39" s="168">
        <v>0</v>
      </c>
      <c r="Q39" s="168">
        <f>ROUND(E39*P39,2)</f>
        <v>0</v>
      </c>
      <c r="R39" s="168" t="s">
        <v>235</v>
      </c>
      <c r="S39" s="168" t="s">
        <v>264</v>
      </c>
      <c r="T39" s="168" t="s">
        <v>103</v>
      </c>
      <c r="U39" s="155"/>
      <c r="V39" s="155"/>
      <c r="W39" s="155"/>
      <c r="X39" s="155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5">
      <c r="A40" s="153"/>
      <c r="B40" s="154"/>
      <c r="C40" s="289"/>
      <c r="D40" s="290"/>
      <c r="E40" s="290"/>
      <c r="F40" s="290"/>
      <c r="G40" s="290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ht="20.399999999999999" outlineLevel="1" x14ac:dyDescent="0.25">
      <c r="A41" s="163">
        <v>12</v>
      </c>
      <c r="B41" s="164" t="s">
        <v>238</v>
      </c>
      <c r="C41" s="174" t="s">
        <v>324</v>
      </c>
      <c r="D41" s="165" t="s">
        <v>96</v>
      </c>
      <c r="E41" s="166">
        <v>12</v>
      </c>
      <c r="F41" s="167"/>
      <c r="G41" s="168">
        <f>ROUND(E41*F41,2)</f>
        <v>0</v>
      </c>
      <c r="H41" s="167">
        <v>5009.22</v>
      </c>
      <c r="I41" s="168">
        <f>ROUND(E41*H41,2)</f>
        <v>60110.64</v>
      </c>
      <c r="J41" s="167">
        <v>805.78</v>
      </c>
      <c r="K41" s="168">
        <f>ROUND(E41*J41,2)</f>
        <v>9669.36</v>
      </c>
      <c r="L41" s="168">
        <v>21</v>
      </c>
      <c r="M41" s="168">
        <f>G41*(1+L41/100)</f>
        <v>0</v>
      </c>
      <c r="N41" s="168">
        <v>2.545E-2</v>
      </c>
      <c r="O41" s="168">
        <f>ROUND(E41*N41,2)</f>
        <v>0.31</v>
      </c>
      <c r="P41" s="168">
        <v>0</v>
      </c>
      <c r="Q41" s="168">
        <f>ROUND(E41*P41,2)</f>
        <v>0</v>
      </c>
      <c r="R41" s="168" t="s">
        <v>235</v>
      </c>
      <c r="S41" s="168" t="s">
        <v>264</v>
      </c>
      <c r="T41" s="168" t="s">
        <v>103</v>
      </c>
      <c r="U41" s="155"/>
      <c r="V41" s="155"/>
      <c r="W41" s="155"/>
      <c r="X41" s="155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ht="25.5" customHeight="1" outlineLevel="1" x14ac:dyDescent="0.25">
      <c r="A42" s="153"/>
      <c r="B42" s="154"/>
      <c r="C42" s="291" t="s">
        <v>326</v>
      </c>
      <c r="D42" s="292"/>
      <c r="E42" s="292"/>
      <c r="F42" s="292"/>
      <c r="G42" s="292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5">
      <c r="A43" s="153"/>
      <c r="B43" s="154"/>
      <c r="C43" s="287"/>
      <c r="D43" s="288"/>
      <c r="E43" s="288"/>
      <c r="F43" s="288"/>
      <c r="G43" s="288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5">
      <c r="A44" s="163">
        <v>13</v>
      </c>
      <c r="B44" s="164" t="s">
        <v>248</v>
      </c>
      <c r="C44" s="174" t="s">
        <v>330</v>
      </c>
      <c r="D44" s="165" t="s">
        <v>116</v>
      </c>
      <c r="E44" s="166">
        <v>18</v>
      </c>
      <c r="F44" s="167"/>
      <c r="G44" s="168">
        <f>ROUND(E44*F44,2)</f>
        <v>0</v>
      </c>
      <c r="H44" s="167">
        <v>0</v>
      </c>
      <c r="I44" s="168">
        <f>ROUND(E44*H44,2)</f>
        <v>0</v>
      </c>
      <c r="J44" s="167">
        <v>343</v>
      </c>
      <c r="K44" s="168">
        <f>ROUND(E44*J44,2)</f>
        <v>6174</v>
      </c>
      <c r="L44" s="168">
        <v>21</v>
      </c>
      <c r="M44" s="168">
        <f>G44*(1+L44/100)</f>
        <v>0</v>
      </c>
      <c r="N44" s="168">
        <v>0</v>
      </c>
      <c r="O44" s="168">
        <f>ROUND(E44*N44,2)</f>
        <v>0</v>
      </c>
      <c r="P44" s="168">
        <v>0</v>
      </c>
      <c r="Q44" s="168">
        <f>ROUND(E44*P44,2)</f>
        <v>0</v>
      </c>
      <c r="R44" s="168" t="s">
        <v>235</v>
      </c>
      <c r="S44" s="168" t="s">
        <v>264</v>
      </c>
      <c r="T44" s="168" t="s">
        <v>103</v>
      </c>
      <c r="U44" s="155"/>
      <c r="V44" s="155"/>
      <c r="W44" s="155"/>
      <c r="X44" s="155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5">
      <c r="A45" s="153"/>
      <c r="B45" s="154"/>
      <c r="C45" s="291" t="s">
        <v>325</v>
      </c>
      <c r="D45" s="292"/>
      <c r="E45" s="292"/>
      <c r="F45" s="292"/>
      <c r="G45" s="292"/>
      <c r="H45" s="188"/>
      <c r="I45" s="155"/>
      <c r="J45" s="188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outlineLevel="1" x14ac:dyDescent="0.25">
      <c r="A46" s="153"/>
      <c r="B46" s="154"/>
      <c r="C46" s="287"/>
      <c r="D46" s="288"/>
      <c r="E46" s="288"/>
      <c r="F46" s="288"/>
      <c r="G46" s="288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46"/>
      <c r="Z46" s="146"/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outlineLevel="1" x14ac:dyDescent="0.25">
      <c r="A47" s="163">
        <v>14</v>
      </c>
      <c r="B47" s="164" t="s">
        <v>328</v>
      </c>
      <c r="C47" s="174" t="s">
        <v>329</v>
      </c>
      <c r="D47" s="165" t="s">
        <v>116</v>
      </c>
      <c r="E47" s="166">
        <v>74</v>
      </c>
      <c r="F47" s="167"/>
      <c r="G47" s="168">
        <f>ROUND(E47*F47,2)</f>
        <v>0</v>
      </c>
      <c r="H47" s="167">
        <v>0</v>
      </c>
      <c r="I47" s="168">
        <f>ROUND(E47*H47,2)</f>
        <v>0</v>
      </c>
      <c r="J47" s="167">
        <v>66.599999999999994</v>
      </c>
      <c r="K47" s="168">
        <f>ROUND(E47*J47,2)</f>
        <v>4928.3999999999996</v>
      </c>
      <c r="L47" s="168">
        <v>21</v>
      </c>
      <c r="M47" s="168">
        <f>G47*(1+L47/100)</f>
        <v>0</v>
      </c>
      <c r="N47" s="168">
        <v>0</v>
      </c>
      <c r="O47" s="168">
        <f>ROUND(E47*N47,2)</f>
        <v>0</v>
      </c>
      <c r="P47" s="168">
        <v>0</v>
      </c>
      <c r="Q47" s="168">
        <f>ROUND(E47*P47,2)</f>
        <v>0</v>
      </c>
      <c r="R47" s="168" t="s">
        <v>235</v>
      </c>
      <c r="S47" s="168" t="s">
        <v>264</v>
      </c>
      <c r="T47" s="168" t="s">
        <v>103</v>
      </c>
      <c r="U47" s="155"/>
      <c r="V47" s="155"/>
      <c r="W47" s="155"/>
      <c r="X47" s="155"/>
      <c r="Y47" s="146"/>
      <c r="Z47" s="146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1" x14ac:dyDescent="0.25">
      <c r="A48" s="153"/>
      <c r="B48" s="154"/>
      <c r="C48" s="287"/>
      <c r="D48" s="288"/>
      <c r="E48" s="288"/>
      <c r="F48" s="288"/>
      <c r="G48" s="288"/>
      <c r="H48" s="188"/>
      <c r="I48" s="155"/>
      <c r="J48" s="188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46"/>
      <c r="Z48" s="146"/>
      <c r="AA48" s="146"/>
      <c r="AB48" s="146"/>
      <c r="AC48" s="146"/>
      <c r="AD48" s="146"/>
      <c r="AE48" s="146"/>
      <c r="AF48" s="146"/>
      <c r="AG48" s="146"/>
      <c r="AH48" s="146"/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1" x14ac:dyDescent="0.25">
      <c r="A49" s="163">
        <v>15</v>
      </c>
      <c r="B49" s="164" t="s">
        <v>239</v>
      </c>
      <c r="C49" s="174" t="s">
        <v>327</v>
      </c>
      <c r="D49" s="165" t="s">
        <v>116</v>
      </c>
      <c r="E49" s="166">
        <v>25</v>
      </c>
      <c r="F49" s="167"/>
      <c r="G49" s="168">
        <f>ROUND(E49*F49,2)</f>
        <v>0</v>
      </c>
      <c r="H49" s="167">
        <v>0</v>
      </c>
      <c r="I49" s="168">
        <f>ROUND(E49*H49,2)</f>
        <v>0</v>
      </c>
      <c r="J49" s="167">
        <v>66.599999999999994</v>
      </c>
      <c r="K49" s="168">
        <f>ROUND(E49*J49,2)</f>
        <v>1665</v>
      </c>
      <c r="L49" s="168">
        <v>21</v>
      </c>
      <c r="M49" s="168">
        <f>G49*(1+L49/100)</f>
        <v>0</v>
      </c>
      <c r="N49" s="168">
        <v>0</v>
      </c>
      <c r="O49" s="168">
        <f>ROUND(E49*N49,2)</f>
        <v>0</v>
      </c>
      <c r="P49" s="168">
        <v>0</v>
      </c>
      <c r="Q49" s="168">
        <f>ROUND(E49*P49,2)</f>
        <v>0</v>
      </c>
      <c r="R49" s="168" t="s">
        <v>235</v>
      </c>
      <c r="S49" s="168" t="s">
        <v>264</v>
      </c>
      <c r="T49" s="168" t="s">
        <v>103</v>
      </c>
      <c r="U49" s="155"/>
      <c r="V49" s="155"/>
      <c r="W49" s="155"/>
      <c r="X49" s="155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5">
      <c r="A50" s="153"/>
      <c r="B50" s="154"/>
      <c r="C50" s="175"/>
      <c r="D50" s="170"/>
      <c r="E50" s="170"/>
      <c r="F50" s="170"/>
      <c r="G50" s="170"/>
      <c r="H50" s="188"/>
      <c r="I50" s="155"/>
      <c r="J50" s="188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5">
      <c r="A51" s="163">
        <v>16</v>
      </c>
      <c r="B51" s="164" t="s">
        <v>246</v>
      </c>
      <c r="C51" s="174" t="s">
        <v>244</v>
      </c>
      <c r="D51" s="165" t="s">
        <v>116</v>
      </c>
      <c r="E51" s="166">
        <v>70</v>
      </c>
      <c r="F51" s="167"/>
      <c r="G51" s="168">
        <f>ROUND(E51*F51,2)</f>
        <v>0</v>
      </c>
      <c r="H51" s="167">
        <v>0</v>
      </c>
      <c r="I51" s="168">
        <f>ROUND(E51*H51,2)</f>
        <v>0</v>
      </c>
      <c r="J51" s="167">
        <v>66.599999999999994</v>
      </c>
      <c r="K51" s="168">
        <f>ROUND(E51*J51,2)</f>
        <v>4662</v>
      </c>
      <c r="L51" s="168">
        <v>21</v>
      </c>
      <c r="M51" s="168">
        <f>G51*(1+L51/100)</f>
        <v>0</v>
      </c>
      <c r="N51" s="168">
        <v>0</v>
      </c>
      <c r="O51" s="168">
        <f>ROUND(E51*N51,2)</f>
        <v>0</v>
      </c>
      <c r="P51" s="168">
        <v>0</v>
      </c>
      <c r="Q51" s="168">
        <f>ROUND(E51*P51,2)</f>
        <v>0</v>
      </c>
      <c r="R51" s="168" t="s">
        <v>235</v>
      </c>
      <c r="S51" s="168" t="s">
        <v>264</v>
      </c>
      <c r="T51" s="168" t="s">
        <v>103</v>
      </c>
      <c r="U51" s="155"/>
      <c r="V51" s="155"/>
      <c r="W51" s="155"/>
      <c r="X51" s="155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outlineLevel="1" x14ac:dyDescent="0.25">
      <c r="A52" s="153"/>
      <c r="B52" s="154"/>
      <c r="C52" s="287"/>
      <c r="D52" s="288"/>
      <c r="E52" s="288"/>
      <c r="F52" s="288"/>
      <c r="G52" s="288"/>
      <c r="H52" s="188"/>
      <c r="I52" s="155"/>
      <c r="J52" s="188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5">
      <c r="A53" s="163">
        <v>17</v>
      </c>
      <c r="B53" s="164" t="s">
        <v>247</v>
      </c>
      <c r="C53" s="174" t="s">
        <v>245</v>
      </c>
      <c r="D53" s="165" t="s">
        <v>116</v>
      </c>
      <c r="E53" s="166">
        <v>75</v>
      </c>
      <c r="F53" s="167"/>
      <c r="G53" s="168">
        <f>ROUND(E53*F53,2)</f>
        <v>0</v>
      </c>
      <c r="H53" s="167">
        <v>0</v>
      </c>
      <c r="I53" s="168">
        <f>ROUND(E53*H53,2)</f>
        <v>0</v>
      </c>
      <c r="J53" s="167">
        <v>66.599999999999994</v>
      </c>
      <c r="K53" s="168">
        <f>ROUND(E53*J53,2)</f>
        <v>4995</v>
      </c>
      <c r="L53" s="168">
        <v>21</v>
      </c>
      <c r="M53" s="168">
        <f>G53*(1+L53/100)</f>
        <v>0</v>
      </c>
      <c r="N53" s="168">
        <v>0</v>
      </c>
      <c r="O53" s="168">
        <f>ROUND(E53*N53,2)</f>
        <v>0</v>
      </c>
      <c r="P53" s="168">
        <v>0</v>
      </c>
      <c r="Q53" s="168">
        <f>ROUND(E53*P53,2)</f>
        <v>0</v>
      </c>
      <c r="R53" s="168" t="s">
        <v>235</v>
      </c>
      <c r="S53" s="168" t="s">
        <v>264</v>
      </c>
      <c r="T53" s="168" t="s">
        <v>103</v>
      </c>
      <c r="U53" s="155"/>
      <c r="V53" s="155"/>
      <c r="W53" s="155"/>
      <c r="X53" s="155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1" x14ac:dyDescent="0.25">
      <c r="A54" s="153"/>
      <c r="B54" s="154"/>
      <c r="C54" s="289"/>
      <c r="D54" s="290"/>
      <c r="E54" s="290"/>
      <c r="F54" s="290"/>
      <c r="G54" s="290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46"/>
      <c r="Z54" s="146"/>
      <c r="AA54" s="146"/>
      <c r="AB54" s="146"/>
      <c r="AC54" s="146"/>
      <c r="AD54" s="146"/>
      <c r="AE54" s="146"/>
      <c r="AF54" s="146"/>
      <c r="AG54" s="146"/>
      <c r="AH54" s="146"/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5">
      <c r="A55" s="163">
        <v>18</v>
      </c>
      <c r="B55" s="164" t="s">
        <v>243</v>
      </c>
      <c r="C55" s="174" t="s">
        <v>242</v>
      </c>
      <c r="D55" s="165" t="s">
        <v>116</v>
      </c>
      <c r="E55" s="166">
        <v>70</v>
      </c>
      <c r="F55" s="167"/>
      <c r="G55" s="168">
        <f>ROUND(E55*F55,2)</f>
        <v>0</v>
      </c>
      <c r="H55" s="167">
        <v>5.46</v>
      </c>
      <c r="I55" s="168">
        <f>ROUND(E55*H55,2)</f>
        <v>382.2</v>
      </c>
      <c r="J55" s="167">
        <v>10.74</v>
      </c>
      <c r="K55" s="168">
        <f>ROUND(E55*J55,2)</f>
        <v>751.8</v>
      </c>
      <c r="L55" s="168">
        <v>21</v>
      </c>
      <c r="M55" s="168">
        <f>G55*(1+L55/100)</f>
        <v>0</v>
      </c>
      <c r="N55" s="168">
        <v>6.0000000000000002E-5</v>
      </c>
      <c r="O55" s="168">
        <f>ROUND(E55*N55,2)</f>
        <v>0</v>
      </c>
      <c r="P55" s="168">
        <v>0</v>
      </c>
      <c r="Q55" s="168">
        <f>ROUND(E55*P55,2)</f>
        <v>0</v>
      </c>
      <c r="R55" s="168"/>
      <c r="S55" s="168" t="s">
        <v>264</v>
      </c>
      <c r="T55" s="168" t="s">
        <v>103</v>
      </c>
      <c r="U55" s="155"/>
      <c r="V55" s="155"/>
      <c r="W55" s="155"/>
      <c r="X55" s="155"/>
      <c r="Y55" s="146"/>
      <c r="Z55" s="146"/>
      <c r="AA55" s="146"/>
      <c r="AB55" s="146"/>
      <c r="AC55" s="146"/>
      <c r="AD55" s="146"/>
      <c r="AE55" s="146"/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5">
      <c r="A56" s="153"/>
      <c r="B56" s="154"/>
      <c r="C56" s="175"/>
      <c r="D56" s="170"/>
      <c r="E56" s="170"/>
      <c r="F56" s="170"/>
      <c r="G56" s="170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5">
      <c r="A57" s="157" t="s">
        <v>91</v>
      </c>
      <c r="B57" s="158" t="s">
        <v>183</v>
      </c>
      <c r="C57" s="173" t="s">
        <v>182</v>
      </c>
      <c r="D57" s="159"/>
      <c r="E57" s="160"/>
      <c r="F57" s="161"/>
      <c r="G57" s="161">
        <f>G58</f>
        <v>0</v>
      </c>
      <c r="H57" s="161"/>
      <c r="I57" s="161">
        <f>SUM(I62:I67)</f>
        <v>0</v>
      </c>
      <c r="J57" s="161"/>
      <c r="K57" s="161">
        <f>SUM(K62:K67)</f>
        <v>0</v>
      </c>
      <c r="L57" s="161"/>
      <c r="M57" s="161">
        <f>M58</f>
        <v>0</v>
      </c>
      <c r="N57" s="161"/>
      <c r="O57" s="161">
        <f>SUM(O62:O67)</f>
        <v>0</v>
      </c>
      <c r="P57" s="161"/>
      <c r="Q57" s="161">
        <f>SUM(Q62:Q67)</f>
        <v>0</v>
      </c>
      <c r="R57" s="161"/>
      <c r="S57" s="161"/>
      <c r="T57" s="162"/>
      <c r="U57" s="155"/>
      <c r="V57" s="155"/>
      <c r="W57" s="155"/>
      <c r="X57" s="155"/>
      <c r="Y57" s="146"/>
      <c r="Z57" s="146"/>
      <c r="AA57" s="146"/>
      <c r="AB57" s="146"/>
      <c r="AC57" s="146"/>
      <c r="AD57" s="146"/>
      <c r="AE57" s="146"/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5">
      <c r="A58" s="163">
        <v>19</v>
      </c>
      <c r="B58" s="164" t="s">
        <v>321</v>
      </c>
      <c r="C58" s="174" t="s">
        <v>322</v>
      </c>
      <c r="D58" s="165" t="s">
        <v>96</v>
      </c>
      <c r="E58" s="166">
        <v>9</v>
      </c>
      <c r="F58" s="167"/>
      <c r="G58" s="168">
        <f>ROUND(E58*F58,2)</f>
        <v>0</v>
      </c>
      <c r="H58" s="167">
        <v>0</v>
      </c>
      <c r="I58" s="168">
        <f>ROUND(E58*H58,2)</f>
        <v>0</v>
      </c>
      <c r="J58" s="167">
        <v>322</v>
      </c>
      <c r="K58" s="168">
        <f>ROUND(E58*J58,2)</f>
        <v>2898</v>
      </c>
      <c r="L58" s="168">
        <v>21</v>
      </c>
      <c r="M58" s="168">
        <f>G58*(1+L58/100)</f>
        <v>0</v>
      </c>
      <c r="N58" s="168">
        <v>0</v>
      </c>
      <c r="O58" s="168">
        <f>ROUND(E58*N58,2)</f>
        <v>0</v>
      </c>
      <c r="P58" s="168">
        <v>8.2000000000000003E-2</v>
      </c>
      <c r="Q58" s="212">
        <f>ROUND(E58*P58,2)</f>
        <v>0.74</v>
      </c>
      <c r="R58" s="168" t="s">
        <v>111</v>
      </c>
      <c r="S58" s="168" t="s">
        <v>264</v>
      </c>
      <c r="T58" s="168" t="s">
        <v>264</v>
      </c>
      <c r="U58" s="155"/>
      <c r="V58" s="155"/>
      <c r="W58" s="155"/>
      <c r="X58" s="155"/>
      <c r="Y58" s="146"/>
      <c r="Z58" s="146"/>
      <c r="AA58" s="146"/>
      <c r="AB58" s="146"/>
      <c r="AC58" s="146"/>
      <c r="AD58" s="146"/>
      <c r="AE58" s="146"/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outlineLevel="1" x14ac:dyDescent="0.25">
      <c r="A59" s="213"/>
      <c r="B59" s="214"/>
      <c r="C59" s="189" t="s">
        <v>323</v>
      </c>
      <c r="D59" s="190"/>
      <c r="E59" s="191"/>
      <c r="F59" s="200"/>
      <c r="G59" s="193"/>
      <c r="H59" s="192"/>
      <c r="I59" s="193"/>
      <c r="J59" s="192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55"/>
      <c r="V59" s="155"/>
      <c r="W59" s="155"/>
      <c r="X59" s="155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  <c r="AN59" s="146"/>
      <c r="AO59" s="146"/>
      <c r="AP59" s="146"/>
      <c r="AQ59" s="146"/>
      <c r="AR59" s="146"/>
      <c r="AS59" s="146"/>
      <c r="AT59" s="146"/>
      <c r="AU59" s="146"/>
      <c r="AV59" s="146"/>
      <c r="AW59" s="146"/>
      <c r="AX59" s="146"/>
      <c r="AY59" s="146"/>
      <c r="AZ59" s="146"/>
      <c r="BA59" s="146"/>
      <c r="BB59" s="146"/>
      <c r="BC59" s="146"/>
      <c r="BD59" s="146"/>
      <c r="BE59" s="146"/>
      <c r="BF59" s="146"/>
      <c r="BG59" s="146"/>
      <c r="BH59" s="146"/>
    </row>
    <row r="60" spans="1:60" outlineLevel="1" x14ac:dyDescent="0.25">
      <c r="A60" s="26"/>
      <c r="B60" s="215"/>
      <c r="C60" s="307"/>
      <c r="D60" s="307"/>
      <c r="E60" s="307"/>
      <c r="F60" s="307"/>
      <c r="G60" s="307"/>
      <c r="H60" s="156"/>
      <c r="I60" s="156"/>
      <c r="J60" s="156"/>
      <c r="K60" s="156"/>
      <c r="L60" s="216"/>
      <c r="M60" s="216"/>
      <c r="N60" s="216"/>
      <c r="O60" s="216"/>
      <c r="P60" s="216"/>
      <c r="Q60" s="216"/>
      <c r="R60" s="216"/>
      <c r="S60" s="217"/>
      <c r="T60" s="217"/>
      <c r="U60" s="155"/>
      <c r="V60" s="155"/>
      <c r="W60" s="155"/>
      <c r="X60" s="155"/>
      <c r="Y60" s="146"/>
      <c r="Z60" s="146"/>
      <c r="AA60" s="146"/>
      <c r="AB60" s="146"/>
      <c r="AC60" s="146"/>
      <c r="AD60" s="146"/>
      <c r="AE60" s="146"/>
      <c r="AF60" s="146"/>
      <c r="AG60" s="146"/>
      <c r="AH60" s="146"/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x14ac:dyDescent="0.25">
      <c r="A61" s="157" t="s">
        <v>91</v>
      </c>
      <c r="B61" s="158" t="s">
        <v>63</v>
      </c>
      <c r="C61" s="173" t="s">
        <v>26</v>
      </c>
      <c r="D61" s="159"/>
      <c r="E61" s="160"/>
      <c r="F61" s="161"/>
      <c r="G61" s="161">
        <f>G62+G64+G67+G69</f>
        <v>0</v>
      </c>
      <c r="H61" s="161"/>
      <c r="I61" s="161">
        <f>SUM(I64:I66)</f>
        <v>0</v>
      </c>
      <c r="J61" s="161"/>
      <c r="K61" s="161">
        <f>SUM(K64:K66)</f>
        <v>0</v>
      </c>
      <c r="L61" s="161"/>
      <c r="M61" s="161">
        <f>M62+M64+M67+M69</f>
        <v>0</v>
      </c>
      <c r="N61" s="161"/>
      <c r="O61" s="161">
        <f>SUM(O64:O66)</f>
        <v>0</v>
      </c>
      <c r="P61" s="161"/>
      <c r="Q61" s="161">
        <f>SUM(Q64:Q66)</f>
        <v>0</v>
      </c>
      <c r="R61" s="161"/>
      <c r="S61" s="161"/>
      <c r="T61" s="162"/>
      <c r="U61" s="156"/>
      <c r="V61" s="156">
        <f>SUM(V64:V66)</f>
        <v>0</v>
      </c>
      <c r="W61" s="156"/>
      <c r="X61" s="156"/>
      <c r="Z61" s="84"/>
      <c r="AG61" t="s">
        <v>92</v>
      </c>
    </row>
    <row r="62" spans="1:60" x14ac:dyDescent="0.25">
      <c r="A62" s="163">
        <v>20</v>
      </c>
      <c r="B62" s="164" t="s">
        <v>168</v>
      </c>
      <c r="C62" s="174" t="s">
        <v>106</v>
      </c>
      <c r="D62" s="165" t="s">
        <v>102</v>
      </c>
      <c r="E62" s="166">
        <v>1</v>
      </c>
      <c r="F62" s="167"/>
      <c r="G62" s="168">
        <f>ROUND(E62*F62,2)</f>
        <v>0</v>
      </c>
      <c r="H62" s="167">
        <v>0</v>
      </c>
      <c r="I62" s="168">
        <f>ROUND(E62*H62,2)</f>
        <v>0</v>
      </c>
      <c r="J62" s="167">
        <v>0</v>
      </c>
      <c r="K62" s="168">
        <f>ROUND(E62*J62,2)</f>
        <v>0</v>
      </c>
      <c r="L62" s="168">
        <v>21</v>
      </c>
      <c r="M62" s="168">
        <f>G62*(1+L62/100)</f>
        <v>0</v>
      </c>
      <c r="N62" s="168">
        <v>0</v>
      </c>
      <c r="O62" s="168">
        <f>ROUND(E62*N62,2)</f>
        <v>0</v>
      </c>
      <c r="P62" s="168">
        <v>0</v>
      </c>
      <c r="Q62" s="168">
        <f>ROUND(E62*P62,2)</f>
        <v>0</v>
      </c>
      <c r="R62" s="168"/>
      <c r="S62" s="168" t="s">
        <v>264</v>
      </c>
      <c r="T62" s="169" t="s">
        <v>103</v>
      </c>
      <c r="U62" s="156"/>
      <c r="V62" s="156"/>
      <c r="W62" s="156"/>
      <c r="X62" s="156"/>
    </row>
    <row r="63" spans="1:60" x14ac:dyDescent="0.25">
      <c r="A63" s="179"/>
      <c r="B63" s="180"/>
      <c r="C63" s="289"/>
      <c r="D63" s="290"/>
      <c r="E63" s="290"/>
      <c r="F63" s="290"/>
      <c r="G63" s="290"/>
      <c r="H63" s="181"/>
      <c r="I63" s="181"/>
      <c r="J63" s="181"/>
      <c r="K63" s="181"/>
      <c r="L63" s="181"/>
      <c r="M63" s="181"/>
      <c r="N63" s="181"/>
      <c r="O63" s="181"/>
      <c r="P63" s="181"/>
      <c r="Q63" s="181"/>
      <c r="R63" s="181"/>
      <c r="S63" s="181"/>
      <c r="T63" s="181"/>
      <c r="U63" s="156"/>
      <c r="V63" s="156"/>
      <c r="W63" s="156"/>
      <c r="X63" s="156"/>
    </row>
    <row r="64" spans="1:60" outlineLevel="1" x14ac:dyDescent="0.25">
      <c r="A64" s="163">
        <v>21</v>
      </c>
      <c r="B64" s="164" t="s">
        <v>144</v>
      </c>
      <c r="C64" s="174" t="s">
        <v>145</v>
      </c>
      <c r="D64" s="165" t="s">
        <v>102</v>
      </c>
      <c r="E64" s="166">
        <v>1</v>
      </c>
      <c r="F64" s="167"/>
      <c r="G64" s="168">
        <f>ROUND(E64*F64,2)</f>
        <v>0</v>
      </c>
      <c r="H64" s="167">
        <v>0</v>
      </c>
      <c r="I64" s="168">
        <f>ROUND(E64*H64,2)</f>
        <v>0</v>
      </c>
      <c r="J64" s="167">
        <v>0</v>
      </c>
      <c r="K64" s="168">
        <f>ROUND(E64*J64,2)</f>
        <v>0</v>
      </c>
      <c r="L64" s="168">
        <v>21</v>
      </c>
      <c r="M64" s="168">
        <f>G64*(1+L64/100)</f>
        <v>0</v>
      </c>
      <c r="N64" s="168">
        <v>0</v>
      </c>
      <c r="O64" s="168">
        <f>ROUND(E64*N64,2)</f>
        <v>0</v>
      </c>
      <c r="P64" s="168">
        <v>0</v>
      </c>
      <c r="Q64" s="168">
        <f>ROUND(E64*P64,2)</f>
        <v>0</v>
      </c>
      <c r="R64" s="168"/>
      <c r="S64" s="168" t="s">
        <v>264</v>
      </c>
      <c r="T64" s="169" t="s">
        <v>103</v>
      </c>
      <c r="U64" s="155">
        <v>0</v>
      </c>
      <c r="V64" s="155">
        <f>ROUND(E64*U64,2)</f>
        <v>0</v>
      </c>
      <c r="W64" s="155"/>
      <c r="X64" s="155" t="s">
        <v>104</v>
      </c>
      <c r="Y64" s="146"/>
      <c r="Z64" s="146"/>
      <c r="AA64" s="146"/>
      <c r="AB64" s="146"/>
      <c r="AC64" s="146"/>
      <c r="AD64" s="146"/>
      <c r="AE64" s="146"/>
      <c r="AF64" s="146"/>
      <c r="AG64" s="146" t="s">
        <v>105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ht="21" outlineLevel="1" x14ac:dyDescent="0.25">
      <c r="A65" s="153"/>
      <c r="B65" s="154"/>
      <c r="C65" s="291" t="s">
        <v>146</v>
      </c>
      <c r="D65" s="292"/>
      <c r="E65" s="292"/>
      <c r="F65" s="292"/>
      <c r="G65" s="292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46"/>
      <c r="Z65" s="146"/>
      <c r="AA65" s="146"/>
      <c r="AB65" s="146"/>
      <c r="AC65" s="146"/>
      <c r="AD65" s="146"/>
      <c r="AE65" s="146"/>
      <c r="AF65" s="146"/>
      <c r="AG65" s="146" t="s">
        <v>107</v>
      </c>
      <c r="AH65" s="146"/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71" t="str">
        <f>C65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65" s="146"/>
      <c r="BC65" s="146"/>
      <c r="BD65" s="146"/>
      <c r="BE65" s="146"/>
      <c r="BF65" s="146"/>
      <c r="BG65" s="146"/>
      <c r="BH65" s="146"/>
    </row>
    <row r="66" spans="1:60" outlineLevel="1" x14ac:dyDescent="0.25">
      <c r="A66" s="153"/>
      <c r="B66" s="154"/>
      <c r="C66" s="287"/>
      <c r="D66" s="288"/>
      <c r="E66" s="288"/>
      <c r="F66" s="288"/>
      <c r="G66" s="288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46"/>
      <c r="Z66" s="146"/>
      <c r="AA66" s="146"/>
      <c r="AB66" s="146"/>
      <c r="AC66" s="146"/>
      <c r="AD66" s="146"/>
      <c r="AE66" s="146"/>
      <c r="AF66" s="146"/>
      <c r="AG66" s="146" t="s">
        <v>94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5">
      <c r="A67" s="163">
        <v>22</v>
      </c>
      <c r="B67" s="164" t="s">
        <v>163</v>
      </c>
      <c r="C67" s="174" t="s">
        <v>101</v>
      </c>
      <c r="D67" s="165" t="s">
        <v>102</v>
      </c>
      <c r="E67" s="166">
        <v>1</v>
      </c>
      <c r="F67" s="167"/>
      <c r="G67" s="168">
        <f>ROUND(E67*F67,2)</f>
        <v>0</v>
      </c>
      <c r="H67" s="167">
        <v>0</v>
      </c>
      <c r="I67" s="168">
        <f>ROUND(E67*H67,2)</f>
        <v>0</v>
      </c>
      <c r="J67" s="167">
        <v>0</v>
      </c>
      <c r="K67" s="168">
        <f>ROUND(E67*J67,2)</f>
        <v>0</v>
      </c>
      <c r="L67" s="168">
        <v>21</v>
      </c>
      <c r="M67" s="168">
        <f>G67*(1+L67/100)</f>
        <v>0</v>
      </c>
      <c r="N67" s="168">
        <v>0</v>
      </c>
      <c r="O67" s="168">
        <f>ROUND(E67*N67,2)</f>
        <v>0</v>
      </c>
      <c r="P67" s="168">
        <v>0</v>
      </c>
      <c r="Q67" s="168">
        <f>ROUND(E67*P67,2)</f>
        <v>0</v>
      </c>
      <c r="R67" s="168"/>
      <c r="S67" s="168" t="s">
        <v>264</v>
      </c>
      <c r="T67" s="169" t="s">
        <v>103</v>
      </c>
      <c r="U67" s="155"/>
      <c r="V67" s="155"/>
      <c r="W67" s="155"/>
      <c r="X67" s="155"/>
      <c r="Y67" s="146"/>
      <c r="Z67" s="146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1" x14ac:dyDescent="0.25">
      <c r="A68" s="153"/>
      <c r="B68" s="154"/>
      <c r="C68" s="289"/>
      <c r="D68" s="290"/>
      <c r="E68" s="290"/>
      <c r="F68" s="290"/>
      <c r="G68" s="290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46"/>
      <c r="Z68" s="146"/>
      <c r="AA68" s="146"/>
      <c r="AB68" s="146"/>
      <c r="AC68" s="146"/>
      <c r="AD68" s="146"/>
      <c r="AE68" s="146"/>
      <c r="AF68" s="146"/>
      <c r="AG68" s="146"/>
      <c r="AH68" s="146"/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5">
      <c r="A69" s="163">
        <v>23</v>
      </c>
      <c r="B69" s="164" t="s">
        <v>108</v>
      </c>
      <c r="C69" s="174" t="s">
        <v>109</v>
      </c>
      <c r="D69" s="165" t="s">
        <v>102</v>
      </c>
      <c r="E69" s="166">
        <v>1</v>
      </c>
      <c r="F69" s="167"/>
      <c r="G69" s="168">
        <f>ROUND(E69*F69,2)</f>
        <v>0</v>
      </c>
      <c r="H69" s="167">
        <v>0</v>
      </c>
      <c r="I69" s="168">
        <f>ROUND(E69*H69,2)</f>
        <v>0</v>
      </c>
      <c r="J69" s="167">
        <v>0</v>
      </c>
      <c r="K69" s="168">
        <f>ROUND(E69*J69,2)</f>
        <v>0</v>
      </c>
      <c r="L69" s="168">
        <v>21</v>
      </c>
      <c r="M69" s="168">
        <f>G69*(1+L69/100)</f>
        <v>0</v>
      </c>
      <c r="N69" s="168">
        <v>0</v>
      </c>
      <c r="O69" s="168">
        <f>ROUND(E69*N69,2)</f>
        <v>0</v>
      </c>
      <c r="P69" s="168">
        <v>0</v>
      </c>
      <c r="Q69" s="168">
        <f>ROUND(E69*P69,2)</f>
        <v>0</v>
      </c>
      <c r="R69" s="168"/>
      <c r="S69" s="168" t="s">
        <v>264</v>
      </c>
      <c r="T69" s="169" t="s">
        <v>103</v>
      </c>
      <c r="U69" s="155"/>
      <c r="V69" s="155"/>
      <c r="W69" s="155"/>
      <c r="X69" s="155"/>
      <c r="Y69" s="146"/>
      <c r="Z69" s="146"/>
      <c r="AA69" s="146"/>
      <c r="AB69" s="146"/>
      <c r="AC69" s="146"/>
      <c r="AD69" s="146"/>
      <c r="AE69" s="146"/>
      <c r="AF69" s="146"/>
      <c r="AG69" s="146"/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ht="22.5" customHeight="1" outlineLevel="1" x14ac:dyDescent="0.25">
      <c r="A70" s="153"/>
      <c r="B70" s="154"/>
      <c r="C70" s="291" t="s">
        <v>110</v>
      </c>
      <c r="D70" s="292"/>
      <c r="E70" s="292"/>
      <c r="F70" s="292"/>
      <c r="G70" s="292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46"/>
      <c r="Z70" s="146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5">
      <c r="A71" s="153"/>
      <c r="B71" s="154"/>
      <c r="C71" s="175"/>
      <c r="D71" s="170"/>
      <c r="E71" s="170"/>
      <c r="F71" s="170"/>
      <c r="G71" s="170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46"/>
      <c r="Z71" s="146"/>
      <c r="AA71" s="146"/>
      <c r="AB71" s="146"/>
      <c r="AC71" s="146"/>
      <c r="AD71" s="146"/>
      <c r="AE71" s="146"/>
      <c r="AF71" s="146"/>
      <c r="AG71" s="146"/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x14ac:dyDescent="0.25">
      <c r="A72" s="157" t="s">
        <v>91</v>
      </c>
      <c r="B72" s="158" t="s">
        <v>64</v>
      </c>
      <c r="C72" s="173" t="s">
        <v>27</v>
      </c>
      <c r="D72" s="159"/>
      <c r="E72" s="160"/>
      <c r="F72" s="161"/>
      <c r="G72" s="161">
        <f>SUMIF(AG73:AG81,"&lt;&gt;NOR",G73:G81)</f>
        <v>0</v>
      </c>
      <c r="H72" s="161"/>
      <c r="I72" s="161">
        <f>SUM(I73:I81)</f>
        <v>0</v>
      </c>
      <c r="J72" s="161"/>
      <c r="K72" s="161">
        <f>SUM(K73:K81)</f>
        <v>0</v>
      </c>
      <c r="L72" s="161"/>
      <c r="M72" s="161">
        <f>SUM(M73:M81)</f>
        <v>0</v>
      </c>
      <c r="N72" s="161"/>
      <c r="O72" s="161">
        <f>SUM(O73:O81)</f>
        <v>0</v>
      </c>
      <c r="P72" s="161"/>
      <c r="Q72" s="161">
        <f>SUM(Q73:Q81)</f>
        <v>0</v>
      </c>
      <c r="R72" s="161"/>
      <c r="S72" s="161"/>
      <c r="T72" s="162"/>
      <c r="U72" s="156"/>
      <c r="V72" s="156">
        <f>SUM(V73:V81)</f>
        <v>0</v>
      </c>
      <c r="W72" s="156"/>
      <c r="X72" s="156"/>
      <c r="AG72" t="s">
        <v>92</v>
      </c>
    </row>
    <row r="73" spans="1:60" outlineLevel="1" x14ac:dyDescent="0.25">
      <c r="A73" s="163">
        <v>24</v>
      </c>
      <c r="B73" s="164" t="s">
        <v>147</v>
      </c>
      <c r="C73" s="174" t="s">
        <v>148</v>
      </c>
      <c r="D73" s="165" t="s">
        <v>102</v>
      </c>
      <c r="E73" s="166">
        <v>1</v>
      </c>
      <c r="F73" s="167"/>
      <c r="G73" s="168">
        <f>ROUND(E73*F73,2)</f>
        <v>0</v>
      </c>
      <c r="H73" s="167">
        <v>0</v>
      </c>
      <c r="I73" s="168">
        <f>ROUND(E73*H73,2)</f>
        <v>0</v>
      </c>
      <c r="J73" s="167">
        <v>0</v>
      </c>
      <c r="K73" s="168">
        <f>ROUND(E73*J73,2)</f>
        <v>0</v>
      </c>
      <c r="L73" s="168">
        <v>21</v>
      </c>
      <c r="M73" s="168">
        <f>G73*(1+L73/100)</f>
        <v>0</v>
      </c>
      <c r="N73" s="168">
        <v>0</v>
      </c>
      <c r="O73" s="168">
        <f>ROUND(E73*N73,2)</f>
        <v>0</v>
      </c>
      <c r="P73" s="168">
        <v>0</v>
      </c>
      <c r="Q73" s="168">
        <f>ROUND(E73*P73,2)</f>
        <v>0</v>
      </c>
      <c r="R73" s="168"/>
      <c r="S73" s="168" t="s">
        <v>264</v>
      </c>
      <c r="T73" s="169" t="s">
        <v>103</v>
      </c>
      <c r="U73" s="155">
        <v>0</v>
      </c>
      <c r="V73" s="155">
        <f>ROUND(E73*U73,2)</f>
        <v>0</v>
      </c>
      <c r="W73" s="155"/>
      <c r="X73" s="155" t="s">
        <v>104</v>
      </c>
      <c r="Y73" s="182"/>
      <c r="Z73" s="146"/>
      <c r="AA73" s="146"/>
      <c r="AB73" s="146"/>
      <c r="AC73" s="146"/>
      <c r="AD73" s="146"/>
      <c r="AE73" s="146"/>
      <c r="AF73" s="146"/>
      <c r="AG73" s="146" t="s">
        <v>105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ht="33.75" customHeight="1" outlineLevel="1" x14ac:dyDescent="0.25">
      <c r="A74" s="153"/>
      <c r="B74" s="154"/>
      <c r="C74" s="291" t="s">
        <v>164</v>
      </c>
      <c r="D74" s="292"/>
      <c r="E74" s="292"/>
      <c r="F74" s="292"/>
      <c r="G74" s="292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46"/>
      <c r="Z74" s="146"/>
      <c r="AA74" s="146"/>
      <c r="AB74" s="146"/>
      <c r="AC74" s="146"/>
      <c r="AD74" s="146"/>
      <c r="AE74" s="146"/>
      <c r="AF74" s="146"/>
      <c r="AG74" s="146" t="s">
        <v>107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71" t="str">
        <f>C74</f>
        <v>Náklady na vyhotovení návrhu dočasného dopravního značení, jeho projednání s dotčenými orgány a organizacemi, dodání dopravních značek i případné světelné signalizace, jejich rozmístění a přemísťování a jejich údržba v průběhu výstavby včetně následného odstranění po ukončení stavebních prací.</v>
      </c>
      <c r="BB74" s="146"/>
      <c r="BC74" s="146"/>
      <c r="BD74" s="146"/>
      <c r="BE74" s="146"/>
      <c r="BF74" s="146"/>
      <c r="BG74" s="146"/>
      <c r="BH74" s="146"/>
    </row>
    <row r="75" spans="1:60" outlineLevel="1" x14ac:dyDescent="0.25">
      <c r="A75" s="153"/>
      <c r="B75" s="154"/>
      <c r="C75" s="287"/>
      <c r="D75" s="288"/>
      <c r="E75" s="288"/>
      <c r="F75" s="288"/>
      <c r="G75" s="288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46"/>
      <c r="Z75" s="146"/>
      <c r="AA75" s="146"/>
      <c r="AB75" s="146"/>
      <c r="AC75" s="146"/>
      <c r="AD75" s="146"/>
      <c r="AE75" s="146"/>
      <c r="AF75" s="146"/>
      <c r="AG75" s="146" t="s">
        <v>94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5">
      <c r="A76" s="163">
        <v>25</v>
      </c>
      <c r="B76" s="164" t="s">
        <v>149</v>
      </c>
      <c r="C76" s="174" t="s">
        <v>150</v>
      </c>
      <c r="D76" s="165" t="s">
        <v>102</v>
      </c>
      <c r="E76" s="166">
        <v>1</v>
      </c>
      <c r="F76" s="167"/>
      <c r="G76" s="168">
        <f>ROUND(E76*F76,2)</f>
        <v>0</v>
      </c>
      <c r="H76" s="167">
        <v>0</v>
      </c>
      <c r="I76" s="168">
        <f>ROUND(E76*H76,2)</f>
        <v>0</v>
      </c>
      <c r="J76" s="167">
        <v>0</v>
      </c>
      <c r="K76" s="168">
        <f>ROUND(E76*J76,2)</f>
        <v>0</v>
      </c>
      <c r="L76" s="168">
        <v>21</v>
      </c>
      <c r="M76" s="168">
        <f>G76*(1+L76/100)</f>
        <v>0</v>
      </c>
      <c r="N76" s="168">
        <v>0</v>
      </c>
      <c r="O76" s="168">
        <f>ROUND(E76*N76,2)</f>
        <v>0</v>
      </c>
      <c r="P76" s="168">
        <v>0</v>
      </c>
      <c r="Q76" s="168">
        <f>ROUND(E76*P76,2)</f>
        <v>0</v>
      </c>
      <c r="R76" s="168"/>
      <c r="S76" s="168" t="s">
        <v>264</v>
      </c>
      <c r="T76" s="169" t="s">
        <v>103</v>
      </c>
      <c r="U76" s="155">
        <v>0</v>
      </c>
      <c r="V76" s="155">
        <f>ROUND(E76*U76,2)</f>
        <v>0</v>
      </c>
      <c r="W76" s="155"/>
      <c r="X76" s="155" t="s">
        <v>104</v>
      </c>
      <c r="Y76" s="146"/>
      <c r="Z76" s="146"/>
      <c r="AA76" s="146"/>
      <c r="AB76" s="146"/>
      <c r="AC76" s="146"/>
      <c r="AD76" s="146"/>
      <c r="AE76" s="146"/>
      <c r="AF76" s="146"/>
      <c r="AG76" s="146" t="s">
        <v>105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1" x14ac:dyDescent="0.25">
      <c r="A77" s="153"/>
      <c r="B77" s="154"/>
      <c r="C77" s="291" t="s">
        <v>151</v>
      </c>
      <c r="D77" s="292"/>
      <c r="E77" s="292"/>
      <c r="F77" s="292"/>
      <c r="G77" s="292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46"/>
      <c r="Z77" s="146"/>
      <c r="AA77" s="146"/>
      <c r="AB77" s="146"/>
      <c r="AC77" s="146"/>
      <c r="AD77" s="146"/>
      <c r="AE77" s="146"/>
      <c r="AF77" s="146"/>
      <c r="AG77" s="146" t="s">
        <v>107</v>
      </c>
      <c r="AH77" s="146"/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71" t="str">
        <f>C77</f>
        <v>Náklady na vyhotovení dokumentace skutečného provedení stavby a její předání objednateli v požadované formě a požadovaném počtu.</v>
      </c>
      <c r="BB77" s="146"/>
      <c r="BC77" s="146"/>
      <c r="BD77" s="146"/>
      <c r="BE77" s="146"/>
      <c r="BF77" s="146"/>
      <c r="BG77" s="146"/>
      <c r="BH77" s="146"/>
    </row>
    <row r="78" spans="1:60" outlineLevel="1" x14ac:dyDescent="0.25">
      <c r="A78" s="153"/>
      <c r="B78" s="154"/>
      <c r="C78" s="287"/>
      <c r="D78" s="288"/>
      <c r="E78" s="288"/>
      <c r="F78" s="288"/>
      <c r="G78" s="288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46"/>
      <c r="Z78" s="146"/>
      <c r="AA78" s="146"/>
      <c r="AB78" s="146"/>
      <c r="AC78" s="146"/>
      <c r="AD78" s="146"/>
      <c r="AE78" s="146"/>
      <c r="AF78" s="146"/>
      <c r="AG78" s="146" t="s">
        <v>94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5">
      <c r="A79" s="163">
        <v>26</v>
      </c>
      <c r="B79" s="164" t="s">
        <v>152</v>
      </c>
      <c r="C79" s="174" t="s">
        <v>153</v>
      </c>
      <c r="D79" s="165" t="s">
        <v>102</v>
      </c>
      <c r="E79" s="166">
        <v>1</v>
      </c>
      <c r="F79" s="167"/>
      <c r="G79" s="168">
        <f>ROUND(E79*F79,2)</f>
        <v>0</v>
      </c>
      <c r="H79" s="167">
        <v>0</v>
      </c>
      <c r="I79" s="168">
        <f>ROUND(E79*H79,2)</f>
        <v>0</v>
      </c>
      <c r="J79" s="167">
        <v>0</v>
      </c>
      <c r="K79" s="168">
        <f>ROUND(E79*J79,2)</f>
        <v>0</v>
      </c>
      <c r="L79" s="168">
        <v>21</v>
      </c>
      <c r="M79" s="168">
        <f>G79*(1+L79/100)</f>
        <v>0</v>
      </c>
      <c r="N79" s="168">
        <v>0</v>
      </c>
      <c r="O79" s="168">
        <f>ROUND(E79*N79,2)</f>
        <v>0</v>
      </c>
      <c r="P79" s="168">
        <v>0</v>
      </c>
      <c r="Q79" s="168">
        <f>ROUND(E79*P79,2)</f>
        <v>0</v>
      </c>
      <c r="R79" s="168"/>
      <c r="S79" s="168" t="s">
        <v>264</v>
      </c>
      <c r="T79" s="169" t="s">
        <v>103</v>
      </c>
      <c r="U79" s="155">
        <v>0</v>
      </c>
      <c r="V79" s="155">
        <f>ROUND(E79*U79,2)</f>
        <v>0</v>
      </c>
      <c r="W79" s="155"/>
      <c r="X79" s="155" t="s">
        <v>104</v>
      </c>
      <c r="Y79" s="146"/>
      <c r="Z79" s="146"/>
      <c r="AA79" s="146"/>
      <c r="AB79" s="146"/>
      <c r="AC79" s="146"/>
      <c r="AD79" s="146"/>
      <c r="AE79" s="146"/>
      <c r="AF79" s="146"/>
      <c r="AG79" s="146" t="s">
        <v>105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13.95" customHeight="1" outlineLevel="1" x14ac:dyDescent="0.25">
      <c r="A80" s="153"/>
      <c r="B80" s="154"/>
      <c r="C80" s="291" t="s">
        <v>165</v>
      </c>
      <c r="D80" s="292"/>
      <c r="E80" s="292"/>
      <c r="F80" s="292"/>
      <c r="G80" s="292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46"/>
      <c r="Z80" s="146"/>
      <c r="AA80" s="146"/>
      <c r="AB80" s="146"/>
      <c r="AC80" s="146"/>
      <c r="AD80" s="146"/>
      <c r="AE80" s="146"/>
      <c r="AF80" s="146"/>
      <c r="AG80" s="146" t="s">
        <v>107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71" t="str">
        <f>C80</f>
        <v>Náklady spojené s povinnou publicitou. Zahrnuje zejména náklady na propagační a informační billboardy, tabule, internetovou propagaci, tiskoviny apod.</v>
      </c>
      <c r="BB80" s="146"/>
      <c r="BC80" s="146"/>
      <c r="BD80" s="146"/>
      <c r="BE80" s="146"/>
      <c r="BF80" s="146"/>
      <c r="BG80" s="146"/>
      <c r="BH80" s="146"/>
    </row>
    <row r="81" spans="1:60" outlineLevel="1" x14ac:dyDescent="0.25">
      <c r="A81" s="153"/>
      <c r="B81" s="154"/>
      <c r="C81" s="287"/>
      <c r="D81" s="288"/>
      <c r="E81" s="288"/>
      <c r="F81" s="288"/>
      <c r="G81" s="288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46"/>
      <c r="Z81" s="146"/>
      <c r="AA81" s="146"/>
      <c r="AB81" s="146"/>
      <c r="AC81" s="146"/>
      <c r="AD81" s="146"/>
      <c r="AE81" s="146"/>
      <c r="AF81" s="146"/>
      <c r="AG81" s="146" t="s">
        <v>94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x14ac:dyDescent="0.25">
      <c r="A82" s="3"/>
      <c r="B82" s="4"/>
      <c r="C82" s="176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AE82">
        <v>15</v>
      </c>
      <c r="AF82">
        <v>21</v>
      </c>
      <c r="AG82" t="s">
        <v>78</v>
      </c>
    </row>
    <row r="83" spans="1:60" x14ac:dyDescent="0.25">
      <c r="A83" s="149"/>
      <c r="B83" s="150" t="s">
        <v>28</v>
      </c>
      <c r="C83" s="177"/>
      <c r="D83" s="151"/>
      <c r="E83" s="152"/>
      <c r="F83" s="152"/>
      <c r="G83" s="172">
        <f>G72+G61+G35+G28+G8+G57</f>
        <v>0</v>
      </c>
      <c r="H83" s="3"/>
      <c r="I83" s="3"/>
      <c r="J83" s="3"/>
      <c r="K83" s="3"/>
      <c r="L83" s="148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AE83">
        <f>SUMIF(L7:L81,AE82,G7:G81)</f>
        <v>0</v>
      </c>
      <c r="AF83">
        <f>SUMIF(L7:L81,AF82,G7:G81)</f>
        <v>0</v>
      </c>
      <c r="AG83" t="s">
        <v>154</v>
      </c>
    </row>
    <row r="84" spans="1:60" x14ac:dyDescent="0.25">
      <c r="C84" s="178"/>
      <c r="D84" s="10"/>
      <c r="AG84" t="s">
        <v>155</v>
      </c>
    </row>
    <row r="85" spans="1:60" x14ac:dyDescent="0.25">
      <c r="D85" s="10"/>
    </row>
    <row r="86" spans="1:60" x14ac:dyDescent="0.25">
      <c r="D86" s="10"/>
    </row>
    <row r="87" spans="1:60" x14ac:dyDescent="0.25">
      <c r="D87" s="10"/>
    </row>
    <row r="88" spans="1:60" x14ac:dyDescent="0.25">
      <c r="D88" s="10"/>
    </row>
    <row r="89" spans="1:60" x14ac:dyDescent="0.25">
      <c r="D89" s="10"/>
    </row>
    <row r="90" spans="1:60" x14ac:dyDescent="0.25">
      <c r="D90" s="10"/>
    </row>
    <row r="91" spans="1:60" x14ac:dyDescent="0.25">
      <c r="D91" s="10"/>
    </row>
    <row r="92" spans="1:60" x14ac:dyDescent="0.25">
      <c r="D92" s="10"/>
    </row>
    <row r="93" spans="1:60" x14ac:dyDescent="0.25">
      <c r="D93" s="10"/>
    </row>
    <row r="94" spans="1:60" x14ac:dyDescent="0.25">
      <c r="D94" s="10"/>
    </row>
    <row r="95" spans="1:60" x14ac:dyDescent="0.25">
      <c r="D95" s="10"/>
    </row>
    <row r="96" spans="1:60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</sheetData>
  <sheetProtection password="EA7D" sheet="1" objects="1" scenarios="1"/>
  <mergeCells count="37">
    <mergeCell ref="C60:G60"/>
    <mergeCell ref="C37:G37"/>
    <mergeCell ref="C45:G45"/>
    <mergeCell ref="C21:G21"/>
    <mergeCell ref="A1:G1"/>
    <mergeCell ref="C2:H2"/>
    <mergeCell ref="C3:G3"/>
    <mergeCell ref="C4:H4"/>
    <mergeCell ref="C10:G10"/>
    <mergeCell ref="C13:G13"/>
    <mergeCell ref="C16:G16"/>
    <mergeCell ref="C17:G17"/>
    <mergeCell ref="C19:G19"/>
    <mergeCell ref="C31:G31"/>
    <mergeCell ref="C27:G27"/>
    <mergeCell ref="C30:G30"/>
    <mergeCell ref="C24:G24"/>
    <mergeCell ref="C25:G25"/>
    <mergeCell ref="C48:G48"/>
    <mergeCell ref="C52:G52"/>
    <mergeCell ref="C54:G54"/>
    <mergeCell ref="C38:G38"/>
    <mergeCell ref="C40:G40"/>
    <mergeCell ref="C42:G42"/>
    <mergeCell ref="C43:G43"/>
    <mergeCell ref="C46:G46"/>
    <mergeCell ref="C81:G81"/>
    <mergeCell ref="C63:G63"/>
    <mergeCell ref="C65:G65"/>
    <mergeCell ref="C66:G66"/>
    <mergeCell ref="C68:G68"/>
    <mergeCell ref="C70:G70"/>
    <mergeCell ref="C74:G74"/>
    <mergeCell ref="C75:G75"/>
    <mergeCell ref="C77:G77"/>
    <mergeCell ref="C78:G78"/>
    <mergeCell ref="C80:G80"/>
  </mergeCells>
  <pageMargins left="0.59055118110236227" right="0.19685039370078741" top="0.59055118110236227" bottom="0.59055118110236227" header="0.31496062992125984" footer="0.31496062992125984"/>
  <pageSetup paperSize="9" scale="85" fitToHeight="0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D.1.2.1 Komunikace</vt:lpstr>
      <vt:lpstr>D.1.2.2 Odvodnění</vt:lpstr>
      <vt:lpstr>D.1.2.3 Veřejné osvětlení 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'D.1.2.1 Komunikace'!Názvy_tisku</vt:lpstr>
      <vt:lpstr>'D.1.2.2 Odvodnění'!Názvy_tisku</vt:lpstr>
      <vt:lpstr>'D.1.2.3 Veřejné osvětlení '!Názvy_tisku</vt:lpstr>
      <vt:lpstr>oadresa</vt:lpstr>
      <vt:lpstr>Stavba!Objednatel</vt:lpstr>
      <vt:lpstr>Stavba!Objekt</vt:lpstr>
      <vt:lpstr>'D.1.2.1 Komunikace'!Oblast_tisku</vt:lpstr>
      <vt:lpstr>'D.1.2.2 Odvodnění'!Oblast_tisku</vt:lpstr>
      <vt:lpstr>'D.1.2.3 Veřejné osvětlení 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</dc:creator>
  <cp:lastModifiedBy>Mgr. Darja Kosmáková | Advientender</cp:lastModifiedBy>
  <cp:lastPrinted>2023-06-09T15:48:12Z</cp:lastPrinted>
  <dcterms:created xsi:type="dcterms:W3CDTF">2009-04-08T07:15:50Z</dcterms:created>
  <dcterms:modified xsi:type="dcterms:W3CDTF">2023-06-14T11:08:01Z</dcterms:modified>
</cp:coreProperties>
</file>