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0240" windowHeight="17400" activeTab="2"/>
  </bookViews>
  <sheets>
    <sheet name="Krycí list rozpočtu" sheetId="1" r:id="rId1"/>
    <sheet name="VORN" sheetId="2" state="hidden" r:id="rId2"/>
    <sheet name="Stavební rozpočet" sheetId="3" r:id="rId3"/>
  </sheets>
  <definedNames>
    <definedName name="vorn_sum">'VORN'!$I$45</definedName>
  </definedNames>
  <calcPr fullCalcOnLoad="1"/>
</workbook>
</file>

<file path=xl/sharedStrings.xml><?xml version="1.0" encoding="utf-8"?>
<sst xmlns="http://schemas.openxmlformats.org/spreadsheetml/2006/main" count="5856" uniqueCount="1096">
  <si>
    <t>360</t>
  </si>
  <si>
    <t>92</t>
  </si>
  <si>
    <t>899731114R00</t>
  </si>
  <si>
    <t>439</t>
  </si>
  <si>
    <t>732214815R00</t>
  </si>
  <si>
    <t>165</t>
  </si>
  <si>
    <t>Doba výstavby:</t>
  </si>
  <si>
    <t>198</t>
  </si>
  <si>
    <t>297</t>
  </si>
  <si>
    <t>261</t>
  </si>
  <si>
    <t>412</t>
  </si>
  <si>
    <t>Štítky orientační na zeď</t>
  </si>
  <si>
    <t>323</t>
  </si>
  <si>
    <t>469</t>
  </si>
  <si>
    <t>Projektant</t>
  </si>
  <si>
    <t>67</t>
  </si>
  <si>
    <t>Oprava plastového potrubí, vsazení odbočky D 63 mm</t>
  </si>
  <si>
    <t>D.3.5_76_</t>
  </si>
  <si>
    <t>Ostatní rozpočtové náklady (VORN)</t>
  </si>
  <si>
    <t>Areálové teplovody</t>
  </si>
  <si>
    <t>209</t>
  </si>
  <si>
    <t>272</t>
  </si>
  <si>
    <t>226</t>
  </si>
  <si>
    <t>283</t>
  </si>
  <si>
    <t>Ventily uzavírací s el.servom. DN 40</t>
  </si>
  <si>
    <t>183</t>
  </si>
  <si>
    <t>D.3.1_0_</t>
  </si>
  <si>
    <t>379</t>
  </si>
  <si>
    <t>Napuštění vody do otopného systému</t>
  </si>
  <si>
    <t>Vedlejší a ostatní rozpočtové náklady VORN</t>
  </si>
  <si>
    <t>103</t>
  </si>
  <si>
    <t>Vyklizení a úprava plochy (jednotlivých pavilonů, výměníkové stanice, plochy pro areálový teplovod)</t>
  </si>
  <si>
    <t>Oprava - odvzdušnění soustavy</t>
  </si>
  <si>
    <t>424</t>
  </si>
  <si>
    <t>Montáž rozdělovačů a sběračů DN 80</t>
  </si>
  <si>
    <t>733170804R00</t>
  </si>
  <si>
    <t>D.1.1_71_</t>
  </si>
  <si>
    <t>166</t>
  </si>
  <si>
    <t>722235521R00</t>
  </si>
  <si>
    <t>Typové ocelové konstrukce - kotvení potrubí</t>
  </si>
  <si>
    <t>D.3.3_76_</t>
  </si>
  <si>
    <t>228</t>
  </si>
  <si>
    <t>361</t>
  </si>
  <si>
    <t>91</t>
  </si>
  <si>
    <t>87</t>
  </si>
  <si>
    <t>Základ 21%</t>
  </si>
  <si>
    <t>2860018171</t>
  </si>
  <si>
    <t>20</t>
  </si>
  <si>
    <t>03VRN</t>
  </si>
  <si>
    <t>722171917R00</t>
  </si>
  <si>
    <t>237</t>
  </si>
  <si>
    <t>Projektové práce - dokumentace skutečného provedení</t>
  </si>
  <si>
    <t>734293223R00</t>
  </si>
  <si>
    <t>NUS celkem z obj.</t>
  </si>
  <si>
    <t>336</t>
  </si>
  <si>
    <t>419</t>
  </si>
  <si>
    <t>167</t>
  </si>
  <si>
    <t>733190099VD</t>
  </si>
  <si>
    <t>199000005R00</t>
  </si>
  <si>
    <t>448</t>
  </si>
  <si>
    <t>338</t>
  </si>
  <si>
    <t>87_</t>
  </si>
  <si>
    <t>Lokální příprava TV - Dílna</t>
  </si>
  <si>
    <t>Fólie výstražná z PVC, šířka 30 cm</t>
  </si>
  <si>
    <t>171</t>
  </si>
  <si>
    <t>147</t>
  </si>
  <si>
    <t>Výměník tepla, voda/voda, 65kW teplovod/TV, např. RHB 31-30 + tepelná izolace + kotvení</t>
  </si>
  <si>
    <t>Název stavby:</t>
  </si>
  <si>
    <t>Ostatní materiál</t>
  </si>
  <si>
    <t>48</t>
  </si>
  <si>
    <t>29</t>
  </si>
  <si>
    <t>Potrubí z trub plastických, skleněných a čedičových</t>
  </si>
  <si>
    <t>Č</t>
  </si>
  <si>
    <t>733184105RT1</t>
  </si>
  <si>
    <t>89_</t>
  </si>
  <si>
    <t>D.3.3_ _</t>
  </si>
  <si>
    <t>Poznámka:</t>
  </si>
  <si>
    <t>Lokalita:</t>
  </si>
  <si>
    <t>79</t>
  </si>
  <si>
    <t>06VRN</t>
  </si>
  <si>
    <t>71</t>
  </si>
  <si>
    <t>16</t>
  </si>
  <si>
    <t>PSV</t>
  </si>
  <si>
    <t>357</t>
  </si>
  <si>
    <t>446</t>
  </si>
  <si>
    <t>189</t>
  </si>
  <si>
    <t>24</t>
  </si>
  <si>
    <t>377</t>
  </si>
  <si>
    <t>722181245RU1</t>
  </si>
  <si>
    <t>Bez pevné podl.</t>
  </si>
  <si>
    <t>D.3.4_76_</t>
  </si>
  <si>
    <t>327</t>
  </si>
  <si>
    <t>733_</t>
  </si>
  <si>
    <t>Celkem</t>
  </si>
  <si>
    <t>734200822R00</t>
  </si>
  <si>
    <t>Zařízení staveniště</t>
  </si>
  <si>
    <t>437</t>
  </si>
  <si>
    <t>722172316R00</t>
  </si>
  <si>
    <t>Uzavření/otevření soustavy při opravě</t>
  </si>
  <si>
    <t>11_</t>
  </si>
  <si>
    <t>391</t>
  </si>
  <si>
    <t>Oprava-navaření odbočky na potrubí</t>
  </si>
  <si>
    <t>413</t>
  </si>
  <si>
    <t>456</t>
  </si>
  <si>
    <t>734255135R00</t>
  </si>
  <si>
    <t>4</t>
  </si>
  <si>
    <t>97</t>
  </si>
  <si>
    <t>121</t>
  </si>
  <si>
    <t>94</t>
  </si>
  <si>
    <t>145</t>
  </si>
  <si>
    <t>60</t>
  </si>
  <si>
    <t>461</t>
  </si>
  <si>
    <t>Základní rozpočtové náklady</t>
  </si>
  <si>
    <t>352</t>
  </si>
  <si>
    <t>235</t>
  </si>
  <si>
    <t>26</t>
  </si>
  <si>
    <t>105</t>
  </si>
  <si>
    <t>732119190R00</t>
  </si>
  <si>
    <t>732199100R00</t>
  </si>
  <si>
    <t>722235113R00</t>
  </si>
  <si>
    <t>135</t>
  </si>
  <si>
    <t>D.2.2_</t>
  </si>
  <si>
    <t>332</t>
  </si>
  <si>
    <t>Montáž výměníku tepla</t>
  </si>
  <si>
    <t>174100010RAF</t>
  </si>
  <si>
    <t>Konstrukce ze zemin</t>
  </si>
  <si>
    <t>Obsyp potrubí bez prohození sypaniny s dodáním štěrkopísku frakce 0 - 8 mm</t>
  </si>
  <si>
    <t>722172312R00</t>
  </si>
  <si>
    <t>253</t>
  </si>
  <si>
    <t>Celkem bez DPH</t>
  </si>
  <si>
    <t>451</t>
  </si>
  <si>
    <t>122</t>
  </si>
  <si>
    <t>722170911R00</t>
  </si>
  <si>
    <t>D.3.5_72_</t>
  </si>
  <si>
    <t>Demontáž ohříváků zásobníkových stojat.do 1600 l</t>
  </si>
  <si>
    <t>Vedlejší a ostatní rozpočtové náklady</t>
  </si>
  <si>
    <t>268</t>
  </si>
  <si>
    <t>Potrubí hladké bezešvé v kotelnách D 57 x 2,9 mm</t>
  </si>
  <si>
    <t>291</t>
  </si>
  <si>
    <t>138</t>
  </si>
  <si>
    <t>Terénní modelace, úprava dotčeného korydoru po dokončení prací, ozelenění, dodání osiva</t>
  </si>
  <si>
    <t>734421160R00</t>
  </si>
  <si>
    <t>VS-ingline, s.r.o.</t>
  </si>
  <si>
    <t>172</t>
  </si>
  <si>
    <t>Chodník z dlažby zámkové, podklad štěrkodrť, vč. osazení parkových obrub</t>
  </si>
  <si>
    <t>Montáž předizolovaného potrubí DN 25 mm vnější průměr předizolovaného potrubí D 125 mm</t>
  </si>
  <si>
    <t>02VRN_</t>
  </si>
  <si>
    <t>438</t>
  </si>
  <si>
    <t>242</t>
  </si>
  <si>
    <t>223</t>
  </si>
  <si>
    <t>Předizolovaná uzavírací armatura DN80, komplet</t>
  </si>
  <si>
    <t>733121215R00</t>
  </si>
  <si>
    <t>6</t>
  </si>
  <si>
    <t>D.3.2_76_</t>
  </si>
  <si>
    <t>Rozpočtové náklady v Kč</t>
  </si>
  <si>
    <t>Rekonstrukce zdroje tepla a jeho distribuční sítě v areálu ZŠ U Červených domků</t>
  </si>
  <si>
    <t>722234233R00</t>
  </si>
  <si>
    <t>68</t>
  </si>
  <si>
    <t>307</t>
  </si>
  <si>
    <t>Odkopávky (stávajícího vedení) nezapažené v hornině 1-4, naložení, odvoz na skládku, uložení</t>
  </si>
  <si>
    <t>81</t>
  </si>
  <si>
    <t>426</t>
  </si>
  <si>
    <t>216</t>
  </si>
  <si>
    <t>408</t>
  </si>
  <si>
    <t>B</t>
  </si>
  <si>
    <t>119</t>
  </si>
  <si>
    <t>160</t>
  </si>
  <si>
    <t>Náklady na umístění stavby (NUS)</t>
  </si>
  <si>
    <t>343</t>
  </si>
  <si>
    <t>998732193R00</t>
  </si>
  <si>
    <t>42</t>
  </si>
  <si>
    <t>231</t>
  </si>
  <si>
    <t>734421150R00</t>
  </si>
  <si>
    <t>D.3.4_71_</t>
  </si>
  <si>
    <t>82</t>
  </si>
  <si>
    <t>Montáž</t>
  </si>
  <si>
    <t>899721112R00</t>
  </si>
  <si>
    <t>733193928R00</t>
  </si>
  <si>
    <t>734_</t>
  </si>
  <si>
    <t>229</t>
  </si>
  <si>
    <t>Datum, razítko a podpis</t>
  </si>
  <si>
    <t>735191910R00</t>
  </si>
  <si>
    <t>ZRN celkem</t>
  </si>
  <si>
    <t>D.3.2_73_</t>
  </si>
  <si>
    <t>D.3.2_71_</t>
  </si>
  <si>
    <t>17_</t>
  </si>
  <si>
    <t>Všeobecné práce</t>
  </si>
  <si>
    <t>382</t>
  </si>
  <si>
    <t>Demontáž potrubí z plastových trubek do D 50 mm</t>
  </si>
  <si>
    <t>431</t>
  </si>
  <si>
    <t>734121613R00</t>
  </si>
  <si>
    <t>69</t>
  </si>
  <si>
    <t>304</t>
  </si>
  <si>
    <t>D.3.4_0_</t>
  </si>
  <si>
    <t>141</t>
  </si>
  <si>
    <t>440</t>
  </si>
  <si>
    <t>734223832R00</t>
  </si>
  <si>
    <t>33</t>
  </si>
  <si>
    <t>D.3.3_72_</t>
  </si>
  <si>
    <t>270</t>
  </si>
  <si>
    <t>D.3.6_0_</t>
  </si>
  <si>
    <t>258</t>
  </si>
  <si>
    <t>263</t>
  </si>
  <si>
    <t>734213111R00</t>
  </si>
  <si>
    <t>331</t>
  </si>
  <si>
    <t>349</t>
  </si>
  <si>
    <t>78</t>
  </si>
  <si>
    <t>734233113R00</t>
  </si>
  <si>
    <t>Krycí list slepého rozpočtu</t>
  </si>
  <si>
    <t>120</t>
  </si>
  <si>
    <t>63</t>
  </si>
  <si>
    <t>230</t>
  </si>
  <si>
    <t>375</t>
  </si>
  <si>
    <t>03VRN_</t>
  </si>
  <si>
    <t>09VRN</t>
  </si>
  <si>
    <t>322</t>
  </si>
  <si>
    <t>154</t>
  </si>
  <si>
    <t>D.3.5_73_</t>
  </si>
  <si>
    <t>D.1.1_76_</t>
  </si>
  <si>
    <t>192</t>
  </si>
  <si>
    <t>422</t>
  </si>
  <si>
    <t>722170804R00</t>
  </si>
  <si>
    <t>137</t>
  </si>
  <si>
    <t>324</t>
  </si>
  <si>
    <t>178</t>
  </si>
  <si>
    <t>Základna</t>
  </si>
  <si>
    <t>25</t>
  </si>
  <si>
    <t>195</t>
  </si>
  <si>
    <t>kus</t>
  </si>
  <si>
    <t>Odkopávky a prokopávky</t>
  </si>
  <si>
    <t>D.3.1_73_</t>
  </si>
  <si>
    <t>Dodávky</t>
  </si>
  <si>
    <t>219</t>
  </si>
  <si>
    <t>Ventil pojistný, pružinový, DN 25</t>
  </si>
  <si>
    <t>Ostatní mat.</t>
  </si>
  <si>
    <t>292</t>
  </si>
  <si>
    <t>Ostatní náklady</t>
  </si>
  <si>
    <t>733192912R00</t>
  </si>
  <si>
    <t>130</t>
  </si>
  <si>
    <t>044002VRN</t>
  </si>
  <si>
    <t>Oprava plastového potrubí, vsazení odbočky do D 32 mm</t>
  </si>
  <si>
    <t>281</t>
  </si>
  <si>
    <t>722235522R00</t>
  </si>
  <si>
    <t>Ventil dvoucestný DN25 se servopohonem</t>
  </si>
  <si>
    <t>310</t>
  </si>
  <si>
    <t>133</t>
  </si>
  <si>
    <t>254</t>
  </si>
  <si>
    <t>175</t>
  </si>
  <si>
    <t>170</t>
  </si>
  <si>
    <t>HSV prac</t>
  </si>
  <si>
    <t>767_</t>
  </si>
  <si>
    <t>139</t>
  </si>
  <si>
    <t>129</t>
  </si>
  <si>
    <t>023002VRN</t>
  </si>
  <si>
    <t>151</t>
  </si>
  <si>
    <t>Výměníková stanice - montáž</t>
  </si>
  <si>
    <t>Demontáž nádrže expanzní</t>
  </si>
  <si>
    <t>D.3.4_</t>
  </si>
  <si>
    <t>722264324R00</t>
  </si>
  <si>
    <t>734413142R00</t>
  </si>
  <si>
    <t>001VSVD</t>
  </si>
  <si>
    <t>13</t>
  </si>
  <si>
    <t>722181245RT8</t>
  </si>
  <si>
    <t>Lože pod potrubí z kameniva těženého 0 - 4 mm</t>
  </si>
  <si>
    <t>722170914R00</t>
  </si>
  <si>
    <t>358</t>
  </si>
  <si>
    <t>734244423R00</t>
  </si>
  <si>
    <t>289</t>
  </si>
  <si>
    <t>D.3.6_</t>
  </si>
  <si>
    <t>Výměníková stanice - demontáže</t>
  </si>
  <si>
    <t>392</t>
  </si>
  <si>
    <t>325</t>
  </si>
  <si>
    <t>232</t>
  </si>
  <si>
    <t>"M"</t>
  </si>
  <si>
    <t>Konstrukce doplňkové stavební (zámečnické)</t>
  </si>
  <si>
    <t>Rozřezání podpěrných konstrukcí ohříváků TUV</t>
  </si>
  <si>
    <t>VORN celkem z obj.</t>
  </si>
  <si>
    <t>Ochrana již dokončených povrchů při demontáži (karton, obaly, papír, igelit...)</t>
  </si>
  <si>
    <t>631547319</t>
  </si>
  <si>
    <t>330</t>
  </si>
  <si>
    <t>140</t>
  </si>
  <si>
    <t>180</t>
  </si>
  <si>
    <t>Cena/MJ</t>
  </si>
  <si>
    <t>Konec výstavby:</t>
  </si>
  <si>
    <t>409</t>
  </si>
  <si>
    <t>Ventil vodovodní pojistný pružinový P10-237-616, G 1/2"</t>
  </si>
  <si>
    <t>D.3.2_0_</t>
  </si>
  <si>
    <t>Montáž tepelné izolace - trubice</t>
  </si>
  <si>
    <t>092002VRN</t>
  </si>
  <si>
    <t>127</t>
  </si>
  <si>
    <t>732111125R00</t>
  </si>
  <si>
    <t>899102111RT2</t>
  </si>
  <si>
    <t>734114115R00</t>
  </si>
  <si>
    <t>422114331</t>
  </si>
  <si>
    <t>Kód</t>
  </si>
  <si>
    <t>04VRN</t>
  </si>
  <si>
    <t>631547317</t>
  </si>
  <si>
    <t>43</t>
  </si>
  <si>
    <t>200</t>
  </si>
  <si>
    <t>450</t>
  </si>
  <si>
    <t>286134112</t>
  </si>
  <si>
    <t>734233114R00</t>
  </si>
  <si>
    <t>D.2.2_ _</t>
  </si>
  <si>
    <t>02VRN</t>
  </si>
  <si>
    <t>276</t>
  </si>
  <si>
    <t>436</t>
  </si>
  <si>
    <t>389</t>
  </si>
  <si>
    <t>Potrubí hladké bezešvé v kotelnách D 38 x 2,6 mm</t>
  </si>
  <si>
    <t>221</t>
  </si>
  <si>
    <t>Demontáž armatur se 2závity do G 2</t>
  </si>
  <si>
    <t>435</t>
  </si>
  <si>
    <t>soubor</t>
  </si>
  <si>
    <t>386</t>
  </si>
  <si>
    <t>MJ</t>
  </si>
  <si>
    <t>45</t>
  </si>
  <si>
    <t>40</t>
  </si>
  <si>
    <t>D.1.2_</t>
  </si>
  <si>
    <t>319</t>
  </si>
  <si>
    <t>Zásobníkový ohřívač kombinovaný, 150 l, 2,2 kW, přímotopný</t>
  </si>
  <si>
    <t>374</t>
  </si>
  <si>
    <t>Doplňkové náklady</t>
  </si>
  <si>
    <t>734293312R00</t>
  </si>
  <si>
    <t>Odstranění bet.povrchu, kryt tl. 8 cm, pl.do 50 m2 včetně naložení a odvozu na skládku</t>
  </si>
  <si>
    <t>224</t>
  </si>
  <si>
    <t>356</t>
  </si>
  <si>
    <t>Montáž orientačního štítku</t>
  </si>
  <si>
    <t>Zabezpečovací práce - proti vniknutí, či zranění nepovolaných osob na staveništi</t>
  </si>
  <si>
    <t>132</t>
  </si>
  <si>
    <t>D.3.3</t>
  </si>
  <si>
    <t>733120826R00</t>
  </si>
  <si>
    <t>Filtr vodovodní, proplachovací DN25</t>
  </si>
  <si>
    <t>220</t>
  </si>
  <si>
    <t>PSV prac</t>
  </si>
  <si>
    <t>HSV</t>
  </si>
  <si>
    <t>D.3.2</t>
  </si>
  <si>
    <t>Vedlejší rozpočtové náklady VRN</t>
  </si>
  <si>
    <t>396</t>
  </si>
  <si>
    <t>9</t>
  </si>
  <si>
    <t>328</t>
  </si>
  <si>
    <t>342</t>
  </si>
  <si>
    <t>320</t>
  </si>
  <si>
    <t>734109314R00</t>
  </si>
  <si>
    <t>143</t>
  </si>
  <si>
    <t>104</t>
  </si>
  <si>
    <t>734413146R00</t>
  </si>
  <si>
    <t>733184102RT3</t>
  </si>
  <si>
    <t>393</t>
  </si>
  <si>
    <t>15</t>
  </si>
  <si>
    <t>2860018151</t>
  </si>
  <si>
    <t>95</t>
  </si>
  <si>
    <t>378</t>
  </si>
  <si>
    <t>ISWORK</t>
  </si>
  <si>
    <t>Úprava pro prostup potrubí</t>
  </si>
  <si>
    <t>Příplatek za špatně dostupné území - trasa v kanále pod pavilonem 1</t>
  </si>
  <si>
    <t>Celkem včetně DPH</t>
  </si>
  <si>
    <t>Celkem NUS</t>
  </si>
  <si>
    <t>142</t>
  </si>
  <si>
    <t>Základ 0%</t>
  </si>
  <si>
    <t>252</t>
  </si>
  <si>
    <t>156</t>
  </si>
  <si>
    <t>418</t>
  </si>
  <si>
    <t>D.2.2_1_</t>
  </si>
  <si>
    <t>Kohouty plnící a vypouštěcí G 1/2</t>
  </si>
  <si>
    <t>199</t>
  </si>
  <si>
    <t>150</t>
  </si>
  <si>
    <t>734191712R00</t>
  </si>
  <si>
    <t>260</t>
  </si>
  <si>
    <t>52</t>
  </si>
  <si>
    <t>118</t>
  </si>
  <si>
    <t>271</t>
  </si>
  <si>
    <t>735191905R00</t>
  </si>
  <si>
    <t>51</t>
  </si>
  <si>
    <t>Příplatek zvětšený přesun, strojovny do 500 m</t>
  </si>
  <si>
    <t>898011911RA0</t>
  </si>
  <si>
    <t>227</t>
  </si>
  <si>
    <t>269</t>
  </si>
  <si>
    <t>401</t>
  </si>
  <si>
    <t>Mont prac</t>
  </si>
  <si>
    <t>722220864R00</t>
  </si>
  <si>
    <t>475</t>
  </si>
  <si>
    <t>44</t>
  </si>
  <si>
    <t>722181242RU1</t>
  </si>
  <si>
    <t>422112871</t>
  </si>
  <si>
    <t>D.3.1_71_</t>
  </si>
  <si>
    <t>359</t>
  </si>
  <si>
    <t>23</t>
  </si>
  <si>
    <t>732213814R00</t>
  </si>
  <si>
    <t>Vypuštění vody z ohříváků o obsahu do 1600 l</t>
  </si>
  <si>
    <t>725_</t>
  </si>
  <si>
    <t>262</t>
  </si>
  <si>
    <t>767</t>
  </si>
  <si>
    <t>128</t>
  </si>
  <si>
    <t>59</t>
  </si>
  <si>
    <t>250</t>
  </si>
  <si>
    <t>282</t>
  </si>
  <si>
    <t>109</t>
  </si>
  <si>
    <t>t</t>
  </si>
  <si>
    <t>429</t>
  </si>
  <si>
    <t>355</t>
  </si>
  <si>
    <t>732_</t>
  </si>
  <si>
    <t>117</t>
  </si>
  <si>
    <t>Ventil vyvažovací, přírubový DN40</t>
  </si>
  <si>
    <t> </t>
  </si>
  <si>
    <t>D.0_ _</t>
  </si>
  <si>
    <t>53</t>
  </si>
  <si>
    <t>246</t>
  </si>
  <si>
    <t>Demontáž potrubí z hladkých trubek do D 133</t>
  </si>
  <si>
    <t>295</t>
  </si>
  <si>
    <t>99</t>
  </si>
  <si>
    <t>161</t>
  </si>
  <si>
    <t>Průzkumy, geodetické a projektové práce</t>
  </si>
  <si>
    <t>476</t>
  </si>
  <si>
    <t>107</t>
  </si>
  <si>
    <t>012002VRN</t>
  </si>
  <si>
    <t>722181242RY3</t>
  </si>
  <si>
    <t>243</t>
  </si>
  <si>
    <t>039002VRN</t>
  </si>
  <si>
    <t>405</t>
  </si>
  <si>
    <t>01VRN_</t>
  </si>
  <si>
    <t>125</t>
  </si>
  <si>
    <t>JKSO:</t>
  </si>
  <si>
    <t>399</t>
  </si>
  <si>
    <t>466</t>
  </si>
  <si>
    <t>85</t>
  </si>
  <si>
    <t>64</t>
  </si>
  <si>
    <t>113201012RAC</t>
  </si>
  <si>
    <t>18_</t>
  </si>
  <si>
    <t>Oprava-zaslepení potrubí dýnkem D 108 mm</t>
  </si>
  <si>
    <t>255</t>
  </si>
  <si>
    <t>Montáž nádoby expanzní</t>
  </si>
  <si>
    <t>48466596</t>
  </si>
  <si>
    <t>713400821R00</t>
  </si>
  <si>
    <t>197</t>
  </si>
  <si>
    <t>Odstranění případného zařízení staveniště, uvedení všech prostorů do původního stavu, úklid</t>
  </si>
  <si>
    <t>329</t>
  </si>
  <si>
    <t>D.0</t>
  </si>
  <si>
    <t>12_</t>
  </si>
  <si>
    <t>767996804R00</t>
  </si>
  <si>
    <t>77</t>
  </si>
  <si>
    <t>233</t>
  </si>
  <si>
    <t>Ventil přepouštěcí DN 15</t>
  </si>
  <si>
    <t>Montáž předizolovaného potrubí DN 25 mm, vnější průměr předizolovaného potrubí D 90 mm</t>
  </si>
  <si>
    <t>DN celkem</t>
  </si>
  <si>
    <t>444</t>
  </si>
  <si>
    <t>421</t>
  </si>
  <si>
    <t>286</t>
  </si>
  <si>
    <t>732421313R00</t>
  </si>
  <si>
    <t>116</t>
  </si>
  <si>
    <t>GROUPCODE</t>
  </si>
  <si>
    <t>146</t>
  </si>
  <si>
    <t>Provedení opravy ocelového potrubí/přeřezání ocelové trubky do DN 100 mm</t>
  </si>
  <si>
    <t>0</t>
  </si>
  <si>
    <t>182</t>
  </si>
  <si>
    <t>732212815R00</t>
  </si>
  <si>
    <t>Provozní vlivy</t>
  </si>
  <si>
    <t>5</t>
  </si>
  <si>
    <t>000VN722002VD</t>
  </si>
  <si>
    <t>203</t>
  </si>
  <si>
    <t>394</t>
  </si>
  <si>
    <t>248</t>
  </si>
  <si>
    <t>D.1.1_</t>
  </si>
  <si>
    <t>001722001VD</t>
  </si>
  <si>
    <t>06VRN_</t>
  </si>
  <si>
    <t>144</t>
  </si>
  <si>
    <t>733120832R00</t>
  </si>
  <si>
    <t>416</t>
  </si>
  <si>
    <t>264</t>
  </si>
  <si>
    <t>Druh stavby:</t>
  </si>
  <si>
    <t>Přípravné a přidružené práce</t>
  </si>
  <si>
    <t>722130919R00</t>
  </si>
  <si>
    <t>D.3.6_73_</t>
  </si>
  <si>
    <t>734233143R00</t>
  </si>
  <si>
    <t>722100010RAA</t>
  </si>
  <si>
    <t>hodina</t>
  </si>
  <si>
    <t>722235112R00</t>
  </si>
  <si>
    <t>162</t>
  </si>
  <si>
    <t>998732101R00</t>
  </si>
  <si>
    <t>D.3.2_72_</t>
  </si>
  <si>
    <t>238</t>
  </si>
  <si>
    <t>Teploměr</t>
  </si>
  <si>
    <t>96</t>
  </si>
  <si>
    <t>316</t>
  </si>
  <si>
    <t>Montáž přírub.armatur se 2 přírub. (výměna ventilu vč. osazení servopohonu)</t>
  </si>
  <si>
    <t>Vypuštění vody ze systému</t>
  </si>
  <si>
    <t>333</t>
  </si>
  <si>
    <t>Ventily vypouštěcí DN 20</t>
  </si>
  <si>
    <t>Zpracováno dne:</t>
  </si>
  <si>
    <t>462</t>
  </si>
  <si>
    <t>302</t>
  </si>
  <si>
    <t>299</t>
  </si>
  <si>
    <t>Demontáž armatur se 2závity do G 1</t>
  </si>
  <si>
    <t>732229631R01</t>
  </si>
  <si>
    <t>Ventily zpětné přírubové DN 40</t>
  </si>
  <si>
    <t>455</t>
  </si>
  <si>
    <t>Výroba a montáž kov. atypických konstr. do 100 kg</t>
  </si>
  <si>
    <t>202</t>
  </si>
  <si>
    <t>420</t>
  </si>
  <si>
    <t>D.3.2_</t>
  </si>
  <si>
    <t>194</t>
  </si>
  <si>
    <t>353</t>
  </si>
  <si>
    <t>722221113R00</t>
  </si>
  <si>
    <t>734291113R00</t>
  </si>
  <si>
    <t>734233120R00</t>
  </si>
  <si>
    <t>D.3.6_71_</t>
  </si>
  <si>
    <t>Demontáž tepelné izolace z předizolovaného potrubí</t>
  </si>
  <si>
    <t>10</t>
  </si>
  <si>
    <t>212</t>
  </si>
  <si>
    <t>149</t>
  </si>
  <si>
    <t>D.1.2</t>
  </si>
  <si>
    <t>Montáž ohřívače</t>
  </si>
  <si>
    <t>58</t>
  </si>
  <si>
    <t>380320070RAA</t>
  </si>
  <si>
    <t>Trubka předizolovaná plastová SDR 11, de 32 mm, Dmax 125 mm (vč. kolena, redukce, odbočky)</t>
  </si>
  <si>
    <t>454</t>
  </si>
  <si>
    <t>284</t>
  </si>
  <si>
    <t>36</t>
  </si>
  <si>
    <t>D.3.4_ _</t>
  </si>
  <si>
    <t>Montáž předizolovaného potrubí DN 65 mm vnější průměr předizolovaného potrubí D 140 mm</t>
  </si>
  <si>
    <t>427</t>
  </si>
  <si>
    <t>Lokální příprava TV - Tělocvična</t>
  </si>
  <si>
    <t>5512964577</t>
  </si>
  <si>
    <t>14</t>
  </si>
  <si>
    <t>732199100RM1</t>
  </si>
  <si>
    <t>VORN - Vedlejší a ostatní rozpočtové náklady</t>
  </si>
  <si>
    <t>31</t>
  </si>
  <si>
    <t>D.3.6_76_</t>
  </si>
  <si>
    <t>722190901R00</t>
  </si>
  <si>
    <t>Zařizovací předměty</t>
  </si>
  <si>
    <t>423</t>
  </si>
  <si>
    <t>84</t>
  </si>
  <si>
    <t>38_</t>
  </si>
  <si>
    <t>181050010RA0</t>
  </si>
  <si>
    <t>305</t>
  </si>
  <si>
    <t>Množství</t>
  </si>
  <si>
    <t>Odvoz a likvidace demontovaných materiálů, kontejner 7t (vč. přesunu v rámci stavby)</t>
  </si>
  <si>
    <t>442</t>
  </si>
  <si>
    <t>Montáž potrubí z měděných trubek vytápění D 15 mm</t>
  </si>
  <si>
    <t>38</t>
  </si>
  <si>
    <t>Všeobecné konstrukce a práce</t>
  </si>
  <si>
    <t>430</t>
  </si>
  <si>
    <t>VORN celkem</t>
  </si>
  <si>
    <t>369</t>
  </si>
  <si>
    <t>D.3.3_</t>
  </si>
  <si>
    <t>174</t>
  </si>
  <si>
    <t>734293111R00</t>
  </si>
  <si>
    <t>722235143R00</t>
  </si>
  <si>
    <t>Kabelová chránička z PVC DN 110 mm vč. obsypu (propojení mezi pavilony - rezerva)</t>
  </si>
  <si>
    <t>Vnitřní vodovod</t>
  </si>
  <si>
    <t>Typ skupiny</t>
  </si>
  <si>
    <t>Odstranění izolace z potrubí</t>
  </si>
  <si>
    <t>73</t>
  </si>
  <si>
    <t>D.2.2_73_</t>
  </si>
  <si>
    <t>410</t>
  </si>
  <si>
    <t>256</t>
  </si>
  <si>
    <t>Potrubí hladké bezešvé v kotelnách D 44,5 x 2,6 mm</t>
  </si>
  <si>
    <t>734111835R00</t>
  </si>
  <si>
    <t>Rozřezání konzol pro potrubí z úhel.L 50x50x5 mm</t>
  </si>
  <si>
    <t>D.3.5</t>
  </si>
  <si>
    <t>363</t>
  </si>
  <si>
    <t>188</t>
  </si>
  <si>
    <t>4843470221</t>
  </si>
  <si>
    <t>56</t>
  </si>
  <si>
    <t>722_</t>
  </si>
  <si>
    <t>19</t>
  </si>
  <si>
    <t>D.3.6</t>
  </si>
  <si>
    <t>734233111R00</t>
  </si>
  <si>
    <t>C</t>
  </si>
  <si>
    <t>Náklady (Kč)</t>
  </si>
  <si>
    <t>110</t>
  </si>
  <si>
    <t>D.3.5_</t>
  </si>
  <si>
    <t>39</t>
  </si>
  <si>
    <t>30</t>
  </si>
  <si>
    <t>241</t>
  </si>
  <si>
    <t>Ostatní konstrukce a práce na trubním vedení</t>
  </si>
  <si>
    <t>IČO/DIČ:</t>
  </si>
  <si>
    <t>Demontáž potrubí z hladkých trubek do D 89</t>
  </si>
  <si>
    <t>7241001VD</t>
  </si>
  <si>
    <t>480</t>
  </si>
  <si>
    <t>hod</t>
  </si>
  <si>
    <t>Ostatní</t>
  </si>
  <si>
    <t>364</t>
  </si>
  <si>
    <t>433</t>
  </si>
  <si>
    <t>734200824R00</t>
  </si>
  <si>
    <t>Dočasné zajištění kabelů ve výkopu, ztížená vykopávka, ruční výkop</t>
  </si>
  <si>
    <t>86</t>
  </si>
  <si>
    <t>278</t>
  </si>
  <si>
    <t>222</t>
  </si>
  <si>
    <t>631547011</t>
  </si>
  <si>
    <t>ZŠ U Červených domků - rekonstrukce teplovodů</t>
  </si>
  <si>
    <t>Armatury</t>
  </si>
  <si>
    <t>55</t>
  </si>
  <si>
    <t>D.3.1</t>
  </si>
  <si>
    <t>402</t>
  </si>
  <si>
    <t>370</t>
  </si>
  <si>
    <t>Zpracoval:</t>
  </si>
  <si>
    <t>732</t>
  </si>
  <si>
    <t>372</t>
  </si>
  <si>
    <t>76</t>
  </si>
  <si>
    <t>290</t>
  </si>
  <si>
    <t>732292810R00</t>
  </si>
  <si>
    <t>453</t>
  </si>
  <si>
    <t>733184106RT1</t>
  </si>
  <si>
    <t>346</t>
  </si>
  <si>
    <t>Soubor</t>
  </si>
  <si>
    <t>D.1.1_0_</t>
  </si>
  <si>
    <t>315</t>
  </si>
  <si>
    <t>043002VRN</t>
  </si>
  <si>
    <t>Různé kompletní konstrukce nedělitelné do stav. dílů</t>
  </si>
  <si>
    <t>Výměník tepla, voda/voda, 75kW teplovod/TV, např. RHB 31-30 + tepelná izolace + kotvení</t>
  </si>
  <si>
    <t>207</t>
  </si>
  <si>
    <t>28655379</t>
  </si>
  <si>
    <t>Zhotovitel</t>
  </si>
  <si>
    <t>380</t>
  </si>
  <si>
    <t>Vytrhání obrubníků chodníkových a parkových s přemístěním hmot do 3 m nebo s naložením</t>
  </si>
  <si>
    <t>286001781</t>
  </si>
  <si>
    <t>190</t>
  </si>
  <si>
    <t>Stavební/zednická přípomoc nad rámec obsažený v položkách (zapravení prostupů, povrchů,...)</t>
  </si>
  <si>
    <t>063002VRN</t>
  </si>
  <si>
    <t>001001VD</t>
  </si>
  <si>
    <t>2</t>
  </si>
  <si>
    <t>Projektant:</t>
  </si>
  <si>
    <t>Ing. Miloš Červený</t>
  </si>
  <si>
    <t>Oprava-přepojení stávající větve</t>
  </si>
  <si>
    <t>734413144R00</t>
  </si>
  <si>
    <t>000732001VD</t>
  </si>
  <si>
    <t>734100812R00</t>
  </si>
  <si>
    <t/>
  </si>
  <si>
    <t>D.3.1_72_</t>
  </si>
  <si>
    <t>309</t>
  </si>
  <si>
    <t>152</t>
  </si>
  <si>
    <t>17</t>
  </si>
  <si>
    <t>013002VRN</t>
  </si>
  <si>
    <t>471</t>
  </si>
  <si>
    <t>406</t>
  </si>
  <si>
    <t>Demontáž armatur se dvěma přírubami do DN 100</t>
  </si>
  <si>
    <t>98</t>
  </si>
  <si>
    <t>112</t>
  </si>
  <si>
    <t>021002VRN</t>
  </si>
  <si>
    <t>21</t>
  </si>
  <si>
    <t>Ventil dvoucestný, přírubový, DN50, Kvs=31,5, pohon (např. VVF63.50-31,5)</t>
  </si>
  <si>
    <t>D.3.4_72_</t>
  </si>
  <si>
    <t>445</t>
  </si>
  <si>
    <t>09VRN_</t>
  </si>
  <si>
    <t>351</t>
  </si>
  <si>
    <t>362</t>
  </si>
  <si>
    <t>Práce přesčas</t>
  </si>
  <si>
    <t>Montáž trubek polyetylenových ve výkopu d 32 mm</t>
  </si>
  <si>
    <t>61</t>
  </si>
  <si>
    <t>345</t>
  </si>
  <si>
    <t>313</t>
  </si>
  <si>
    <t>368</t>
  </si>
  <si>
    <t>126</t>
  </si>
  <si>
    <t>124</t>
  </si>
  <si>
    <t>Revize - komplet</t>
  </si>
  <si>
    <t>931981015R00</t>
  </si>
  <si>
    <t>D.1.2_0_</t>
  </si>
  <si>
    <t>722172313R00</t>
  </si>
  <si>
    <t>158</t>
  </si>
  <si>
    <t>459</t>
  </si>
  <si>
    <t>12</t>
  </si>
  <si>
    <t>01VRN</t>
  </si>
  <si>
    <t>234</t>
  </si>
  <si>
    <t>Kulturní památka</t>
  </si>
  <si>
    <t>722181244RT7</t>
  </si>
  <si>
    <t>Objekt</t>
  </si>
  <si>
    <t>168</t>
  </si>
  <si>
    <t>Demontáž těles rozdělovačů a sběračů, do DN 100 mm</t>
  </si>
  <si>
    <t>306</t>
  </si>
  <si>
    <t>463</t>
  </si>
  <si>
    <t>DPH 21%</t>
  </si>
  <si>
    <t>298</t>
  </si>
  <si>
    <t>D.2.2_3_</t>
  </si>
  <si>
    <t>184</t>
  </si>
  <si>
    <t>249</t>
  </si>
  <si>
    <t>458</t>
  </si>
  <si>
    <t>134</t>
  </si>
  <si>
    <t>211</t>
  </si>
  <si>
    <t>113107100RAB</t>
  </si>
  <si>
    <t>196</t>
  </si>
  <si>
    <t>722235111R00</t>
  </si>
  <si>
    <t>318</t>
  </si>
  <si>
    <t>D.1.2_76_</t>
  </si>
  <si>
    <t>722231192R00</t>
  </si>
  <si>
    <t>371</t>
  </si>
  <si>
    <t>367</t>
  </si>
  <si>
    <t>Těsnění trubních prostupů spodní stavbou (vč. navázání na svislou hydroizolaci)</t>
  </si>
  <si>
    <t>187</t>
  </si>
  <si>
    <t>Celkem VORN</t>
  </si>
  <si>
    <t>Ventil regulační, přírubový, 2 cestný, Kvs 1,6 (např. VVF53.15-1,6)</t>
  </si>
  <si>
    <t>733164105RT5</t>
  </si>
  <si>
    <t>317</t>
  </si>
  <si>
    <t>191</t>
  </si>
  <si>
    <t>D.3.1_76_</t>
  </si>
  <si>
    <t>404</t>
  </si>
  <si>
    <t>28.12.2023</t>
  </si>
  <si>
    <t>49</t>
  </si>
  <si>
    <t>72</t>
  </si>
  <si>
    <t>Kompletní kce ŽB z betonu C 25/30 vodostavebního, bednění a odbednění, výztuž do 90 kg/m3</t>
  </si>
  <si>
    <t>713_</t>
  </si>
  <si>
    <t>275</t>
  </si>
  <si>
    <t>733184102RT1</t>
  </si>
  <si>
    <t>Osazení poklopu s rámem do 100 kg, včetně dodávky poklopu lit. s rámem 600 x 600</t>
  </si>
  <si>
    <t>722235652R00</t>
  </si>
  <si>
    <t>732110811R00</t>
  </si>
  <si>
    <t>Přesuny</t>
  </si>
  <si>
    <t>MAT</t>
  </si>
  <si>
    <t>D.0_</t>
  </si>
  <si>
    <t>D.3.2_ _</t>
  </si>
  <si>
    <t>267</t>
  </si>
  <si>
    <t>70</t>
  </si>
  <si>
    <t>D.3.4</t>
  </si>
  <si>
    <t>277</t>
  </si>
  <si>
    <t>8</t>
  </si>
  <si>
    <t>Mimostav. doprava</t>
  </si>
  <si>
    <t>734213112R00</t>
  </si>
  <si>
    <t>266</t>
  </si>
  <si>
    <t>Tlakoměr</t>
  </si>
  <si>
    <t>Potrubí plastové PP-R Instaplast, včetně zednických výpomocí, D 32 x 4,4 mm, PN 16</t>
  </si>
  <si>
    <t>18</t>
  </si>
  <si>
    <t>DN celkem z obj.</t>
  </si>
  <si>
    <t>734194126R00</t>
  </si>
  <si>
    <t>Vypuštění vody z výměníku</t>
  </si>
  <si>
    <t>46</t>
  </si>
  <si>
    <t>Odříznutí plastové trubky D 63 mm</t>
  </si>
  <si>
    <t>713</t>
  </si>
  <si>
    <t>181</t>
  </si>
  <si>
    <t>484</t>
  </si>
  <si>
    <t>434</t>
  </si>
  <si>
    <t>214</t>
  </si>
  <si>
    <t>385</t>
  </si>
  <si>
    <t>176</t>
  </si>
  <si>
    <t>Přesun hmot pro strojovny, výšky do 6 m</t>
  </si>
  <si>
    <t>722172311R00</t>
  </si>
  <si>
    <t>100</t>
  </si>
  <si>
    <t>108</t>
  </si>
  <si>
    <t>722231191R00</t>
  </si>
  <si>
    <t>50</t>
  </si>
  <si>
    <t>397</t>
  </si>
  <si>
    <t>340</t>
  </si>
  <si>
    <t>Zkoušky - tlakové, provozní, topné, proplach, kontrola svarů,...</t>
  </si>
  <si>
    <t>314</t>
  </si>
  <si>
    <t>m</t>
  </si>
  <si>
    <t>373</t>
  </si>
  <si>
    <t>Inženýrské činnosti</t>
  </si>
  <si>
    <t>217</t>
  </si>
  <si>
    <t>225</t>
  </si>
  <si>
    <t>732339102R00</t>
  </si>
  <si>
    <t>04VRN_</t>
  </si>
  <si>
    <t>11</t>
  </si>
  <si>
    <t>398</t>
  </si>
  <si>
    <t>240</t>
  </si>
  <si>
    <t>Základ 12%</t>
  </si>
  <si>
    <t>32</t>
  </si>
  <si>
    <t>Trubka předizolovaná min 115°C PN 16, de 90 mm, Dmax 162 mm (vč. kolena, redukce, odbočky)</t>
  </si>
  <si>
    <t>Rozvod potrubí</t>
  </si>
  <si>
    <t>000002VD</t>
  </si>
  <si>
    <t>Objednatel:</t>
  </si>
  <si>
    <t>204</t>
  </si>
  <si>
    <t>390</t>
  </si>
  <si>
    <t>730099VD</t>
  </si>
  <si>
    <t>473</t>
  </si>
  <si>
    <t>734</t>
  </si>
  <si>
    <t>D.3.1_</t>
  </si>
  <si>
    <t>Komplexní zaregulování a spuštění systému</t>
  </si>
  <si>
    <t>Montáž předizolovaného potrubí DN 50 mm vnější průměr předizolovaného potrubí D 125 mm</t>
  </si>
  <si>
    <t>Hodonín, ZŠ U Červených domků</t>
  </si>
  <si>
    <t>482</t>
  </si>
  <si>
    <t>Ventil regulační přímý + servopohon</t>
  </si>
  <si>
    <t>PSV mat</t>
  </si>
  <si>
    <t>300</t>
  </si>
  <si>
    <t>Montáž potrubí z měděných trubek vytápění D 28 mm</t>
  </si>
  <si>
    <t>280</t>
  </si>
  <si>
    <t>Ventil vodovodní pojistný pružinový P10-237-616,</t>
  </si>
  <si>
    <t>D.1.2_73_</t>
  </si>
  <si>
    <t>767996801R00</t>
  </si>
  <si>
    <t>Izolace tepelné</t>
  </si>
  <si>
    <t>273</t>
  </si>
  <si>
    <t>722235641R00</t>
  </si>
  <si>
    <t>Příprava staveniště</t>
  </si>
  <si>
    <t>3</t>
  </si>
  <si>
    <t>Odvoz a likvidace demontovaných materiálů, kontejner 7t</t>
  </si>
  <si>
    <t>308</t>
  </si>
  <si>
    <t>998276101R00</t>
  </si>
  <si>
    <t>767990010RA0</t>
  </si>
  <si>
    <t>383</t>
  </si>
  <si>
    <t>102</t>
  </si>
  <si>
    <t>Lokální příprava TV - Učebny</t>
  </si>
  <si>
    <t>Zhotovitel:</t>
  </si>
  <si>
    <t>2860018161</t>
  </si>
  <si>
    <t>175101101RT2</t>
  </si>
  <si>
    <t>Trubka předizolovaná min 115°C PN 16, de 32 mm, Dmax 91 mm (vč. kolena, redukce, odbočky)</t>
  </si>
  <si>
    <t>%</t>
  </si>
  <si>
    <t>0_</t>
  </si>
  <si>
    <t>296</t>
  </si>
  <si>
    <t>35</t>
  </si>
  <si>
    <t>Demontáž a rozřezání potrubí z hladkých trubek do D 89 ve výkopu</t>
  </si>
  <si>
    <t>722235523R00</t>
  </si>
  <si>
    <t>Začátek výstavby:</t>
  </si>
  <si>
    <t>Poplatek za skládku zeminy/sypaniny</t>
  </si>
  <si>
    <t>388</t>
  </si>
  <si>
    <t>381</t>
  </si>
  <si>
    <t>Montáž předizolovaného potrubí DN 80 mm, vnější průměr předizolovaného potrubí D 160 mm</t>
  </si>
  <si>
    <t>395</t>
  </si>
  <si>
    <t>D.2.2</t>
  </si>
  <si>
    <t>D.3.3_0_</t>
  </si>
  <si>
    <t>A</t>
  </si>
  <si>
    <t>287</t>
  </si>
  <si>
    <t>208</t>
  </si>
  <si>
    <t>725534223R01</t>
  </si>
  <si>
    <t>Mont mat</t>
  </si>
  <si>
    <t>163</t>
  </si>
  <si>
    <t>113106002RAC</t>
  </si>
  <si>
    <t>722</t>
  </si>
  <si>
    <t>274</t>
  </si>
  <si>
    <t>Slepý stavební rozpočet</t>
  </si>
  <si>
    <t>407</t>
  </si>
  <si>
    <t>93</t>
  </si>
  <si>
    <t>73_</t>
  </si>
  <si>
    <t>285</t>
  </si>
  <si>
    <t>279</t>
  </si>
  <si>
    <t>871161121R00</t>
  </si>
  <si>
    <t>173</t>
  </si>
  <si>
    <t>157</t>
  </si>
  <si>
    <t>311</t>
  </si>
  <si>
    <t>122100010RAC</t>
  </si>
  <si>
    <t>631547114</t>
  </si>
  <si>
    <t>101</t>
  </si>
  <si>
    <t>D.2.2_8_</t>
  </si>
  <si>
    <t>75</t>
  </si>
  <si>
    <t>Město Hodonín,, Masarykovo nám. 53/1, 695 35 Hodon</t>
  </si>
  <si>
    <t>366</t>
  </si>
  <si>
    <t>733120826R01</t>
  </si>
  <si>
    <t>54</t>
  </si>
  <si>
    <t>205</t>
  </si>
  <si>
    <t>484323314</t>
  </si>
  <si>
    <t>Rozřezání demontovaných ohříváků do 1600 l</t>
  </si>
  <si>
    <t xml:space="preserve"> </t>
  </si>
  <si>
    <t>136</t>
  </si>
  <si>
    <t>153</t>
  </si>
  <si>
    <t>441</t>
  </si>
  <si>
    <t>732227811R00</t>
  </si>
  <si>
    <t>451572111RK1</t>
  </si>
  <si>
    <t>387</t>
  </si>
  <si>
    <t>733164102RT5</t>
  </si>
  <si>
    <t>334</t>
  </si>
  <si>
    <t>123</t>
  </si>
  <si>
    <t>159</t>
  </si>
  <si>
    <t>Demontáž armatur s dvěma závity</t>
  </si>
  <si>
    <t>734224831R00</t>
  </si>
  <si>
    <t>Trubka předizolovaná min 115°C PN 16, de 75 mm, Dmax 142 mm (vč. kolena, redukce, odbočky)</t>
  </si>
  <si>
    <t>Kryty pozemních komunikací, letišť a ploch dlážděných (předlažby)</t>
  </si>
  <si>
    <t>767995105R00</t>
  </si>
  <si>
    <t>Vlastní VORN</t>
  </si>
  <si>
    <t>kg</t>
  </si>
  <si>
    <t>403</t>
  </si>
  <si>
    <t>Objednatel</t>
  </si>
  <si>
    <t>57</t>
  </si>
  <si>
    <t>257</t>
  </si>
  <si>
    <t>733121216R00</t>
  </si>
  <si>
    <t>733121218R00</t>
  </si>
  <si>
    <t>(Kč)</t>
  </si>
  <si>
    <t>722212440R00</t>
  </si>
  <si>
    <t>22</t>
  </si>
  <si>
    <t>Zaškolení obsluhy (min. 8 hodin)</t>
  </si>
  <si>
    <t>28600151</t>
  </si>
  <si>
    <t>115</t>
  </si>
  <si>
    <t>Finanční náklady</t>
  </si>
  <si>
    <t>479</t>
  </si>
  <si>
    <t>Územní vlivy</t>
  </si>
  <si>
    <t>m3</t>
  </si>
  <si>
    <t>725</t>
  </si>
  <si>
    <t>DPH 12%</t>
  </si>
  <si>
    <t>Zásyp jam, rýh a šachet sypaninou, dovoz sypaniny ze vzdálenosti do 15 km</t>
  </si>
  <si>
    <t>265</t>
  </si>
  <si>
    <t>259</t>
  </si>
  <si>
    <t>411</t>
  </si>
  <si>
    <t>Lokální příprava TV - Kuchyně</t>
  </si>
  <si>
    <t>Datum:</t>
  </si>
  <si>
    <t>215</t>
  </si>
  <si>
    <t>27</t>
  </si>
  <si>
    <t>37</t>
  </si>
  <si>
    <t>80</t>
  </si>
  <si>
    <t>m2</t>
  </si>
  <si>
    <t>41</t>
  </si>
  <si>
    <t>337</t>
  </si>
  <si>
    <t>59_</t>
  </si>
  <si>
    <t>Tělesa rozdělovačů a sběračů DN 80 dl 1m + izolace a ukotvení</t>
  </si>
  <si>
    <t>724311811R00</t>
  </si>
  <si>
    <t>186</t>
  </si>
  <si>
    <t>Přesun hmot a sutí</t>
  </si>
  <si>
    <t>NUS z rozpočtu</t>
  </si>
  <si>
    <t>251</t>
  </si>
  <si>
    <t>Demontáž rozvodů vody z plastů do D 63 mm</t>
  </si>
  <si>
    <t>1</t>
  </si>
  <si>
    <t>460</t>
  </si>
  <si>
    <t>206</t>
  </si>
  <si>
    <t>D.3.3_71_</t>
  </si>
  <si>
    <t>468</t>
  </si>
  <si>
    <t>Strojovny</t>
  </si>
  <si>
    <t>477</t>
  </si>
  <si>
    <t>7</t>
  </si>
  <si>
    <t>722235653R00</t>
  </si>
  <si>
    <t>236</t>
  </si>
  <si>
    <t>Rozměry</t>
  </si>
  <si>
    <t>321</t>
  </si>
  <si>
    <t>449</t>
  </si>
  <si>
    <t>07117043/</t>
  </si>
  <si>
    <t>350</t>
  </si>
  <si>
    <t>734114114R00</t>
  </si>
  <si>
    <t>74</t>
  </si>
  <si>
    <t>Položek:</t>
  </si>
  <si>
    <t>NUS celkem</t>
  </si>
  <si>
    <t>WORK</t>
  </si>
  <si>
    <t>Povrchové úpravy terénu</t>
  </si>
  <si>
    <t>164</t>
  </si>
  <si>
    <t>452</t>
  </si>
  <si>
    <t>131</t>
  </si>
  <si>
    <t>472</t>
  </si>
  <si>
    <t>83</t>
  </si>
  <si>
    <t>733193810R00</t>
  </si>
  <si>
    <t>465</t>
  </si>
  <si>
    <t>213</t>
  </si>
  <si>
    <t>733</t>
  </si>
  <si>
    <t>734243125R00</t>
  </si>
  <si>
    <t>114</t>
  </si>
  <si>
    <t>D.1.1_73_</t>
  </si>
  <si>
    <t>55138020201</t>
  </si>
  <si>
    <t>47</t>
  </si>
  <si>
    <t>D.3.5_71_</t>
  </si>
  <si>
    <t>D.3.4_73_</t>
  </si>
  <si>
    <t>384</t>
  </si>
  <si>
    <t>HSV mat</t>
  </si>
  <si>
    <t>Kč</t>
  </si>
  <si>
    <t>591100020RA0</t>
  </si>
  <si>
    <t>294</t>
  </si>
  <si>
    <t>400</t>
  </si>
  <si>
    <t>Geodetické práce - vytyčení trasy teplovodu + zaměření skutečné trasy teplovodu</t>
  </si>
  <si>
    <t>733194915R00</t>
  </si>
  <si>
    <t>348</t>
  </si>
  <si>
    <t>177</t>
  </si>
  <si>
    <t>Teploměr s jímkou</t>
  </si>
  <si>
    <t>66</t>
  </si>
  <si>
    <t>Trubka předizolovaná min 115°C PN 16, de 63 mm, Dmax 126 mm (vč. kolena, redukce, odbočky)</t>
  </si>
  <si>
    <t>Celkem VRN</t>
  </si>
  <si>
    <t>734233145R00</t>
  </si>
  <si>
    <t>365</t>
  </si>
  <si>
    <t>722181242RT8</t>
  </si>
  <si>
    <t>414</t>
  </si>
  <si>
    <t>288</t>
  </si>
  <si>
    <t>73242001VD</t>
  </si>
  <si>
    <t>Přerušení ocelového potrubí, vsazení odbočky</t>
  </si>
  <si>
    <t>D.3.3_73_</t>
  </si>
  <si>
    <t>201</t>
  </si>
  <si>
    <t>347</t>
  </si>
  <si>
    <t>155</t>
  </si>
  <si>
    <t>247</t>
  </si>
  <si>
    <t>90</t>
  </si>
  <si>
    <t>210</t>
  </si>
  <si>
    <t>89</t>
  </si>
  <si>
    <t>020001VRN</t>
  </si>
  <si>
    <t>Výměník tepla, voda/voda, 80kW teplovod/TV, např. RHB 31-30 + tepelná izolace + kotvení</t>
  </si>
  <si>
    <t>245</t>
  </si>
  <si>
    <t>354</t>
  </si>
  <si>
    <t>447</t>
  </si>
  <si>
    <t>179</t>
  </si>
  <si>
    <t>D.3.6_72_</t>
  </si>
  <si>
    <t>Celkem DN</t>
  </si>
  <si>
    <t>474</t>
  </si>
  <si>
    <t>Přesun hmot, trubní vedení, otevř. výkop</t>
  </si>
  <si>
    <t>767312739R00</t>
  </si>
  <si>
    <t>185</t>
  </si>
  <si>
    <t>88</t>
  </si>
  <si>
    <t>D.2.2_5_</t>
  </si>
  <si>
    <t>D.3.5_ _</t>
  </si>
  <si>
    <t>148</t>
  </si>
  <si>
    <t>344</t>
  </si>
  <si>
    <t>326</t>
  </si>
  <si>
    <t>303</t>
  </si>
  <si>
    <t>Zkrácený popis</t>
  </si>
  <si>
    <t>Tlakoměr deformační</t>
  </si>
  <si>
    <t>443</t>
  </si>
  <si>
    <t>Expanzní ventil FlowJet 3/4"</t>
  </si>
  <si>
    <t>28</t>
  </si>
  <si>
    <t>111</t>
  </si>
  <si>
    <t>Odstranění zám.dlažby 6 cm vč.podkladu, přes 50 m2, složení vedle výkopu</t>
  </si>
  <si>
    <t>D.1.2_72_</t>
  </si>
  <si>
    <t>D.1.1</t>
  </si>
  <si>
    <t>312</t>
  </si>
  <si>
    <t>417</t>
  </si>
  <si>
    <t>119000002RAA</t>
  </si>
  <si>
    <t>239</t>
  </si>
  <si>
    <t>CELK</t>
  </si>
  <si>
    <t>483</t>
  </si>
  <si>
    <t>D.3.5_0_</t>
  </si>
  <si>
    <t>113</t>
  </si>
  <si>
    <t>Ústřední vytápění</t>
  </si>
  <si>
    <t>106</t>
  </si>
  <si>
    <t>376</t>
  </si>
  <si>
    <t>425</t>
  </si>
  <si>
    <t>470</t>
  </si>
  <si>
    <t>Vodič signalizační CYY 6 mm2</t>
  </si>
  <si>
    <t>65</t>
  </si>
  <si>
    <t>VATTAX</t>
  </si>
  <si>
    <t>339</t>
  </si>
  <si>
    <t>244</t>
  </si>
  <si>
    <t>734312114R00</t>
  </si>
  <si>
    <t>464</t>
  </si>
  <si>
    <t>301</t>
  </si>
  <si>
    <t>169</t>
  </si>
  <si>
    <t>34</t>
  </si>
  <si>
    <t>62</t>
  </si>
  <si>
    <t>193</t>
  </si>
  <si>
    <t>481</t>
  </si>
  <si>
    <t>Doplňkové náklady DN</t>
  </si>
  <si>
    <t>432</t>
  </si>
  <si>
    <t>Demontáž atypických ocelových konstr. do 500 kg</t>
  </si>
  <si>
    <t>Méně dostupné prostředí - ztížené podmínky vlivem prostoru</t>
  </si>
  <si>
    <t>335</t>
  </si>
  <si>
    <t>428</t>
  </si>
  <si>
    <t>457</t>
  </si>
  <si>
    <t>415</t>
  </si>
  <si>
    <t>728311123R00</t>
  </si>
  <si>
    <t>218</t>
  </si>
  <si>
    <t>341</t>
  </si>
  <si>
    <t>478</t>
  </si>
  <si>
    <t>Náklady na pracovníky</t>
  </si>
  <si>
    <t>733184107RT1</t>
  </si>
  <si>
    <t>Demontáž atypických ocelových konstr. do 50 kg</t>
  </si>
  <si>
    <t>Přechod PE - kov vnější závit d32/1"</t>
  </si>
  <si>
    <t>293</t>
  </si>
  <si>
    <t>467</t>
  </si>
  <si>
    <t>Kohout vypouštěcí kulový, DN 20 mm</t>
  </si>
  <si>
    <t>Potrubí plastové PP-R, včetně zednických výpomocí, D 63 x 8,6 mm, PN 16</t>
  </si>
  <si>
    <t>Potrubí plastové PP-R, včetně zednických výpomocí, D 32 x 4,4 mm, PN 16</t>
  </si>
  <si>
    <t>Potrubí plastové PP-R, včetně zednických výpomocí, D 25 x 3,5 mm, PN 16</t>
  </si>
  <si>
    <t>Izolace návleková tl. stěny 9 mm, vnitřní průměr 63 mm</t>
  </si>
  <si>
    <t>Izolace návleková tl. stěny 25 mm, vnitřní průměr 32 mm</t>
  </si>
  <si>
    <t>Izolace návleková tl. stěny 9 mm, vnitřní průměr 32 mm</t>
  </si>
  <si>
    <t>Izolace návleková tl. stěny 25 mm, vnitřní průměr 25 mm</t>
  </si>
  <si>
    <t>Kohout vodovodní, kulový, vnitřní-vnitřní závit, DN 25 mm</t>
  </si>
  <si>
    <t>Kohout vodovodní, kulový, vnitřní-vnitřní závit, DN 20 mm</t>
  </si>
  <si>
    <t>Vodoměr bytový SV ET DN 20 x 130 mm, Qn 4</t>
  </si>
  <si>
    <t>Ventil vodovodní, zpětný, CIM 30 VA, DN 25 mm</t>
  </si>
  <si>
    <t>Ventil vodovodní, zpětný, CIM 30 VA, DN 20 mm</t>
  </si>
  <si>
    <t>Filtr, vodovodní, vnitřní-vnitřní závit, DN 20 mm</t>
  </si>
  <si>
    <t>Cirkulační čerpadlo 25-60N</t>
  </si>
  <si>
    <t>Teploměr, jímka</t>
  </si>
  <si>
    <t>Nádoba expanzní membránová 18 litrů</t>
  </si>
  <si>
    <t>Ohřívač kombinovaný, zásobníkový, závěsný, OKC 80, 2,2kW patrona</t>
  </si>
  <si>
    <t>Oběhové čerpadlo 25-60</t>
  </si>
  <si>
    <t>Čerpadlo oběhové 25-60</t>
  </si>
  <si>
    <t>Pouzdro potrubní izolační - 48/50 mm</t>
  </si>
  <si>
    <t>Ventil uzav.přírub. DN 40 s nav.přírub</t>
  </si>
  <si>
    <t>Kohout kulový, vnitř.-vnitř.z. DN 32</t>
  </si>
  <si>
    <t>Kohout kulový, vnitř.-vnitř.z. DN 25</t>
  </si>
  <si>
    <t>Ventil vyvažov.vnitř.z.měř.vent. DN 20</t>
  </si>
  <si>
    <t>Filtr, vnitřní-vnitřní z. DN 25</t>
  </si>
  <si>
    <t>Ventil směšovací třícestný, vč. servopohonu, Kv2,5, DN15</t>
  </si>
  <si>
    <t>Klapka zpětná pružinová,2xvnitřní závit DN 25</t>
  </si>
  <si>
    <t>Ventil automatický odvzdušňovací, DN 15</t>
  </si>
  <si>
    <t>Kohout kulový, vnitř.-vnitř.z. DN 15</t>
  </si>
  <si>
    <t>Trubka tlaková RC1 PE100 32x3,0 mm PN16</t>
  </si>
  <si>
    <t>Izolace návleková tl. stěny 25 mm</t>
  </si>
  <si>
    <t>Izolace návleková tl. stěny 9 mm</t>
  </si>
  <si>
    <t>Kohout vodovodní, kulový s vypouštěním, vnitřní-vnitřní závit, DN 25 mm</t>
  </si>
  <si>
    <t>Filtr, vodovodní, vnitřní-vnitřní závit, DN 25 mm</t>
  </si>
  <si>
    <t>Ventil vodovodní, zpětný, DN 25 mm</t>
  </si>
  <si>
    <t>Cirkulační čerpadlo 15-40</t>
  </si>
  <si>
    <t>Pouzdro potrubní izolační - 60/50 mm</t>
  </si>
  <si>
    <t>Pouzdro potrubní izolační - 28/30 mm</t>
  </si>
  <si>
    <t>Pouzdro potrubní izolační - 15/20 mm</t>
  </si>
  <si>
    <t>Ventil uzav.přírub. DN 50 s nav.přírub</t>
  </si>
  <si>
    <t>Kohout kulový s odvodn. vnitř.-vnitř.z. DN 25</t>
  </si>
  <si>
    <t>Ventil zpětný DN 40</t>
  </si>
  <si>
    <t>Kohout kulový,vnitřní-vnitřní z. DN 10</t>
  </si>
  <si>
    <t>Ventil automatický odvzdušňovací,  DN 10</t>
  </si>
  <si>
    <t>Kohout kulový vypouštěcí, DN 15</t>
  </si>
  <si>
    <t>Kohout kulový s odvodn. vnitř.-vnitř.z.DN 40</t>
  </si>
  <si>
    <t>Ventil uzav.přírub.DN 50 s nav.přírub</t>
  </si>
  <si>
    <t>Ventil automatický odvzdušňovací, DN 10</t>
  </si>
  <si>
    <t>Kohout kulový s odvodn. vnitř.-vnitř.z.  DN 25</t>
  </si>
  <si>
    <t>Ventil zpětný  DN 40</t>
  </si>
  <si>
    <t>Ventil vodovodní, zpětný,  DN 25 mm</t>
  </si>
  <si>
    <t>Pouzdro potrubní izolační- 15/20 mm</t>
  </si>
  <si>
    <t>Kohout kulový,vnitřní-vnitřní zDN 10</t>
  </si>
  <si>
    <t>Kohout kulový s odvodn. vnitř.-vnitř DN 40</t>
  </si>
  <si>
    <t>Kohout kulový s odvodn. vnitř.-vnitř.z DN 25</t>
  </si>
  <si>
    <t>Kohout kulový s odvodn. vnitř.-vnitř.z DN 40</t>
  </si>
  <si>
    <t>Potrubí plastové PP-R, včetně zednických výpomocí, D 20 x 2,8 mm, PN 16</t>
  </si>
  <si>
    <t>Izolace návleková tl. stěny 20 mm</t>
  </si>
  <si>
    <t>Kohout vodovodní, kulový, vnitřní-vnitřní závit, DN 15 mm</t>
  </si>
  <si>
    <t>Filtr, vodovodní, vnitřní-vnitřní závit, DN 15 mm</t>
  </si>
  <si>
    <t>Klapka vodovodní, zpětná, vodorovná, DN 15 mm</t>
  </si>
  <si>
    <t>Kohout kulový s odvodn. vnitř.-vnitř.z. DN 40</t>
  </si>
  <si>
    <t>Kohout kulový s odvodn. vnitř.-vnitř., DN 25</t>
  </si>
  <si>
    <t>Cirkulační čerpadlo s funkcí C.Timer, jednofázové s úspor. Sfér. Motorem pro rozvod cirk. TV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</si>
</sst>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4">
    <font>
      <sz val="8"/>
      <name val="Arial"/>
      <family val="0"/>
    </font>
    <font>
      <sz val="11"/>
      <name val="Calibri"/>
      <family val="2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8"/>
      <color indexed="56"/>
      <name val="Aptos Display"/>
      <family val="2"/>
    </font>
    <font>
      <sz val="11"/>
      <color indexed="60"/>
      <name val="Aptos Narrow"/>
      <family val="2"/>
    </font>
    <font>
      <sz val="11"/>
      <color indexed="52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10"/>
      <name val="Aptos Narrow"/>
      <family val="2"/>
    </font>
    <font>
      <sz val="11"/>
      <color indexed="62"/>
      <name val="Aptos Narrow"/>
      <family val="2"/>
    </font>
    <font>
      <b/>
      <sz val="11"/>
      <color indexed="52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9C0006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4">
    <xf numFmtId="0" fontId="1" fillId="0" borderId="0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6" fillId="33" borderId="12" xfId="0" applyNumberFormat="1" applyFont="1" applyFill="1" applyBorder="1" applyAlignment="1" applyProtection="1">
      <alignment horizontal="left" vertical="center"/>
      <protection/>
    </xf>
    <xf numFmtId="0" fontId="46" fillId="0" borderId="13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5" fillId="0" borderId="15" xfId="0" applyNumberFormat="1" applyFont="1" applyFill="1" applyBorder="1" applyAlignment="1" applyProtection="1">
      <alignment horizontal="left" vertical="center"/>
      <protection/>
    </xf>
    <xf numFmtId="0" fontId="47" fillId="33" borderId="1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4" fontId="48" fillId="33" borderId="17" xfId="0" applyNumberFormat="1" applyFont="1" applyFill="1" applyBorder="1" applyAlignment="1" applyProtection="1">
      <alignment horizontal="right" vertical="center"/>
      <protection/>
    </xf>
    <xf numFmtId="4" fontId="49" fillId="0" borderId="18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4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4" fontId="46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4" fontId="48" fillId="33" borderId="14" xfId="0" applyNumberFormat="1" applyFont="1" applyFill="1" applyBorder="1" applyAlignment="1" applyProtection="1">
      <alignment horizontal="right" vertical="center"/>
      <protection/>
    </xf>
    <xf numFmtId="0" fontId="49" fillId="0" borderId="14" xfId="0" applyNumberFormat="1" applyFont="1" applyFill="1" applyBorder="1" applyAlignment="1" applyProtection="1">
      <alignment horizontal="left" vertical="center"/>
      <protection/>
    </xf>
    <xf numFmtId="4" fontId="45" fillId="0" borderId="10" xfId="0" applyNumberFormat="1" applyFont="1" applyFill="1" applyBorder="1" applyAlignment="1" applyProtection="1">
      <alignment horizontal="right" vertical="center"/>
      <protection/>
    </xf>
    <xf numFmtId="0" fontId="49" fillId="0" borderId="11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right" vertical="center"/>
      <protection/>
    </xf>
    <xf numFmtId="4" fontId="49" fillId="0" borderId="11" xfId="0" applyNumberFormat="1" applyFont="1" applyFill="1" applyBorder="1" applyAlignment="1" applyProtection="1">
      <alignment horizontal="right" vertical="center"/>
      <protection/>
    </xf>
    <xf numFmtId="0" fontId="45" fillId="0" borderId="19" xfId="0" applyNumberFormat="1" applyFont="1" applyFill="1" applyBorder="1" applyAlignment="1" applyProtection="1">
      <alignment horizontal="right" vertical="center"/>
      <protection/>
    </xf>
    <xf numFmtId="0" fontId="48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/>
      <protection/>
    </xf>
    <xf numFmtId="4" fontId="49" fillId="0" borderId="17" xfId="0" applyNumberFormat="1" applyFont="1" applyFill="1" applyBorder="1" applyAlignment="1" applyProtection="1">
      <alignment horizontal="right" vertical="center"/>
      <protection/>
    </xf>
    <xf numFmtId="0" fontId="45" fillId="0" borderId="22" xfId="0" applyNumberFormat="1" applyFont="1" applyFill="1" applyBorder="1" applyAlignment="1" applyProtection="1">
      <alignment horizontal="center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7" fillId="33" borderId="17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4" fontId="45" fillId="33" borderId="0" xfId="0" applyNumberFormat="1" applyFont="1" applyFill="1" applyBorder="1" applyAlignment="1" applyProtection="1">
      <alignment horizontal="right" vertical="center"/>
      <protection/>
    </xf>
    <xf numFmtId="4" fontId="46" fillId="0" borderId="14" xfId="0" applyNumberFormat="1" applyFont="1" applyFill="1" applyBorder="1" applyAlignment="1" applyProtection="1">
      <alignment horizontal="right" vertical="center"/>
      <protection/>
    </xf>
    <xf numFmtId="0" fontId="46" fillId="0" borderId="18" xfId="0" applyNumberFormat="1" applyFont="1" applyFill="1" applyBorder="1" applyAlignment="1" applyProtection="1">
      <alignment horizontal="left" vertical="center"/>
      <protection/>
    </xf>
    <xf numFmtId="4" fontId="46" fillId="0" borderId="21" xfId="0" applyNumberFormat="1" applyFont="1" applyFill="1" applyBorder="1" applyAlignment="1" applyProtection="1">
      <alignment horizontal="right" vertical="center"/>
      <protection/>
    </xf>
    <xf numFmtId="4" fontId="49" fillId="0" borderId="14" xfId="0" applyNumberFormat="1" applyFont="1" applyFill="1" applyBorder="1" applyAlignment="1" applyProtection="1">
      <alignment horizontal="right" vertical="center"/>
      <protection/>
    </xf>
    <xf numFmtId="0" fontId="48" fillId="0" borderId="23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24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45" fillId="0" borderId="22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9" fillId="0" borderId="25" xfId="0" applyNumberFormat="1" applyFont="1" applyFill="1" applyBorder="1" applyAlignment="1" applyProtection="1">
      <alignment horizontal="left" vertical="center"/>
      <protection/>
    </xf>
    <xf numFmtId="0" fontId="49" fillId="0" borderId="26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27" xfId="0" applyNumberFormat="1" applyFont="1" applyFill="1" applyBorder="1" applyAlignment="1" applyProtection="1">
      <alignment horizontal="left" vertical="center"/>
      <protection/>
    </xf>
    <xf numFmtId="0" fontId="49" fillId="0" borderId="28" xfId="0" applyNumberFormat="1" applyFont="1" applyFill="1" applyBorder="1" applyAlignment="1" applyProtection="1">
      <alignment horizontal="left" vertical="center"/>
      <protection/>
    </xf>
    <xf numFmtId="0" fontId="49" fillId="0" borderId="29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30" xfId="0" applyNumberFormat="1" applyFont="1" applyFill="1" applyBorder="1" applyAlignment="1" applyProtection="1">
      <alignment horizontal="left" vertical="center"/>
      <protection/>
    </xf>
    <xf numFmtId="0" fontId="49" fillId="0" borderId="31" xfId="0" applyNumberFormat="1" applyFont="1" applyFill="1" applyBorder="1" applyAlignment="1" applyProtection="1">
      <alignment horizontal="left" vertical="center"/>
      <protection/>
    </xf>
    <xf numFmtId="0" fontId="49" fillId="0" borderId="32" xfId="0" applyNumberFormat="1" applyFont="1" applyFill="1" applyBorder="1" applyAlignment="1" applyProtection="1">
      <alignment horizontal="left" vertical="center"/>
      <protection/>
    </xf>
    <xf numFmtId="0" fontId="48" fillId="33" borderId="33" xfId="0" applyNumberFormat="1" applyFont="1" applyFill="1" applyBorder="1" applyAlignment="1" applyProtection="1">
      <alignment horizontal="left" vertical="center"/>
      <protection/>
    </xf>
    <xf numFmtId="0" fontId="48" fillId="33" borderId="34" xfId="0" applyNumberFormat="1" applyFont="1" applyFill="1" applyBorder="1" applyAlignment="1" applyProtection="1">
      <alignment horizontal="left" vertical="center"/>
      <protection/>
    </xf>
    <xf numFmtId="0" fontId="48" fillId="33" borderId="24" xfId="0" applyNumberFormat="1" applyFont="1" applyFill="1" applyBorder="1" applyAlignment="1" applyProtection="1">
      <alignment horizontal="left" vertical="center"/>
      <protection/>
    </xf>
    <xf numFmtId="0" fontId="48" fillId="33" borderId="21" xfId="0" applyNumberFormat="1" applyFont="1" applyFill="1" applyBorder="1" applyAlignment="1" applyProtection="1">
      <alignment horizontal="left" vertical="center"/>
      <protection/>
    </xf>
    <xf numFmtId="0" fontId="49" fillId="0" borderId="21" xfId="0" applyNumberFormat="1" applyFont="1" applyFill="1" applyBorder="1" applyAlignment="1" applyProtection="1">
      <alignment horizontal="left" vertical="center"/>
      <protection/>
    </xf>
    <xf numFmtId="0" fontId="49" fillId="0" borderId="14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0" fontId="48" fillId="0" borderId="34" xfId="0" applyNumberFormat="1" applyFont="1" applyFill="1" applyBorder="1" applyAlignment="1" applyProtection="1">
      <alignment horizontal="left" vertical="center"/>
      <protection/>
    </xf>
    <xf numFmtId="0" fontId="48" fillId="0" borderId="17" xfId="0" applyNumberFormat="1" applyFont="1" applyFill="1" applyBorder="1" applyAlignment="1" applyProtection="1">
      <alignment horizontal="left" vertical="center"/>
      <protection/>
    </xf>
    <xf numFmtId="0" fontId="48" fillId="0" borderId="21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24" xfId="0" applyNumberFormat="1" applyFont="1" applyFill="1" applyBorder="1" applyAlignment="1" applyProtection="1">
      <alignment horizontal="left" vertical="center"/>
      <protection/>
    </xf>
    <xf numFmtId="0" fontId="51" fillId="0" borderId="34" xfId="0" applyNumberFormat="1" applyFont="1" applyFill="1" applyBorder="1" applyAlignment="1" applyProtection="1">
      <alignment horizontal="left" vertical="center"/>
      <protection/>
    </xf>
    <xf numFmtId="0" fontId="51" fillId="0" borderId="17" xfId="0" applyNumberFormat="1" applyFont="1" applyFill="1" applyBorder="1" applyAlignment="1" applyProtection="1">
      <alignment horizontal="left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0" fontId="48" fillId="0" borderId="11" xfId="0" applyNumberFormat="1" applyFont="1" applyFill="1" applyBorder="1" applyAlignment="1" applyProtection="1">
      <alignment horizontal="left" vertical="center"/>
      <protection/>
    </xf>
    <xf numFmtId="0" fontId="48" fillId="0" borderId="33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1" fontId="46" fillId="0" borderId="11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left" vertical="center" wrapText="1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36" xfId="0" applyNumberFormat="1" applyFont="1" applyFill="1" applyBorder="1" applyAlignment="1" applyProtection="1">
      <alignment horizontal="left" vertical="center" wrapText="1"/>
      <protection/>
    </xf>
    <xf numFmtId="0" fontId="46" fillId="0" borderId="36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45" fillId="0" borderId="36" xfId="0" applyNumberFormat="1" applyFont="1" applyFill="1" applyBorder="1" applyAlignment="1" applyProtection="1">
      <alignment horizontal="left" vertical="center" wrapText="1"/>
      <protection/>
    </xf>
    <xf numFmtId="0" fontId="45" fillId="0" borderId="36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37" xfId="0" applyNumberFormat="1" applyFont="1" applyFill="1" applyBorder="1" applyAlignment="1" applyProtection="1">
      <alignment horizontal="left" vertical="center" wrapText="1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 wrapText="1"/>
      <protection/>
    </xf>
    <xf numFmtId="0" fontId="46" fillId="0" borderId="24" xfId="0" applyNumberFormat="1" applyFont="1" applyFill="1" applyBorder="1" applyAlignment="1" applyProtection="1">
      <alignment horizontal="left" vertical="center"/>
      <protection/>
    </xf>
    <xf numFmtId="0" fontId="45" fillId="0" borderId="38" xfId="0" applyNumberFormat="1" applyFont="1" applyFill="1" applyBorder="1" applyAlignment="1" applyProtection="1">
      <alignment horizontal="left" vertical="center"/>
      <protection/>
    </xf>
    <xf numFmtId="0" fontId="45" fillId="0" borderId="39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38" xfId="0" applyNumberFormat="1" applyFont="1" applyFill="1" applyBorder="1" applyAlignment="1" applyProtection="1">
      <alignment horizontal="left" vertical="center"/>
      <protection/>
    </xf>
    <xf numFmtId="0" fontId="48" fillId="0" borderId="39" xfId="0" applyNumberFormat="1" applyFont="1" applyFill="1" applyBorder="1" applyAlignment="1" applyProtection="1">
      <alignment horizontal="left" vertical="center"/>
      <protection/>
    </xf>
    <xf numFmtId="0" fontId="48" fillId="0" borderId="10" xfId="0" applyNumberFormat="1" applyFont="1" applyFill="1" applyBorder="1" applyAlignment="1" applyProtection="1">
      <alignment horizontal="left" vertical="center"/>
      <protection/>
    </xf>
    <xf numFmtId="4" fontId="48" fillId="0" borderId="39" xfId="0" applyNumberFormat="1" applyFont="1" applyFill="1" applyBorder="1" applyAlignment="1" applyProtection="1">
      <alignment horizontal="right" vertical="center"/>
      <protection/>
    </xf>
    <xf numFmtId="0" fontId="48" fillId="0" borderId="39" xfId="0" applyNumberFormat="1" applyFont="1" applyFill="1" applyBorder="1" applyAlignment="1" applyProtection="1">
      <alignment horizontal="right" vertical="center"/>
      <protection/>
    </xf>
    <xf numFmtId="0" fontId="48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40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19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left" vertical="center" wrapText="1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left" vertical="center" wrapText="1"/>
      <protection/>
    </xf>
    <xf numFmtId="0" fontId="45" fillId="0" borderId="28" xfId="0" applyNumberFormat="1" applyFont="1" applyFill="1" applyBorder="1" applyAlignment="1" applyProtection="1">
      <alignment horizontal="left" vertical="center"/>
      <protection/>
    </xf>
    <xf numFmtId="0" fontId="45" fillId="0" borderId="18" xfId="0" applyNumberFormat="1" applyFont="1" applyFill="1" applyBorder="1" applyAlignment="1" applyProtection="1">
      <alignment horizontal="left" vertical="center"/>
      <protection/>
    </xf>
    <xf numFmtId="0" fontId="45" fillId="0" borderId="25" xfId="0" applyNumberFormat="1" applyFont="1" applyFill="1" applyBorder="1" applyAlignment="1" applyProtection="1">
      <alignment horizontal="left" vertical="center"/>
      <protection/>
    </xf>
    <xf numFmtId="0" fontId="45" fillId="0" borderId="22" xfId="0" applyNumberFormat="1" applyFont="1" applyFill="1" applyBorder="1" applyAlignment="1" applyProtection="1">
      <alignment horizontal="left" vertical="center"/>
      <protection/>
    </xf>
    <xf numFmtId="0" fontId="46" fillId="0" borderId="36" xfId="0" applyNumberFormat="1" applyFont="1" applyFill="1" applyBorder="1" applyAlignment="1" applyProtection="1">
      <alignment horizontal="left" vertical="center"/>
      <protection locked="0"/>
    </xf>
    <xf numFmtId="0" fontId="46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NumberFormat="1" applyFont="1" applyFill="1" applyBorder="1" applyAlignment="1" applyProtection="1">
      <alignment horizontal="left" vertical="center"/>
      <protection locked="0"/>
    </xf>
    <xf numFmtId="0" fontId="4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25" xfId="0" applyNumberFormat="1" applyFont="1" applyFill="1" applyBorder="1" applyAlignment="1" applyProtection="1">
      <alignment horizontal="center" vertical="center"/>
      <protection locked="0"/>
    </xf>
    <xf numFmtId="0" fontId="45" fillId="0" borderId="42" xfId="0" applyNumberFormat="1" applyFont="1" applyFill="1" applyBorder="1" applyAlignment="1" applyProtection="1">
      <alignment horizontal="center" vertical="center"/>
      <protection locked="0"/>
    </xf>
    <xf numFmtId="0" fontId="45" fillId="0" borderId="18" xfId="0" applyNumberFormat="1" applyFont="1" applyFill="1" applyBorder="1" applyAlignment="1" applyProtection="1">
      <alignment horizontal="center" vertical="center"/>
      <protection locked="0"/>
    </xf>
    <xf numFmtId="0" fontId="45" fillId="0" borderId="29" xfId="0" applyNumberFormat="1" applyFont="1" applyFill="1" applyBorder="1" applyAlignment="1" applyProtection="1">
      <alignment horizontal="center" vertical="center"/>
      <protection locked="0"/>
    </xf>
    <xf numFmtId="0" fontId="46" fillId="33" borderId="0" xfId="0" applyNumberFormat="1" applyFont="1" applyFill="1" applyBorder="1" applyAlignment="1" applyProtection="1">
      <alignment horizontal="left" vertical="center"/>
      <protection locked="0"/>
    </xf>
    <xf numFmtId="4" fontId="45" fillId="33" borderId="0" xfId="0" applyNumberFormat="1" applyFont="1" applyFill="1" applyBorder="1" applyAlignment="1" applyProtection="1">
      <alignment horizontal="right" vertical="center"/>
      <protection locked="0"/>
    </xf>
    <xf numFmtId="4" fontId="46" fillId="0" borderId="0" xfId="0" applyNumberFormat="1" applyFont="1" applyFill="1" applyBorder="1" applyAlignment="1" applyProtection="1">
      <alignment horizontal="right" vertical="center"/>
      <protection locked="0"/>
    </xf>
    <xf numFmtId="4" fontId="46" fillId="0" borderId="2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45" fillId="0" borderId="0" xfId="0" applyNumberFormat="1" applyFont="1" applyFill="1" applyBorder="1" applyAlignment="1" applyProtection="1">
      <alignment horizontal="right" vertical="center"/>
      <protection locked="0"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657225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9525</xdr:rowOff>
    </xdr:from>
    <xdr:to>
      <xdr:col>1</xdr:col>
      <xdr:colOff>457200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A37" sqref="A37:I37"/>
    </sheetView>
  </sheetViews>
  <sheetFormatPr defaultColWidth="14.332031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160156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  <col min="10" max="16384" width="14.16015625" style="0" customWidth="1"/>
  </cols>
  <sheetData>
    <row r="1" spans="1:9" ht="54.75" customHeight="1">
      <c r="A1" s="84" t="s">
        <v>208</v>
      </c>
      <c r="B1" s="85"/>
      <c r="C1" s="85"/>
      <c r="D1" s="85"/>
      <c r="E1" s="85"/>
      <c r="F1" s="85"/>
      <c r="G1" s="85"/>
      <c r="H1" s="85"/>
      <c r="I1" s="85"/>
    </row>
    <row r="2" spans="1:9" ht="15" customHeight="1">
      <c r="A2" s="86" t="s">
        <v>67</v>
      </c>
      <c r="B2" s="79"/>
      <c r="C2" s="81" t="str">
        <f>'Stavební rozpočet'!D2</f>
        <v>ZŠ U Červených domků - rekonstrukce teplovodů</v>
      </c>
      <c r="D2" s="82"/>
      <c r="E2" s="78" t="s">
        <v>756</v>
      </c>
      <c r="F2" s="78" t="str">
        <f>'Stavební rozpočet'!J2</f>
        <v>Město Hodonín,, Masarykovo nám. 53/1, 695 35 Hodon</v>
      </c>
      <c r="G2" s="79"/>
      <c r="H2" s="78" t="s">
        <v>574</v>
      </c>
      <c r="I2" s="72" t="s">
        <v>626</v>
      </c>
    </row>
    <row r="3" spans="1:9" ht="15" customHeight="1">
      <c r="A3" s="87"/>
      <c r="B3" s="51"/>
      <c r="C3" s="83"/>
      <c r="D3" s="83"/>
      <c r="E3" s="51"/>
      <c r="F3" s="51"/>
      <c r="G3" s="51"/>
      <c r="H3" s="51"/>
      <c r="I3" s="73"/>
    </row>
    <row r="4" spans="1:9" ht="15" customHeight="1">
      <c r="A4" s="88" t="s">
        <v>467</v>
      </c>
      <c r="B4" s="51"/>
      <c r="C4" s="50" t="str">
        <f>'Stavební rozpočet'!D4</f>
        <v>Rekonstrukce zdroje tepla a jeho distribuční sítě v areálu ZŠ U Červených domků</v>
      </c>
      <c r="D4" s="51"/>
      <c r="E4" s="50" t="s">
        <v>620</v>
      </c>
      <c r="F4" s="50" t="str">
        <f>'Stavební rozpočet'!J4</f>
        <v>VS-ingline, s.r.o.</v>
      </c>
      <c r="G4" s="51"/>
      <c r="H4" s="50" t="s">
        <v>574</v>
      </c>
      <c r="I4" s="73" t="s">
        <v>906</v>
      </c>
    </row>
    <row r="5" spans="1:9" ht="15" customHeight="1">
      <c r="A5" s="87"/>
      <c r="B5" s="51"/>
      <c r="C5" s="51"/>
      <c r="D5" s="51"/>
      <c r="E5" s="51"/>
      <c r="F5" s="51"/>
      <c r="G5" s="51"/>
      <c r="H5" s="51"/>
      <c r="I5" s="73"/>
    </row>
    <row r="6" spans="1:9" ht="15" customHeight="1">
      <c r="A6" s="88" t="s">
        <v>77</v>
      </c>
      <c r="B6" s="51"/>
      <c r="C6" s="50" t="str">
        <f>'Stavební rozpočet'!D6</f>
        <v>Hodonín, ZŠ U Červených domků</v>
      </c>
      <c r="D6" s="51"/>
      <c r="E6" s="50" t="s">
        <v>787</v>
      </c>
      <c r="F6" s="50" t="str">
        <f>'Stavební rozpočet'!J6</f>
        <v> </v>
      </c>
      <c r="G6" s="51"/>
      <c r="H6" s="50" t="s">
        <v>574</v>
      </c>
      <c r="I6" s="73" t="s">
        <v>626</v>
      </c>
    </row>
    <row r="7" spans="1:9" ht="15" customHeight="1">
      <c r="A7" s="87"/>
      <c r="B7" s="51"/>
      <c r="C7" s="51"/>
      <c r="D7" s="51"/>
      <c r="E7" s="51"/>
      <c r="F7" s="51"/>
      <c r="G7" s="51"/>
      <c r="H7" s="51"/>
      <c r="I7" s="73"/>
    </row>
    <row r="8" spans="1:9" ht="15" customHeight="1">
      <c r="A8" s="88" t="s">
        <v>797</v>
      </c>
      <c r="B8" s="51"/>
      <c r="C8" s="50" t="str">
        <f>'Stavební rozpočet'!H4</f>
        <v> </v>
      </c>
      <c r="D8" s="51"/>
      <c r="E8" s="50" t="s">
        <v>283</v>
      </c>
      <c r="F8" s="50" t="str">
        <f>'Stavební rozpočet'!H6</f>
        <v> </v>
      </c>
      <c r="G8" s="51"/>
      <c r="H8" s="51" t="s">
        <v>910</v>
      </c>
      <c r="I8" s="74">
        <v>484</v>
      </c>
    </row>
    <row r="9" spans="1:9" ht="15" customHeight="1">
      <c r="A9" s="87"/>
      <c r="B9" s="51"/>
      <c r="C9" s="51"/>
      <c r="D9" s="51"/>
      <c r="E9" s="51"/>
      <c r="F9" s="51"/>
      <c r="G9" s="51"/>
      <c r="H9" s="51"/>
      <c r="I9" s="73"/>
    </row>
    <row r="10" spans="1:9" ht="15" customHeight="1">
      <c r="A10" s="88" t="s">
        <v>420</v>
      </c>
      <c r="B10" s="51"/>
      <c r="C10" s="50" t="str">
        <f>'Stavební rozpočet'!D8</f>
        <v> </v>
      </c>
      <c r="D10" s="51"/>
      <c r="E10" s="50" t="s">
        <v>594</v>
      </c>
      <c r="F10" s="50" t="str">
        <f>'Stavební rozpočet'!J8</f>
        <v>Ing. Miloš Červený</v>
      </c>
      <c r="G10" s="51"/>
      <c r="H10" s="51" t="s">
        <v>877</v>
      </c>
      <c r="I10" s="75" t="str">
        <f>'Stavební rozpočet'!H8</f>
        <v>28.12.2023</v>
      </c>
    </row>
    <row r="11" spans="1:9" ht="15" customHeight="1">
      <c r="A11" s="89"/>
      <c r="B11" s="80"/>
      <c r="C11" s="80"/>
      <c r="D11" s="80"/>
      <c r="E11" s="80"/>
      <c r="F11" s="80"/>
      <c r="G11" s="80"/>
      <c r="H11" s="80"/>
      <c r="I11" s="76"/>
    </row>
    <row r="12" spans="1:9" ht="22.5" customHeight="1">
      <c r="A12" s="77" t="s">
        <v>154</v>
      </c>
      <c r="B12" s="77"/>
      <c r="C12" s="77"/>
      <c r="D12" s="77"/>
      <c r="E12" s="77"/>
      <c r="F12" s="77"/>
      <c r="G12" s="77"/>
      <c r="H12" s="77"/>
      <c r="I12" s="77"/>
    </row>
    <row r="13" spans="1:9" ht="26.25" customHeight="1">
      <c r="A13" s="7" t="s">
        <v>805</v>
      </c>
      <c r="B13" s="67" t="s">
        <v>112</v>
      </c>
      <c r="C13" s="68"/>
      <c r="D13" s="29" t="s">
        <v>164</v>
      </c>
      <c r="E13" s="67" t="s">
        <v>320</v>
      </c>
      <c r="F13" s="68"/>
      <c r="G13" s="29" t="s">
        <v>566</v>
      </c>
      <c r="H13" s="67" t="s">
        <v>167</v>
      </c>
      <c r="I13" s="68"/>
    </row>
    <row r="14" spans="1:9" ht="15" customHeight="1">
      <c r="A14" s="36" t="s">
        <v>333</v>
      </c>
      <c r="B14" s="18" t="s">
        <v>231</v>
      </c>
      <c r="C14" s="35">
        <f>SUM('Stavební rozpočet'!AB12:AB591)</f>
        <v>0</v>
      </c>
      <c r="D14" s="59" t="s">
        <v>645</v>
      </c>
      <c r="E14" s="60"/>
      <c r="F14" s="35">
        <f>VORN!I15</f>
        <v>0</v>
      </c>
      <c r="G14" s="59" t="s">
        <v>95</v>
      </c>
      <c r="H14" s="60"/>
      <c r="I14" s="13">
        <f>VORN!I21</f>
        <v>0</v>
      </c>
    </row>
    <row r="15" spans="1:9" ht="15" customHeight="1">
      <c r="A15" s="24" t="s">
        <v>626</v>
      </c>
      <c r="B15" s="18" t="s">
        <v>175</v>
      </c>
      <c r="C15" s="35">
        <f>SUM('Stavební rozpočet'!AC12:AC591)</f>
        <v>0</v>
      </c>
      <c r="D15" s="59" t="s">
        <v>89</v>
      </c>
      <c r="E15" s="60"/>
      <c r="F15" s="35">
        <f>VORN!I16</f>
        <v>0</v>
      </c>
      <c r="G15" s="59" t="s">
        <v>713</v>
      </c>
      <c r="H15" s="60"/>
      <c r="I15" s="13">
        <f>VORN!I22</f>
        <v>0</v>
      </c>
    </row>
    <row r="16" spans="1:9" ht="15" customHeight="1">
      <c r="A16" s="36" t="s">
        <v>82</v>
      </c>
      <c r="B16" s="18" t="s">
        <v>231</v>
      </c>
      <c r="C16" s="35">
        <f>SUM('Stavební rozpočet'!AD12:AD591)</f>
        <v>0</v>
      </c>
      <c r="D16" s="59" t="s">
        <v>662</v>
      </c>
      <c r="E16" s="60"/>
      <c r="F16" s="35">
        <f>VORN!I17</f>
        <v>0</v>
      </c>
      <c r="G16" s="59" t="s">
        <v>868</v>
      </c>
      <c r="H16" s="60"/>
      <c r="I16" s="13">
        <f>VORN!I23</f>
        <v>0</v>
      </c>
    </row>
    <row r="17" spans="1:9" ht="15" customHeight="1">
      <c r="A17" s="24" t="s">
        <v>626</v>
      </c>
      <c r="B17" s="18" t="s">
        <v>175</v>
      </c>
      <c r="C17" s="35">
        <f>SUM('Stavební rozpočet'!AE12:AE591)</f>
        <v>0</v>
      </c>
      <c r="D17" s="59" t="s">
        <v>626</v>
      </c>
      <c r="E17" s="60"/>
      <c r="F17" s="13" t="s">
        <v>626</v>
      </c>
      <c r="G17" s="59" t="s">
        <v>454</v>
      </c>
      <c r="H17" s="60"/>
      <c r="I17" s="13">
        <f>VORN!I24</f>
        <v>0</v>
      </c>
    </row>
    <row r="18" spans="1:9" ht="15" customHeight="1">
      <c r="A18" s="36" t="s">
        <v>273</v>
      </c>
      <c r="B18" s="18" t="s">
        <v>231</v>
      </c>
      <c r="C18" s="35">
        <f>SUM('Stavební rozpočet'!AF12:AF591)</f>
        <v>0</v>
      </c>
      <c r="D18" s="59" t="s">
        <v>626</v>
      </c>
      <c r="E18" s="60"/>
      <c r="F18" s="13" t="s">
        <v>626</v>
      </c>
      <c r="G18" s="59" t="s">
        <v>579</v>
      </c>
      <c r="H18" s="60"/>
      <c r="I18" s="13">
        <f>VORN!I25</f>
        <v>0</v>
      </c>
    </row>
    <row r="19" spans="1:9" ht="15" customHeight="1">
      <c r="A19" s="24" t="s">
        <v>626</v>
      </c>
      <c r="B19" s="18" t="s">
        <v>175</v>
      </c>
      <c r="C19" s="35">
        <f>SUM('Stavební rozpočet'!AG12:AG591)</f>
        <v>0</v>
      </c>
      <c r="D19" s="59" t="s">
        <v>626</v>
      </c>
      <c r="E19" s="60"/>
      <c r="F19" s="13" t="s">
        <v>626</v>
      </c>
      <c r="G19" s="59" t="s">
        <v>890</v>
      </c>
      <c r="H19" s="60"/>
      <c r="I19" s="13">
        <f>VORN!I26</f>
        <v>0</v>
      </c>
    </row>
    <row r="20" spans="1:9" ht="15" customHeight="1">
      <c r="A20" s="66" t="s">
        <v>68</v>
      </c>
      <c r="B20" s="65"/>
      <c r="C20" s="35">
        <f>SUM('Stavební rozpočet'!AH12:AH591)</f>
        <v>0</v>
      </c>
      <c r="D20" s="59" t="s">
        <v>626</v>
      </c>
      <c r="E20" s="60"/>
      <c r="F20" s="13" t="s">
        <v>626</v>
      </c>
      <c r="G20" s="59" t="s">
        <v>626</v>
      </c>
      <c r="H20" s="60"/>
      <c r="I20" s="13" t="s">
        <v>626</v>
      </c>
    </row>
    <row r="21" spans="1:9" ht="15" customHeight="1">
      <c r="A21" s="69" t="s">
        <v>889</v>
      </c>
      <c r="B21" s="70"/>
      <c r="C21" s="22">
        <f>SUM('Stavební rozpočet'!Z12:Z591)</f>
        <v>0</v>
      </c>
      <c r="D21" s="46" t="s">
        <v>626</v>
      </c>
      <c r="E21" s="61"/>
      <c r="F21" s="20" t="s">
        <v>626</v>
      </c>
      <c r="G21" s="46" t="s">
        <v>626</v>
      </c>
      <c r="H21" s="61"/>
      <c r="I21" s="20" t="s">
        <v>626</v>
      </c>
    </row>
    <row r="22" spans="1:9" ht="16.5" customHeight="1">
      <c r="A22" s="71" t="s">
        <v>182</v>
      </c>
      <c r="B22" s="63"/>
      <c r="C22" s="26">
        <f>SUM(C14:C21)</f>
        <v>0</v>
      </c>
      <c r="D22" s="62" t="s">
        <v>442</v>
      </c>
      <c r="E22" s="63"/>
      <c r="F22" s="26">
        <f>SUM(F14:F21)</f>
        <v>0</v>
      </c>
      <c r="G22" s="62" t="s">
        <v>911</v>
      </c>
      <c r="H22" s="63"/>
      <c r="I22" s="26">
        <f>SUM(I14:I21)</f>
        <v>0</v>
      </c>
    </row>
    <row r="23" spans="4:9" ht="15" customHeight="1">
      <c r="D23" s="66" t="s">
        <v>719</v>
      </c>
      <c r="E23" s="65"/>
      <c r="F23" s="11">
        <v>0</v>
      </c>
      <c r="G23" s="64" t="s">
        <v>53</v>
      </c>
      <c r="H23" s="65"/>
      <c r="I23" s="35">
        <v>0</v>
      </c>
    </row>
    <row r="24" spans="7:9" ht="15" customHeight="1">
      <c r="G24" s="66" t="s">
        <v>540</v>
      </c>
      <c r="H24" s="65"/>
      <c r="I24" s="22">
        <f>vorn_sum</f>
        <v>0</v>
      </c>
    </row>
    <row r="25" spans="7:9" ht="15" customHeight="1">
      <c r="G25" s="66" t="s">
        <v>276</v>
      </c>
      <c r="H25" s="65"/>
      <c r="I25" s="26">
        <v>0</v>
      </c>
    </row>
    <row r="27" spans="1:3" ht="15" customHeight="1">
      <c r="A27" s="55" t="s">
        <v>357</v>
      </c>
      <c r="B27" s="56"/>
      <c r="C27" s="10">
        <f>SUM('Stavební rozpočet'!AJ12:AJ591)</f>
        <v>0</v>
      </c>
    </row>
    <row r="28" spans="1:9" ht="15" customHeight="1">
      <c r="A28" s="57" t="s">
        <v>751</v>
      </c>
      <c r="B28" s="58"/>
      <c r="C28" s="17">
        <f>SUM('Stavební rozpočet'!AK12:AK591)</f>
        <v>0</v>
      </c>
      <c r="D28" s="56" t="s">
        <v>871</v>
      </c>
      <c r="E28" s="56"/>
      <c r="F28" s="10">
        <f>ROUND(C28*(12/100),2)</f>
        <v>0</v>
      </c>
      <c r="G28" s="56" t="s">
        <v>129</v>
      </c>
      <c r="H28" s="56"/>
      <c r="I28" s="10">
        <f>SUM(C27:C29)</f>
        <v>0</v>
      </c>
    </row>
    <row r="29" spans="1:9" ht="15" customHeight="1">
      <c r="A29" s="57" t="s">
        <v>45</v>
      </c>
      <c r="B29" s="58"/>
      <c r="C29" s="17">
        <f>SUM('Stavební rozpočet'!AL12:AL591)</f>
        <v>0</v>
      </c>
      <c r="D29" s="58" t="s">
        <v>669</v>
      </c>
      <c r="E29" s="58"/>
      <c r="F29" s="17">
        <f>ROUND(C29*(21/100),2)</f>
        <v>0</v>
      </c>
      <c r="G29" s="58" t="s">
        <v>354</v>
      </c>
      <c r="H29" s="58"/>
      <c r="I29" s="17">
        <f>SUM(F28:F29)+I28</f>
        <v>0</v>
      </c>
    </row>
    <row r="31" spans="1:9" ht="15" customHeight="1">
      <c r="A31" s="52" t="s">
        <v>14</v>
      </c>
      <c r="B31" s="44"/>
      <c r="C31" s="45"/>
      <c r="D31" s="44" t="s">
        <v>855</v>
      </c>
      <c r="E31" s="44"/>
      <c r="F31" s="45"/>
      <c r="G31" s="44" t="s">
        <v>611</v>
      </c>
      <c r="H31" s="44"/>
      <c r="I31" s="45"/>
    </row>
    <row r="32" spans="1:9" ht="15" customHeight="1">
      <c r="A32" s="53" t="s">
        <v>626</v>
      </c>
      <c r="B32" s="46"/>
      <c r="C32" s="47"/>
      <c r="D32" s="46" t="s">
        <v>626</v>
      </c>
      <c r="E32" s="46"/>
      <c r="F32" s="47"/>
      <c r="G32" s="46" t="s">
        <v>626</v>
      </c>
      <c r="H32" s="46"/>
      <c r="I32" s="47"/>
    </row>
    <row r="33" spans="1:9" ht="15" customHeight="1">
      <c r="A33" s="53" t="s">
        <v>626</v>
      </c>
      <c r="B33" s="46"/>
      <c r="C33" s="47"/>
      <c r="D33" s="46" t="s">
        <v>626</v>
      </c>
      <c r="E33" s="46"/>
      <c r="F33" s="47"/>
      <c r="G33" s="46" t="s">
        <v>626</v>
      </c>
      <c r="H33" s="46"/>
      <c r="I33" s="47"/>
    </row>
    <row r="34" spans="1:9" ht="15" customHeight="1">
      <c r="A34" s="53" t="s">
        <v>626</v>
      </c>
      <c r="B34" s="46"/>
      <c r="C34" s="47"/>
      <c r="D34" s="46" t="s">
        <v>626</v>
      </c>
      <c r="E34" s="46"/>
      <c r="F34" s="47"/>
      <c r="G34" s="46" t="s">
        <v>626</v>
      </c>
      <c r="H34" s="46"/>
      <c r="I34" s="47"/>
    </row>
    <row r="35" spans="1:9" ht="15" customHeight="1">
      <c r="A35" s="54" t="s">
        <v>180</v>
      </c>
      <c r="B35" s="48"/>
      <c r="C35" s="49"/>
      <c r="D35" s="48" t="s">
        <v>180</v>
      </c>
      <c r="E35" s="48"/>
      <c r="F35" s="49"/>
      <c r="G35" s="48" t="s">
        <v>180</v>
      </c>
      <c r="H35" s="48"/>
      <c r="I35" s="49"/>
    </row>
    <row r="36" ht="15" customHeight="1">
      <c r="A36" s="12" t="s">
        <v>76</v>
      </c>
    </row>
    <row r="37" spans="1:9" ht="12.75" customHeight="1">
      <c r="A37" s="50" t="s">
        <v>626</v>
      </c>
      <c r="B37" s="51"/>
      <c r="C37" s="51"/>
      <c r="D37" s="51"/>
      <c r="E37" s="51"/>
      <c r="F37" s="51"/>
      <c r="G37" s="51"/>
      <c r="H37" s="51"/>
      <c r="I37" s="51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OutlineSymbols="0" zoomScalePageLayoutView="0" workbookViewId="0" topLeftCell="A1">
      <selection activeCell="A45" sqref="A45:E45"/>
    </sheetView>
  </sheetViews>
  <sheetFormatPr defaultColWidth="14.332031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160156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  <col min="10" max="16384" width="14.16015625" style="0" customWidth="1"/>
  </cols>
  <sheetData>
    <row r="1" spans="1:9" ht="54.75" customHeight="1">
      <c r="A1" s="84" t="s">
        <v>135</v>
      </c>
      <c r="B1" s="85"/>
      <c r="C1" s="85"/>
      <c r="D1" s="85"/>
      <c r="E1" s="85"/>
      <c r="F1" s="85"/>
      <c r="G1" s="85"/>
      <c r="H1" s="85"/>
      <c r="I1" s="85"/>
    </row>
    <row r="2" spans="1:9" ht="15" customHeight="1">
      <c r="A2" s="86" t="s">
        <v>67</v>
      </c>
      <c r="B2" s="79"/>
      <c r="C2" s="81" t="str">
        <f>'Stavební rozpočet'!D2</f>
        <v>ZŠ U Červených domků - rekonstrukce teplovodů</v>
      </c>
      <c r="D2" s="82"/>
      <c r="E2" s="78" t="s">
        <v>756</v>
      </c>
      <c r="F2" s="78" t="str">
        <f>'Stavební rozpočet'!J2</f>
        <v>Město Hodonín,, Masarykovo nám. 53/1, 695 35 Hodon</v>
      </c>
      <c r="G2" s="79"/>
      <c r="H2" s="78" t="s">
        <v>574</v>
      </c>
      <c r="I2" s="72" t="s">
        <v>626</v>
      </c>
    </row>
    <row r="3" spans="1:9" ht="15" customHeight="1">
      <c r="A3" s="87"/>
      <c r="B3" s="51"/>
      <c r="C3" s="83"/>
      <c r="D3" s="83"/>
      <c r="E3" s="51"/>
      <c r="F3" s="51"/>
      <c r="G3" s="51"/>
      <c r="H3" s="51"/>
      <c r="I3" s="73"/>
    </row>
    <row r="4" spans="1:9" ht="15" customHeight="1">
      <c r="A4" s="88" t="s">
        <v>467</v>
      </c>
      <c r="B4" s="51"/>
      <c r="C4" s="50" t="str">
        <f>'Stavební rozpočet'!D4</f>
        <v>Rekonstrukce zdroje tepla a jeho distribuční sítě v areálu ZŠ U Červených domků</v>
      </c>
      <c r="D4" s="51"/>
      <c r="E4" s="50" t="s">
        <v>620</v>
      </c>
      <c r="F4" s="50" t="str">
        <f>'Stavební rozpočet'!J4</f>
        <v>VS-ingline, s.r.o.</v>
      </c>
      <c r="G4" s="51"/>
      <c r="H4" s="50" t="s">
        <v>574</v>
      </c>
      <c r="I4" s="73" t="s">
        <v>906</v>
      </c>
    </row>
    <row r="5" spans="1:9" ht="25.5" customHeight="1">
      <c r="A5" s="87"/>
      <c r="B5" s="51"/>
      <c r="C5" s="51"/>
      <c r="D5" s="51"/>
      <c r="E5" s="51"/>
      <c r="F5" s="51"/>
      <c r="G5" s="51"/>
      <c r="H5" s="51"/>
      <c r="I5" s="73"/>
    </row>
    <row r="6" spans="1:9" ht="15" customHeight="1">
      <c r="A6" s="88" t="s">
        <v>77</v>
      </c>
      <c r="B6" s="51"/>
      <c r="C6" s="50" t="str">
        <f>'Stavební rozpočet'!D6</f>
        <v>Hodonín, ZŠ U Červených domků</v>
      </c>
      <c r="D6" s="51"/>
      <c r="E6" s="50" t="s">
        <v>787</v>
      </c>
      <c r="F6" s="50" t="str">
        <f>'Stavební rozpočet'!J6</f>
        <v> </v>
      </c>
      <c r="G6" s="51"/>
      <c r="H6" s="50" t="s">
        <v>574</v>
      </c>
      <c r="I6" s="73" t="s">
        <v>626</v>
      </c>
    </row>
    <row r="7" spans="1:9" ht="15" customHeight="1">
      <c r="A7" s="87"/>
      <c r="B7" s="51"/>
      <c r="C7" s="51"/>
      <c r="D7" s="51"/>
      <c r="E7" s="51"/>
      <c r="F7" s="51"/>
      <c r="G7" s="51"/>
      <c r="H7" s="51"/>
      <c r="I7" s="73"/>
    </row>
    <row r="8" spans="1:9" ht="15" customHeight="1">
      <c r="A8" s="88" t="s">
        <v>797</v>
      </c>
      <c r="B8" s="51"/>
      <c r="C8" s="50" t="str">
        <f>'Stavební rozpočet'!H4</f>
        <v> </v>
      </c>
      <c r="D8" s="51"/>
      <c r="E8" s="50" t="s">
        <v>283</v>
      </c>
      <c r="F8" s="50" t="str">
        <f>'Stavební rozpočet'!H6</f>
        <v> </v>
      </c>
      <c r="G8" s="51"/>
      <c r="H8" s="51" t="s">
        <v>910</v>
      </c>
      <c r="I8" s="74">
        <v>484</v>
      </c>
    </row>
    <row r="9" spans="1:9" ht="15" customHeight="1">
      <c r="A9" s="87"/>
      <c r="B9" s="51"/>
      <c r="C9" s="51"/>
      <c r="D9" s="51"/>
      <c r="E9" s="51"/>
      <c r="F9" s="51"/>
      <c r="G9" s="51"/>
      <c r="H9" s="51"/>
      <c r="I9" s="73"/>
    </row>
    <row r="10" spans="1:9" ht="15" customHeight="1">
      <c r="A10" s="88" t="s">
        <v>420</v>
      </c>
      <c r="B10" s="51"/>
      <c r="C10" s="50" t="str">
        <f>'Stavební rozpočet'!D8</f>
        <v> </v>
      </c>
      <c r="D10" s="51"/>
      <c r="E10" s="50" t="s">
        <v>594</v>
      </c>
      <c r="F10" s="50" t="str">
        <f>'Stavební rozpočet'!J8</f>
        <v>Ing. Miloš Červený</v>
      </c>
      <c r="G10" s="51"/>
      <c r="H10" s="51" t="s">
        <v>877</v>
      </c>
      <c r="I10" s="75" t="str">
        <f>'Stavební rozpočet'!H8</f>
        <v>28.12.2023</v>
      </c>
    </row>
    <row r="11" spans="1:9" ht="15" customHeight="1">
      <c r="A11" s="89"/>
      <c r="B11" s="80"/>
      <c r="C11" s="80"/>
      <c r="D11" s="80"/>
      <c r="E11" s="80"/>
      <c r="F11" s="80"/>
      <c r="G11" s="80"/>
      <c r="H11" s="80"/>
      <c r="I11" s="76"/>
    </row>
    <row r="13" spans="1:5" ht="15.75" customHeight="1">
      <c r="A13" s="99" t="s">
        <v>335</v>
      </c>
      <c r="B13" s="99"/>
      <c r="C13" s="99"/>
      <c r="D13" s="99"/>
      <c r="E13" s="99"/>
    </row>
    <row r="14" spans="1:9" ht="15" customHeight="1">
      <c r="A14" s="100" t="s">
        <v>1013</v>
      </c>
      <c r="B14" s="101"/>
      <c r="C14" s="101"/>
      <c r="D14" s="101"/>
      <c r="E14" s="102"/>
      <c r="F14" s="23" t="s">
        <v>932</v>
      </c>
      <c r="G14" s="23" t="s">
        <v>791</v>
      </c>
      <c r="H14" s="23" t="s">
        <v>225</v>
      </c>
      <c r="I14" s="23" t="s">
        <v>932</v>
      </c>
    </row>
    <row r="15" spans="1:9" ht="15" customHeight="1">
      <c r="A15" s="89" t="s">
        <v>645</v>
      </c>
      <c r="B15" s="80"/>
      <c r="C15" s="80"/>
      <c r="D15" s="80"/>
      <c r="E15" s="76"/>
      <c r="F15" s="32">
        <v>0</v>
      </c>
      <c r="G15" s="5" t="s">
        <v>626</v>
      </c>
      <c r="H15" s="5" t="s">
        <v>626</v>
      </c>
      <c r="I15" s="32">
        <f>F15</f>
        <v>0</v>
      </c>
    </row>
    <row r="16" spans="1:9" ht="15" customHeight="1">
      <c r="A16" s="89" t="s">
        <v>89</v>
      </c>
      <c r="B16" s="80"/>
      <c r="C16" s="80"/>
      <c r="D16" s="80"/>
      <c r="E16" s="76"/>
      <c r="F16" s="32">
        <v>0</v>
      </c>
      <c r="G16" s="5" t="s">
        <v>626</v>
      </c>
      <c r="H16" s="5" t="s">
        <v>626</v>
      </c>
      <c r="I16" s="32">
        <f>F16</f>
        <v>0</v>
      </c>
    </row>
    <row r="17" spans="1:9" ht="15" customHeight="1">
      <c r="A17" s="87" t="s">
        <v>662</v>
      </c>
      <c r="B17" s="51"/>
      <c r="C17" s="51"/>
      <c r="D17" s="51"/>
      <c r="E17" s="73"/>
      <c r="F17" s="15">
        <v>0</v>
      </c>
      <c r="G17" s="2" t="s">
        <v>626</v>
      </c>
      <c r="H17" s="2" t="s">
        <v>626</v>
      </c>
      <c r="I17" s="15">
        <f>F17</f>
        <v>0</v>
      </c>
    </row>
    <row r="18" spans="1:9" ht="15" customHeight="1">
      <c r="A18" s="90" t="s">
        <v>966</v>
      </c>
      <c r="B18" s="91"/>
      <c r="C18" s="91"/>
      <c r="D18" s="91"/>
      <c r="E18" s="92"/>
      <c r="F18" s="9" t="s">
        <v>626</v>
      </c>
      <c r="G18" s="1" t="s">
        <v>626</v>
      </c>
      <c r="H18" s="1" t="s">
        <v>626</v>
      </c>
      <c r="I18" s="19">
        <f>SUM(I15:I17)</f>
        <v>0</v>
      </c>
    </row>
    <row r="20" spans="1:9" ht="15" customHeight="1">
      <c r="A20" s="100" t="s">
        <v>167</v>
      </c>
      <c r="B20" s="101"/>
      <c r="C20" s="101"/>
      <c r="D20" s="101"/>
      <c r="E20" s="102"/>
      <c r="F20" s="23" t="s">
        <v>932</v>
      </c>
      <c r="G20" s="23" t="s">
        <v>791</v>
      </c>
      <c r="H20" s="23" t="s">
        <v>225</v>
      </c>
      <c r="I20" s="23" t="s">
        <v>932</v>
      </c>
    </row>
    <row r="21" spans="1:9" ht="15" customHeight="1">
      <c r="A21" s="89" t="s">
        <v>95</v>
      </c>
      <c r="B21" s="80"/>
      <c r="C21" s="80"/>
      <c r="D21" s="80"/>
      <c r="E21" s="76"/>
      <c r="F21" s="32">
        <v>0</v>
      </c>
      <c r="G21" s="5" t="s">
        <v>626</v>
      </c>
      <c r="H21" s="5" t="s">
        <v>626</v>
      </c>
      <c r="I21" s="32">
        <f aca="true" t="shared" si="0" ref="I21:I26">F21</f>
        <v>0</v>
      </c>
    </row>
    <row r="22" spans="1:9" ht="15" customHeight="1">
      <c r="A22" s="89" t="s">
        <v>713</v>
      </c>
      <c r="B22" s="80"/>
      <c r="C22" s="80"/>
      <c r="D22" s="80"/>
      <c r="E22" s="76"/>
      <c r="F22" s="32">
        <v>0</v>
      </c>
      <c r="G22" s="5" t="s">
        <v>626</v>
      </c>
      <c r="H22" s="5" t="s">
        <v>626</v>
      </c>
      <c r="I22" s="32">
        <f t="shared" si="0"/>
        <v>0</v>
      </c>
    </row>
    <row r="23" spans="1:9" ht="15" customHeight="1">
      <c r="A23" s="89" t="s">
        <v>868</v>
      </c>
      <c r="B23" s="80"/>
      <c r="C23" s="80"/>
      <c r="D23" s="80"/>
      <c r="E23" s="76"/>
      <c r="F23" s="32">
        <v>0</v>
      </c>
      <c r="G23" s="5" t="s">
        <v>626</v>
      </c>
      <c r="H23" s="5" t="s">
        <v>626</v>
      </c>
      <c r="I23" s="32">
        <f t="shared" si="0"/>
        <v>0</v>
      </c>
    </row>
    <row r="24" spans="1:9" ht="15" customHeight="1">
      <c r="A24" s="89" t="s">
        <v>454</v>
      </c>
      <c r="B24" s="80"/>
      <c r="C24" s="80"/>
      <c r="D24" s="80"/>
      <c r="E24" s="76"/>
      <c r="F24" s="32">
        <v>0</v>
      </c>
      <c r="G24" s="5" t="s">
        <v>626</v>
      </c>
      <c r="H24" s="5" t="s">
        <v>626</v>
      </c>
      <c r="I24" s="32">
        <f t="shared" si="0"/>
        <v>0</v>
      </c>
    </row>
    <row r="25" spans="1:9" ht="15" customHeight="1">
      <c r="A25" s="89" t="s">
        <v>579</v>
      </c>
      <c r="B25" s="80"/>
      <c r="C25" s="80"/>
      <c r="D25" s="80"/>
      <c r="E25" s="76"/>
      <c r="F25" s="32">
        <v>0</v>
      </c>
      <c r="G25" s="5" t="s">
        <v>626</v>
      </c>
      <c r="H25" s="5" t="s">
        <v>626</v>
      </c>
      <c r="I25" s="32">
        <f t="shared" si="0"/>
        <v>0</v>
      </c>
    </row>
    <row r="26" spans="1:9" ht="15" customHeight="1">
      <c r="A26" s="87" t="s">
        <v>890</v>
      </c>
      <c r="B26" s="51"/>
      <c r="C26" s="51"/>
      <c r="D26" s="51"/>
      <c r="E26" s="73"/>
      <c r="F26" s="15">
        <v>0</v>
      </c>
      <c r="G26" s="2" t="s">
        <v>626</v>
      </c>
      <c r="H26" s="2" t="s">
        <v>626</v>
      </c>
      <c r="I26" s="15">
        <f t="shared" si="0"/>
        <v>0</v>
      </c>
    </row>
    <row r="27" spans="1:9" ht="15" customHeight="1">
      <c r="A27" s="90" t="s">
        <v>355</v>
      </c>
      <c r="B27" s="91"/>
      <c r="C27" s="91"/>
      <c r="D27" s="91"/>
      <c r="E27" s="92"/>
      <c r="F27" s="9" t="s">
        <v>626</v>
      </c>
      <c r="G27" s="1" t="s">
        <v>626</v>
      </c>
      <c r="H27" s="1" t="s">
        <v>626</v>
      </c>
      <c r="I27" s="19">
        <f>SUM(I21:I26)</f>
        <v>0</v>
      </c>
    </row>
    <row r="29" spans="1:9" ht="15.75" customHeight="1">
      <c r="A29" s="93" t="s">
        <v>943</v>
      </c>
      <c r="B29" s="94"/>
      <c r="C29" s="94"/>
      <c r="D29" s="94"/>
      <c r="E29" s="95"/>
      <c r="F29" s="96">
        <f>I18+I27</f>
        <v>0</v>
      </c>
      <c r="G29" s="97"/>
      <c r="H29" s="97"/>
      <c r="I29" s="98"/>
    </row>
    <row r="33" spans="1:5" ht="15.75" customHeight="1">
      <c r="A33" s="99" t="s">
        <v>29</v>
      </c>
      <c r="B33" s="99"/>
      <c r="C33" s="99"/>
      <c r="D33" s="99"/>
      <c r="E33" s="99"/>
    </row>
    <row r="34" spans="1:9" ht="15" customHeight="1">
      <c r="A34" s="100" t="s">
        <v>18</v>
      </c>
      <c r="B34" s="101"/>
      <c r="C34" s="101"/>
      <c r="D34" s="101"/>
      <c r="E34" s="102"/>
      <c r="F34" s="23" t="s">
        <v>932</v>
      </c>
      <c r="G34" s="23" t="s">
        <v>791</v>
      </c>
      <c r="H34" s="23" t="s">
        <v>225</v>
      </c>
      <c r="I34" s="23" t="s">
        <v>932</v>
      </c>
    </row>
    <row r="35" spans="1:9" ht="15" customHeight="1">
      <c r="A35" s="89" t="s">
        <v>410</v>
      </c>
      <c r="B35" s="80"/>
      <c r="C35" s="80"/>
      <c r="D35" s="80"/>
      <c r="E35" s="76"/>
      <c r="F35" s="32">
        <f>SUM('Stavební rozpočet'!BM12:BM591)</f>
        <v>0</v>
      </c>
      <c r="G35" s="5" t="s">
        <v>626</v>
      </c>
      <c r="H35" s="5" t="s">
        <v>626</v>
      </c>
      <c r="I35" s="32">
        <f aca="true" t="shared" si="1" ref="I35:I44">F35</f>
        <v>0</v>
      </c>
    </row>
    <row r="36" spans="1:9" ht="15" customHeight="1">
      <c r="A36" s="89" t="s">
        <v>778</v>
      </c>
      <c r="B36" s="80"/>
      <c r="C36" s="80"/>
      <c r="D36" s="80"/>
      <c r="E36" s="76"/>
      <c r="F36" s="32">
        <f>SUM('Stavební rozpočet'!BN12:BN591)</f>
        <v>0</v>
      </c>
      <c r="G36" s="5" t="s">
        <v>626</v>
      </c>
      <c r="H36" s="5" t="s">
        <v>626</v>
      </c>
      <c r="I36" s="32">
        <f t="shared" si="1"/>
        <v>0</v>
      </c>
    </row>
    <row r="37" spans="1:9" ht="15" customHeight="1">
      <c r="A37" s="89" t="s">
        <v>95</v>
      </c>
      <c r="B37" s="80"/>
      <c r="C37" s="80"/>
      <c r="D37" s="80"/>
      <c r="E37" s="76"/>
      <c r="F37" s="32">
        <f>SUM('Stavební rozpočet'!BO12:BO591)</f>
        <v>0</v>
      </c>
      <c r="G37" s="5" t="s">
        <v>626</v>
      </c>
      <c r="H37" s="5" t="s">
        <v>626</v>
      </c>
      <c r="I37" s="32">
        <f t="shared" si="1"/>
        <v>0</v>
      </c>
    </row>
    <row r="38" spans="1:9" ht="15" customHeight="1">
      <c r="A38" s="89" t="s">
        <v>743</v>
      </c>
      <c r="B38" s="80"/>
      <c r="C38" s="80"/>
      <c r="D38" s="80"/>
      <c r="E38" s="76"/>
      <c r="F38" s="32">
        <f>SUM('Stavební rozpočet'!BP12:BP591)</f>
        <v>0</v>
      </c>
      <c r="G38" s="5" t="s">
        <v>626</v>
      </c>
      <c r="H38" s="5" t="s">
        <v>626</v>
      </c>
      <c r="I38" s="32">
        <f t="shared" si="1"/>
        <v>0</v>
      </c>
    </row>
    <row r="39" spans="1:9" ht="15" customHeight="1">
      <c r="A39" s="89" t="s">
        <v>866</v>
      </c>
      <c r="B39" s="80"/>
      <c r="C39" s="80"/>
      <c r="D39" s="80"/>
      <c r="E39" s="76"/>
      <c r="F39" s="32">
        <f>SUM('Stavební rozpočet'!BQ12:BQ591)</f>
        <v>0</v>
      </c>
      <c r="G39" s="5" t="s">
        <v>626</v>
      </c>
      <c r="H39" s="5" t="s">
        <v>626</v>
      </c>
      <c r="I39" s="32">
        <f t="shared" si="1"/>
        <v>0</v>
      </c>
    </row>
    <row r="40" spans="1:9" ht="15" customHeight="1">
      <c r="A40" s="89" t="s">
        <v>868</v>
      </c>
      <c r="B40" s="80"/>
      <c r="C40" s="80"/>
      <c r="D40" s="80"/>
      <c r="E40" s="76"/>
      <c r="F40" s="32">
        <f>SUM('Stavební rozpočet'!BR12:BR591)</f>
        <v>0</v>
      </c>
      <c r="G40" s="5" t="s">
        <v>626</v>
      </c>
      <c r="H40" s="5" t="s">
        <v>626</v>
      </c>
      <c r="I40" s="32">
        <f t="shared" si="1"/>
        <v>0</v>
      </c>
    </row>
    <row r="41" spans="1:9" ht="15" customHeight="1">
      <c r="A41" s="89" t="s">
        <v>454</v>
      </c>
      <c r="B41" s="80"/>
      <c r="C41" s="80"/>
      <c r="D41" s="80"/>
      <c r="E41" s="76"/>
      <c r="F41" s="32">
        <f>SUM('Stavební rozpočet'!BS12:BS591)</f>
        <v>0</v>
      </c>
      <c r="G41" s="5" t="s">
        <v>626</v>
      </c>
      <c r="H41" s="5" t="s">
        <v>626</v>
      </c>
      <c r="I41" s="32">
        <f t="shared" si="1"/>
        <v>0</v>
      </c>
    </row>
    <row r="42" spans="1:9" ht="15" customHeight="1">
      <c r="A42" s="89" t="s">
        <v>1025</v>
      </c>
      <c r="B42" s="80"/>
      <c r="C42" s="80"/>
      <c r="D42" s="80"/>
      <c r="E42" s="76"/>
      <c r="F42" s="32">
        <f>SUM('Stavební rozpočet'!BT12:BT591)</f>
        <v>0</v>
      </c>
      <c r="G42" s="5" t="s">
        <v>626</v>
      </c>
      <c r="H42" s="5" t="s">
        <v>626</v>
      </c>
      <c r="I42" s="32">
        <f t="shared" si="1"/>
        <v>0</v>
      </c>
    </row>
    <row r="43" spans="1:9" ht="15" customHeight="1">
      <c r="A43" s="89" t="s">
        <v>236</v>
      </c>
      <c r="B43" s="80"/>
      <c r="C43" s="80"/>
      <c r="D43" s="80"/>
      <c r="E43" s="76"/>
      <c r="F43" s="32">
        <f>SUM('Stavební rozpočet'!BU12:BU591)</f>
        <v>0</v>
      </c>
      <c r="G43" s="5" t="s">
        <v>626</v>
      </c>
      <c r="H43" s="5" t="s">
        <v>626</v>
      </c>
      <c r="I43" s="32">
        <f t="shared" si="1"/>
        <v>0</v>
      </c>
    </row>
    <row r="44" spans="1:9" ht="15" customHeight="1">
      <c r="A44" s="87" t="s">
        <v>852</v>
      </c>
      <c r="B44" s="51"/>
      <c r="C44" s="51"/>
      <c r="D44" s="51"/>
      <c r="E44" s="73"/>
      <c r="F44" s="15">
        <f>SUM('Stavební rozpočet'!BV12:BV591)</f>
        <v>0</v>
      </c>
      <c r="G44" s="2" t="s">
        <v>626</v>
      </c>
      <c r="H44" s="2" t="s">
        <v>626</v>
      </c>
      <c r="I44" s="15">
        <f t="shared" si="1"/>
        <v>0</v>
      </c>
    </row>
    <row r="45" spans="1:9" ht="15" customHeight="1">
      <c r="A45" s="90" t="s">
        <v>687</v>
      </c>
      <c r="B45" s="91"/>
      <c r="C45" s="91"/>
      <c r="D45" s="91"/>
      <c r="E45" s="92"/>
      <c r="F45" s="9" t="s">
        <v>626</v>
      </c>
      <c r="G45" s="1" t="s">
        <v>626</v>
      </c>
      <c r="H45" s="1" t="s">
        <v>626</v>
      </c>
      <c r="I45" s="19">
        <f>SUM(I35:I44)</f>
        <v>0</v>
      </c>
    </row>
  </sheetData>
  <sheetProtection/>
  <mergeCells count="60">
    <mergeCell ref="A1:I1"/>
    <mergeCell ref="A2:B3"/>
    <mergeCell ref="A4:B5"/>
    <mergeCell ref="A6:B7"/>
    <mergeCell ref="A8:B9"/>
    <mergeCell ref="F6:G7"/>
    <mergeCell ref="F8:G9"/>
    <mergeCell ref="F10:G11"/>
    <mergeCell ref="E10:E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E2:E3"/>
    <mergeCell ref="E4:E5"/>
    <mergeCell ref="E6:E7"/>
    <mergeCell ref="F2:G3"/>
    <mergeCell ref="F4:G5"/>
    <mergeCell ref="A13:E13"/>
    <mergeCell ref="C2:D3"/>
    <mergeCell ref="C4:D5"/>
    <mergeCell ref="C6:D7"/>
    <mergeCell ref="C8:D9"/>
    <mergeCell ref="A14:E14"/>
    <mergeCell ref="A10:B11"/>
    <mergeCell ref="E8:E9"/>
    <mergeCell ref="C10:D11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3:E33"/>
    <mergeCell ref="A34:E34"/>
    <mergeCell ref="A35:E35"/>
    <mergeCell ref="A42:E42"/>
    <mergeCell ref="A43:E43"/>
    <mergeCell ref="A44:E44"/>
    <mergeCell ref="A45:E45"/>
    <mergeCell ref="A36:E36"/>
    <mergeCell ref="A37:E37"/>
    <mergeCell ref="A38:E38"/>
    <mergeCell ref="A39:E39"/>
    <mergeCell ref="A40:E40"/>
    <mergeCell ref="A41:E41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94"/>
  <sheetViews>
    <sheetView tabSelected="1" showOutlineSymbols="0" zoomScalePageLayoutView="0" workbookViewId="0" topLeftCell="A1">
      <pane ySplit="11" topLeftCell="A565" activePane="bottomLeft" state="frozen"/>
      <selection pane="topLeft" activeCell="A594" sqref="A594:K594"/>
      <selection pane="bottomLeft" activeCell="H2" sqref="H2:I592"/>
    </sheetView>
  </sheetViews>
  <sheetFormatPr defaultColWidth="14.33203125" defaultRowHeight="15" customHeight="1"/>
  <cols>
    <col min="1" max="1" width="4.66015625" style="0" customWidth="1"/>
    <col min="2" max="2" width="8.66015625" style="0" customWidth="1"/>
    <col min="3" max="3" width="20.66015625" style="0" customWidth="1"/>
    <col min="4" max="4" width="50" style="0" customWidth="1"/>
    <col min="5" max="5" width="41.66015625" style="0" customWidth="1"/>
    <col min="6" max="6" width="7.66015625" style="0" customWidth="1"/>
    <col min="7" max="7" width="15" style="0" customWidth="1"/>
    <col min="8" max="8" width="14" style="0" customWidth="1"/>
    <col min="9" max="9" width="18.16015625" style="0" customWidth="1"/>
    <col min="10" max="24" width="14.16015625" style="0" customWidth="1"/>
    <col min="25" max="75" width="14.16015625" style="0" hidden="1" customWidth="1"/>
    <col min="76" max="16384" width="14.16015625" style="0" customWidth="1"/>
  </cols>
  <sheetData>
    <row r="1" spans="1:47" ht="54.75" customHeight="1">
      <c r="A1" s="85" t="s">
        <v>814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AS1" s="31">
        <f>SUM(AJ1:AJ2)</f>
        <v>0</v>
      </c>
      <c r="AT1" s="31">
        <f>SUM(AK1:AK2)</f>
        <v>0</v>
      </c>
      <c r="AU1" s="31">
        <f>SUM(AL1:AL2)</f>
        <v>0</v>
      </c>
    </row>
    <row r="2" spans="1:11" ht="15" customHeight="1">
      <c r="A2" s="86" t="s">
        <v>67</v>
      </c>
      <c r="B2" s="79"/>
      <c r="C2" s="79"/>
      <c r="D2" s="81" t="s">
        <v>588</v>
      </c>
      <c r="E2" s="82"/>
      <c r="F2" s="79" t="s">
        <v>6</v>
      </c>
      <c r="G2" s="79"/>
      <c r="H2" s="110" t="s">
        <v>836</v>
      </c>
      <c r="I2" s="111" t="s">
        <v>756</v>
      </c>
      <c r="J2" s="78" t="s">
        <v>829</v>
      </c>
      <c r="K2" s="72"/>
    </row>
    <row r="3" spans="1:11" ht="15" customHeight="1">
      <c r="A3" s="87"/>
      <c r="B3" s="51"/>
      <c r="C3" s="51"/>
      <c r="D3" s="83"/>
      <c r="E3" s="83"/>
      <c r="F3" s="51"/>
      <c r="G3" s="51"/>
      <c r="H3" s="112"/>
      <c r="I3" s="112"/>
      <c r="J3" s="51"/>
      <c r="K3" s="73"/>
    </row>
    <row r="4" spans="1:11" ht="15" customHeight="1">
      <c r="A4" s="88" t="s">
        <v>467</v>
      </c>
      <c r="B4" s="51"/>
      <c r="C4" s="51"/>
      <c r="D4" s="50" t="s">
        <v>155</v>
      </c>
      <c r="E4" s="51"/>
      <c r="F4" s="51" t="s">
        <v>797</v>
      </c>
      <c r="G4" s="51"/>
      <c r="H4" s="112" t="s">
        <v>836</v>
      </c>
      <c r="I4" s="113" t="s">
        <v>620</v>
      </c>
      <c r="J4" s="50" t="s">
        <v>142</v>
      </c>
      <c r="K4" s="73"/>
    </row>
    <row r="5" spans="1:11" ht="15" customHeight="1">
      <c r="A5" s="87"/>
      <c r="B5" s="51"/>
      <c r="C5" s="51"/>
      <c r="D5" s="51"/>
      <c r="E5" s="51"/>
      <c r="F5" s="51"/>
      <c r="G5" s="51"/>
      <c r="H5" s="112"/>
      <c r="I5" s="112"/>
      <c r="J5" s="51"/>
      <c r="K5" s="73"/>
    </row>
    <row r="6" spans="1:11" ht="15" customHeight="1">
      <c r="A6" s="88" t="s">
        <v>77</v>
      </c>
      <c r="B6" s="51"/>
      <c r="C6" s="51"/>
      <c r="D6" s="50" t="s">
        <v>765</v>
      </c>
      <c r="E6" s="51"/>
      <c r="F6" s="51" t="s">
        <v>283</v>
      </c>
      <c r="G6" s="51"/>
      <c r="H6" s="112" t="s">
        <v>836</v>
      </c>
      <c r="I6" s="113" t="s">
        <v>787</v>
      </c>
      <c r="J6" s="51" t="s">
        <v>402</v>
      </c>
      <c r="K6" s="73"/>
    </row>
    <row r="7" spans="1:11" ht="15" customHeight="1">
      <c r="A7" s="87"/>
      <c r="B7" s="51"/>
      <c r="C7" s="51"/>
      <c r="D7" s="51"/>
      <c r="E7" s="51"/>
      <c r="F7" s="51"/>
      <c r="G7" s="51"/>
      <c r="H7" s="112"/>
      <c r="I7" s="112"/>
      <c r="J7" s="51"/>
      <c r="K7" s="73"/>
    </row>
    <row r="8" spans="1:11" ht="15" customHeight="1">
      <c r="A8" s="88" t="s">
        <v>420</v>
      </c>
      <c r="B8" s="51"/>
      <c r="C8" s="51"/>
      <c r="D8" s="50" t="s">
        <v>836</v>
      </c>
      <c r="E8" s="51"/>
      <c r="F8" s="51" t="s">
        <v>486</v>
      </c>
      <c r="G8" s="51"/>
      <c r="H8" s="112" t="s">
        <v>694</v>
      </c>
      <c r="I8" s="113" t="s">
        <v>594</v>
      </c>
      <c r="J8" s="50" t="s">
        <v>621</v>
      </c>
      <c r="K8" s="73"/>
    </row>
    <row r="9" spans="1:11" ht="15" customHeight="1">
      <c r="A9" s="87"/>
      <c r="B9" s="51"/>
      <c r="C9" s="51"/>
      <c r="D9" s="51"/>
      <c r="E9" s="51"/>
      <c r="F9" s="51"/>
      <c r="G9" s="51"/>
      <c r="H9" s="112"/>
      <c r="I9" s="112"/>
      <c r="J9" s="80"/>
      <c r="K9" s="76"/>
    </row>
    <row r="10" spans="1:75" ht="15" customHeight="1">
      <c r="A10" s="6" t="s">
        <v>72</v>
      </c>
      <c r="B10" s="42" t="s">
        <v>664</v>
      </c>
      <c r="C10" s="42" t="s">
        <v>294</v>
      </c>
      <c r="D10" s="108" t="s">
        <v>978</v>
      </c>
      <c r="E10" s="109"/>
      <c r="F10" s="42" t="s">
        <v>313</v>
      </c>
      <c r="G10" s="27" t="s">
        <v>533</v>
      </c>
      <c r="H10" s="114" t="s">
        <v>282</v>
      </c>
      <c r="I10" s="115" t="s">
        <v>567</v>
      </c>
      <c r="K10" s="8"/>
      <c r="BK10" s="21" t="s">
        <v>351</v>
      </c>
      <c r="BL10" s="14" t="s">
        <v>448</v>
      </c>
      <c r="BW10" s="14" t="s">
        <v>1002</v>
      </c>
    </row>
    <row r="11" spans="1:62" ht="15" customHeight="1">
      <c r="A11" s="4" t="s">
        <v>836</v>
      </c>
      <c r="B11" s="33" t="s">
        <v>836</v>
      </c>
      <c r="C11" s="33" t="s">
        <v>836</v>
      </c>
      <c r="D11" s="106" t="s">
        <v>903</v>
      </c>
      <c r="E11" s="107"/>
      <c r="F11" s="33" t="s">
        <v>836</v>
      </c>
      <c r="G11" s="33" t="s">
        <v>836</v>
      </c>
      <c r="H11" s="116" t="s">
        <v>860</v>
      </c>
      <c r="I11" s="117" t="s">
        <v>93</v>
      </c>
      <c r="K11" s="8"/>
      <c r="Z11" s="21" t="s">
        <v>704</v>
      </c>
      <c r="AA11" s="21" t="s">
        <v>548</v>
      </c>
      <c r="AB11" s="21" t="s">
        <v>931</v>
      </c>
      <c r="AC11" s="21" t="s">
        <v>249</v>
      </c>
      <c r="AD11" s="21" t="s">
        <v>768</v>
      </c>
      <c r="AE11" s="21" t="s">
        <v>332</v>
      </c>
      <c r="AF11" s="21" t="s">
        <v>809</v>
      </c>
      <c r="AG11" s="21" t="s">
        <v>377</v>
      </c>
      <c r="AH11" s="21" t="s">
        <v>234</v>
      </c>
      <c r="BH11" s="21" t="s">
        <v>705</v>
      </c>
      <c r="BI11" s="21" t="s">
        <v>912</v>
      </c>
      <c r="BJ11" s="21" t="s">
        <v>991</v>
      </c>
    </row>
    <row r="12" spans="1:11" ht="15" customHeight="1">
      <c r="A12" s="3" t="s">
        <v>626</v>
      </c>
      <c r="B12" s="43" t="s">
        <v>435</v>
      </c>
      <c r="C12" s="43" t="s">
        <v>626</v>
      </c>
      <c r="D12" s="103" t="s">
        <v>186</v>
      </c>
      <c r="E12" s="104"/>
      <c r="F12" s="37" t="s">
        <v>836</v>
      </c>
      <c r="G12" s="37" t="s">
        <v>836</v>
      </c>
      <c r="H12" s="118" t="s">
        <v>836</v>
      </c>
      <c r="I12" s="119">
        <f>I14+I17+I21+I23+I26</f>
        <v>0</v>
      </c>
      <c r="K12" s="8"/>
    </row>
    <row r="13" spans="1:35" ht="15" customHeight="1">
      <c r="A13" s="3" t="s">
        <v>626</v>
      </c>
      <c r="B13" s="43" t="s">
        <v>435</v>
      </c>
      <c r="C13" s="43" t="s">
        <v>626</v>
      </c>
      <c r="D13" s="103" t="s">
        <v>523</v>
      </c>
      <c r="E13" s="104"/>
      <c r="F13" s="37" t="s">
        <v>836</v>
      </c>
      <c r="G13" s="37" t="s">
        <v>836</v>
      </c>
      <c r="H13" s="118" t="s">
        <v>836</v>
      </c>
      <c r="I13" s="119">
        <f>I14+I17+I21+I23+I26</f>
        <v>0</v>
      </c>
      <c r="K13" s="8"/>
      <c r="AI13" s="21" t="s">
        <v>435</v>
      </c>
    </row>
    <row r="14" spans="1:47" ht="15" customHeight="1">
      <c r="A14" s="3" t="s">
        <v>626</v>
      </c>
      <c r="B14" s="43" t="s">
        <v>435</v>
      </c>
      <c r="C14" s="43" t="s">
        <v>660</v>
      </c>
      <c r="D14" s="103" t="s">
        <v>410</v>
      </c>
      <c r="E14" s="104"/>
      <c r="F14" s="37" t="s">
        <v>836</v>
      </c>
      <c r="G14" s="37" t="s">
        <v>836</v>
      </c>
      <c r="H14" s="118" t="s">
        <v>836</v>
      </c>
      <c r="I14" s="119">
        <f>SUM(I15:I16)</f>
        <v>0</v>
      </c>
      <c r="K14" s="8"/>
      <c r="AI14" s="21" t="s">
        <v>435</v>
      </c>
      <c r="AS14" s="31">
        <f>SUM(AJ15:AJ16)</f>
        <v>0</v>
      </c>
      <c r="AT14" s="31">
        <f>SUM(AK15:AK16)</f>
        <v>0</v>
      </c>
      <c r="AU14" s="31">
        <f>SUM(AL15:AL16)</f>
        <v>0</v>
      </c>
    </row>
    <row r="15" spans="1:75" ht="13.5" customHeight="1">
      <c r="A15" s="38" t="s">
        <v>893</v>
      </c>
      <c r="B15" s="39" t="s">
        <v>435</v>
      </c>
      <c r="C15" s="39" t="s">
        <v>631</v>
      </c>
      <c r="D15" s="50" t="s">
        <v>51</v>
      </c>
      <c r="E15" s="51"/>
      <c r="F15" s="39" t="s">
        <v>603</v>
      </c>
      <c r="G15" s="28">
        <v>1</v>
      </c>
      <c r="H15" s="120">
        <v>0</v>
      </c>
      <c r="I15" s="120">
        <f>G15*H15</f>
        <v>0</v>
      </c>
      <c r="K15" s="8"/>
      <c r="Z15" s="28">
        <f>IF(AQ15="5",BJ15,0)</f>
        <v>0</v>
      </c>
      <c r="AB15" s="28">
        <f>IF(AQ15="1",BH15,0)</f>
        <v>0</v>
      </c>
      <c r="AC15" s="28">
        <f>IF(AQ15="1",BI15,0)</f>
        <v>0</v>
      </c>
      <c r="AD15" s="28">
        <f>IF(AQ15="7",BH15,0)</f>
        <v>0</v>
      </c>
      <c r="AE15" s="28">
        <f>IF(AQ15="7",BI15,0)</f>
        <v>0</v>
      </c>
      <c r="AF15" s="28">
        <f>IF(AQ15="2",BH15,0)</f>
        <v>0</v>
      </c>
      <c r="AG15" s="28">
        <f>IF(AQ15="2",BI15,0)</f>
        <v>0</v>
      </c>
      <c r="AH15" s="28">
        <f>IF(AQ15="0",BJ15,0)</f>
        <v>0</v>
      </c>
      <c r="AI15" s="21" t="s">
        <v>435</v>
      </c>
      <c r="AJ15" s="28">
        <f>IF(AN15=0,I15,0)</f>
        <v>0</v>
      </c>
      <c r="AK15" s="28">
        <f>IF(AN15=12,I15,0)</f>
        <v>0</v>
      </c>
      <c r="AL15" s="28">
        <f>IF(AN15=21,I15,0)</f>
        <v>0</v>
      </c>
      <c r="AN15" s="28">
        <v>21</v>
      </c>
      <c r="AO15" s="28">
        <f>H15*0</f>
        <v>0</v>
      </c>
      <c r="AP15" s="28">
        <f>H15*(1-0)</f>
        <v>0</v>
      </c>
      <c r="AQ15" s="30" t="s">
        <v>408</v>
      </c>
      <c r="AV15" s="28">
        <f>AW15+AX15</f>
        <v>0</v>
      </c>
      <c r="AW15" s="28">
        <f>G15*AO15</f>
        <v>0</v>
      </c>
      <c r="AX15" s="28">
        <f>G15*AP15</f>
        <v>0</v>
      </c>
      <c r="AY15" s="30" t="s">
        <v>418</v>
      </c>
      <c r="AZ15" s="30" t="s">
        <v>403</v>
      </c>
      <c r="BA15" s="21" t="s">
        <v>706</v>
      </c>
      <c r="BC15" s="28">
        <f>AW15+AX15</f>
        <v>0</v>
      </c>
      <c r="BD15" s="28">
        <f>H15/(100-BE15)*100</f>
        <v>0</v>
      </c>
      <c r="BE15" s="28">
        <v>0</v>
      </c>
      <c r="BF15" s="28">
        <f>15</f>
        <v>15</v>
      </c>
      <c r="BH15" s="28">
        <f>G15*AO15</f>
        <v>0</v>
      </c>
      <c r="BI15" s="28">
        <f>G15*AP15</f>
        <v>0</v>
      </c>
      <c r="BJ15" s="28">
        <f>G15*H15</f>
        <v>0</v>
      </c>
      <c r="BK15" s="28"/>
      <c r="BL15" s="28"/>
      <c r="BM15" s="28">
        <f>G15*H15</f>
        <v>0</v>
      </c>
      <c r="BW15" s="28">
        <v>21</v>
      </c>
    </row>
    <row r="16" spans="1:75" ht="13.5" customHeight="1">
      <c r="A16" s="38" t="s">
        <v>619</v>
      </c>
      <c r="B16" s="39" t="s">
        <v>435</v>
      </c>
      <c r="C16" s="39" t="s">
        <v>413</v>
      </c>
      <c r="D16" s="50" t="s">
        <v>936</v>
      </c>
      <c r="E16" s="51"/>
      <c r="F16" s="39" t="s">
        <v>603</v>
      </c>
      <c r="G16" s="28">
        <v>1</v>
      </c>
      <c r="H16" s="120">
        <v>0</v>
      </c>
      <c r="I16" s="120">
        <f>G16*H16</f>
        <v>0</v>
      </c>
      <c r="K16" s="8"/>
      <c r="Z16" s="28">
        <f>IF(AQ16="5",BJ16,0)</f>
        <v>0</v>
      </c>
      <c r="AB16" s="28">
        <f>IF(AQ16="1",BH16,0)</f>
        <v>0</v>
      </c>
      <c r="AC16" s="28">
        <f>IF(AQ16="1",BI16,0)</f>
        <v>0</v>
      </c>
      <c r="AD16" s="28">
        <f>IF(AQ16="7",BH16,0)</f>
        <v>0</v>
      </c>
      <c r="AE16" s="28">
        <f>IF(AQ16="7",BI16,0)</f>
        <v>0</v>
      </c>
      <c r="AF16" s="28">
        <f>IF(AQ16="2",BH16,0)</f>
        <v>0</v>
      </c>
      <c r="AG16" s="28">
        <f>IF(AQ16="2",BI16,0)</f>
        <v>0</v>
      </c>
      <c r="AH16" s="28">
        <f>IF(AQ16="0",BJ16,0)</f>
        <v>0</v>
      </c>
      <c r="AI16" s="21" t="s">
        <v>435</v>
      </c>
      <c r="AJ16" s="28">
        <f>IF(AN16=0,I16,0)</f>
        <v>0</v>
      </c>
      <c r="AK16" s="28">
        <f>IF(AN16=12,I16,0)</f>
        <v>0</v>
      </c>
      <c r="AL16" s="28">
        <f>IF(AN16=21,I16,0)</f>
        <v>0</v>
      </c>
      <c r="AN16" s="28">
        <v>21</v>
      </c>
      <c r="AO16" s="28">
        <f>H16*0</f>
        <v>0</v>
      </c>
      <c r="AP16" s="28">
        <f>H16*(1-0)</f>
        <v>0</v>
      </c>
      <c r="AQ16" s="30" t="s">
        <v>408</v>
      </c>
      <c r="AV16" s="28">
        <f>AW16+AX16</f>
        <v>0</v>
      </c>
      <c r="AW16" s="28">
        <f>G16*AO16</f>
        <v>0</v>
      </c>
      <c r="AX16" s="28">
        <f>G16*AP16</f>
        <v>0</v>
      </c>
      <c r="AY16" s="30" t="s">
        <v>418</v>
      </c>
      <c r="AZ16" s="30" t="s">
        <v>403</v>
      </c>
      <c r="BA16" s="21" t="s">
        <v>706</v>
      </c>
      <c r="BC16" s="28">
        <f>AW16+AX16</f>
        <v>0</v>
      </c>
      <c r="BD16" s="28">
        <f>H16/(100-BE16)*100</f>
        <v>0</v>
      </c>
      <c r="BE16" s="28">
        <v>0</v>
      </c>
      <c r="BF16" s="28">
        <f>16</f>
        <v>16</v>
      </c>
      <c r="BH16" s="28">
        <f>G16*AO16</f>
        <v>0</v>
      </c>
      <c r="BI16" s="28">
        <f>G16*AP16</f>
        <v>0</v>
      </c>
      <c r="BJ16" s="28">
        <f>G16*H16</f>
        <v>0</v>
      </c>
      <c r="BK16" s="28"/>
      <c r="BL16" s="28"/>
      <c r="BM16" s="28">
        <f>G16*H16</f>
        <v>0</v>
      </c>
      <c r="BW16" s="28">
        <v>21</v>
      </c>
    </row>
    <row r="17" spans="1:47" ht="15" customHeight="1">
      <c r="A17" s="3" t="s">
        <v>626</v>
      </c>
      <c r="B17" s="43" t="s">
        <v>435</v>
      </c>
      <c r="C17" s="43" t="s">
        <v>303</v>
      </c>
      <c r="D17" s="103" t="s">
        <v>778</v>
      </c>
      <c r="E17" s="104"/>
      <c r="F17" s="37" t="s">
        <v>836</v>
      </c>
      <c r="G17" s="37" t="s">
        <v>836</v>
      </c>
      <c r="H17" s="118" t="s">
        <v>836</v>
      </c>
      <c r="I17" s="119">
        <f>SUM(I18:I20)</f>
        <v>0</v>
      </c>
      <c r="K17" s="8"/>
      <c r="AI17" s="21" t="s">
        <v>435</v>
      </c>
      <c r="AS17" s="31">
        <f>SUM(AJ18:AJ20)</f>
        <v>0</v>
      </c>
      <c r="AT17" s="31">
        <f>SUM(AK18:AK20)</f>
        <v>0</v>
      </c>
      <c r="AU17" s="31">
        <f>SUM(AL18:AL20)</f>
        <v>0</v>
      </c>
    </row>
    <row r="18" spans="1:75" ht="13.5" customHeight="1">
      <c r="A18" s="38" t="s">
        <v>779</v>
      </c>
      <c r="B18" s="39" t="s">
        <v>435</v>
      </c>
      <c r="C18" s="39" t="s">
        <v>959</v>
      </c>
      <c r="D18" s="50" t="s">
        <v>778</v>
      </c>
      <c r="E18" s="51"/>
      <c r="F18" s="39" t="s">
        <v>603</v>
      </c>
      <c r="G18" s="28">
        <v>1</v>
      </c>
      <c r="H18" s="120">
        <v>0</v>
      </c>
      <c r="I18" s="120">
        <f>G18*H18</f>
        <v>0</v>
      </c>
      <c r="K18" s="8"/>
      <c r="Z18" s="28">
        <f>IF(AQ18="5",BJ18,0)</f>
        <v>0</v>
      </c>
      <c r="AB18" s="28">
        <f>IF(AQ18="1",BH18,0)</f>
        <v>0</v>
      </c>
      <c r="AC18" s="28">
        <f>IF(AQ18="1",BI18,0)</f>
        <v>0</v>
      </c>
      <c r="AD18" s="28">
        <f>IF(AQ18="7",BH18,0)</f>
        <v>0</v>
      </c>
      <c r="AE18" s="28">
        <f>IF(AQ18="7",BI18,0)</f>
        <v>0</v>
      </c>
      <c r="AF18" s="28">
        <f>IF(AQ18="2",BH18,0)</f>
        <v>0</v>
      </c>
      <c r="AG18" s="28">
        <f>IF(AQ18="2",BI18,0)</f>
        <v>0</v>
      </c>
      <c r="AH18" s="28">
        <f>IF(AQ18="0",BJ18,0)</f>
        <v>0</v>
      </c>
      <c r="AI18" s="21" t="s">
        <v>435</v>
      </c>
      <c r="AJ18" s="28">
        <f>IF(AN18=0,I18,0)</f>
        <v>0</v>
      </c>
      <c r="AK18" s="28">
        <f>IF(AN18=12,I18,0)</f>
        <v>0</v>
      </c>
      <c r="AL18" s="28">
        <f>IF(AN18=21,I18,0)</f>
        <v>0</v>
      </c>
      <c r="AN18" s="28">
        <v>21</v>
      </c>
      <c r="AO18" s="28">
        <f>H18*0</f>
        <v>0</v>
      </c>
      <c r="AP18" s="28">
        <f>H18*(1-0)</f>
        <v>0</v>
      </c>
      <c r="AQ18" s="30" t="s">
        <v>408</v>
      </c>
      <c r="AV18" s="28">
        <f>AW18+AX18</f>
        <v>0</v>
      </c>
      <c r="AW18" s="28">
        <f>G18*AO18</f>
        <v>0</v>
      </c>
      <c r="AX18" s="28">
        <f>G18*AP18</f>
        <v>0</v>
      </c>
      <c r="AY18" s="30" t="s">
        <v>146</v>
      </c>
      <c r="AZ18" s="30" t="s">
        <v>403</v>
      </c>
      <c r="BA18" s="21" t="s">
        <v>706</v>
      </c>
      <c r="BC18" s="28">
        <f>AW18+AX18</f>
        <v>0</v>
      </c>
      <c r="BD18" s="28">
        <f>H18/(100-BE18)*100</f>
        <v>0</v>
      </c>
      <c r="BE18" s="28">
        <v>0</v>
      </c>
      <c r="BF18" s="28">
        <f>18</f>
        <v>18</v>
      </c>
      <c r="BH18" s="28">
        <f>G18*AO18</f>
        <v>0</v>
      </c>
      <c r="BI18" s="28">
        <f>G18*AP18</f>
        <v>0</v>
      </c>
      <c r="BJ18" s="28">
        <f>G18*H18</f>
        <v>0</v>
      </c>
      <c r="BK18" s="28"/>
      <c r="BL18" s="28"/>
      <c r="BN18" s="28">
        <f>G18*H18</f>
        <v>0</v>
      </c>
      <c r="BW18" s="28">
        <v>21</v>
      </c>
    </row>
    <row r="19" spans="1:75" ht="13.5" customHeight="1">
      <c r="A19" s="38" t="s">
        <v>105</v>
      </c>
      <c r="B19" s="39" t="s">
        <v>435</v>
      </c>
      <c r="C19" s="39" t="s">
        <v>637</v>
      </c>
      <c r="D19" s="50" t="s">
        <v>326</v>
      </c>
      <c r="E19" s="51"/>
      <c r="F19" s="39" t="s">
        <v>603</v>
      </c>
      <c r="G19" s="28">
        <v>1</v>
      </c>
      <c r="H19" s="120">
        <v>0</v>
      </c>
      <c r="I19" s="120">
        <f>G19*H19</f>
        <v>0</v>
      </c>
      <c r="K19" s="8"/>
      <c r="Z19" s="28">
        <f>IF(AQ19="5",BJ19,0)</f>
        <v>0</v>
      </c>
      <c r="AB19" s="28">
        <f>IF(AQ19="1",BH19,0)</f>
        <v>0</v>
      </c>
      <c r="AC19" s="28">
        <f>IF(AQ19="1",BI19,0)</f>
        <v>0</v>
      </c>
      <c r="AD19" s="28">
        <f>IF(AQ19="7",BH19,0)</f>
        <v>0</v>
      </c>
      <c r="AE19" s="28">
        <f>IF(AQ19="7",BI19,0)</f>
        <v>0</v>
      </c>
      <c r="AF19" s="28">
        <f>IF(AQ19="2",BH19,0)</f>
        <v>0</v>
      </c>
      <c r="AG19" s="28">
        <f>IF(AQ19="2",BI19,0)</f>
        <v>0</v>
      </c>
      <c r="AH19" s="28">
        <f>IF(AQ19="0",BJ19,0)</f>
        <v>0</v>
      </c>
      <c r="AI19" s="21" t="s">
        <v>435</v>
      </c>
      <c r="AJ19" s="28">
        <f>IF(AN19=0,I19,0)</f>
        <v>0</v>
      </c>
      <c r="AK19" s="28">
        <f>IF(AN19=12,I19,0)</f>
        <v>0</v>
      </c>
      <c r="AL19" s="28">
        <f>IF(AN19=21,I19,0)</f>
        <v>0</v>
      </c>
      <c r="AN19" s="28">
        <v>21</v>
      </c>
      <c r="AO19" s="28">
        <f>H19*0.157894736842105</f>
        <v>0</v>
      </c>
      <c r="AP19" s="28">
        <f>H19*(1-0.157894736842105)</f>
        <v>0</v>
      </c>
      <c r="AQ19" s="30" t="s">
        <v>408</v>
      </c>
      <c r="AV19" s="28">
        <f>AW19+AX19</f>
        <v>0</v>
      </c>
      <c r="AW19" s="28">
        <f>G19*AO19</f>
        <v>0</v>
      </c>
      <c r="AX19" s="28">
        <f>G19*AP19</f>
        <v>0</v>
      </c>
      <c r="AY19" s="30" t="s">
        <v>146</v>
      </c>
      <c r="AZ19" s="30" t="s">
        <v>403</v>
      </c>
      <c r="BA19" s="21" t="s">
        <v>706</v>
      </c>
      <c r="BC19" s="28">
        <f>AW19+AX19</f>
        <v>0</v>
      </c>
      <c r="BD19" s="28">
        <f>H19/(100-BE19)*100</f>
        <v>0</v>
      </c>
      <c r="BE19" s="28">
        <v>0</v>
      </c>
      <c r="BF19" s="28">
        <f>19</f>
        <v>19</v>
      </c>
      <c r="BH19" s="28">
        <f>G19*AO19</f>
        <v>0</v>
      </c>
      <c r="BI19" s="28">
        <f>G19*AP19</f>
        <v>0</v>
      </c>
      <c r="BJ19" s="28">
        <f>G19*H19</f>
        <v>0</v>
      </c>
      <c r="BK19" s="28"/>
      <c r="BL19" s="28"/>
      <c r="BN19" s="28">
        <f>G19*H19</f>
        <v>0</v>
      </c>
      <c r="BW19" s="28">
        <v>21</v>
      </c>
    </row>
    <row r="20" spans="1:75" ht="27" customHeight="1">
      <c r="A20" s="38" t="s">
        <v>455</v>
      </c>
      <c r="B20" s="39" t="s">
        <v>435</v>
      </c>
      <c r="C20" s="39" t="s">
        <v>253</v>
      </c>
      <c r="D20" s="50" t="s">
        <v>31</v>
      </c>
      <c r="E20" s="51"/>
      <c r="F20" s="39" t="s">
        <v>603</v>
      </c>
      <c r="G20" s="28">
        <v>1</v>
      </c>
      <c r="H20" s="120">
        <v>0</v>
      </c>
      <c r="I20" s="120">
        <f>G20*H20</f>
        <v>0</v>
      </c>
      <c r="K20" s="8"/>
      <c r="Z20" s="28">
        <f>IF(AQ20="5",BJ20,0)</f>
        <v>0</v>
      </c>
      <c r="AB20" s="28">
        <f>IF(AQ20="1",BH20,0)</f>
        <v>0</v>
      </c>
      <c r="AC20" s="28">
        <f>IF(AQ20="1",BI20,0)</f>
        <v>0</v>
      </c>
      <c r="AD20" s="28">
        <f>IF(AQ20="7",BH20,0)</f>
        <v>0</v>
      </c>
      <c r="AE20" s="28">
        <f>IF(AQ20="7",BI20,0)</f>
        <v>0</v>
      </c>
      <c r="AF20" s="28">
        <f>IF(AQ20="2",BH20,0)</f>
        <v>0</v>
      </c>
      <c r="AG20" s="28">
        <f>IF(AQ20="2",BI20,0)</f>
        <v>0</v>
      </c>
      <c r="AH20" s="28">
        <f>IF(AQ20="0",BJ20,0)</f>
        <v>0</v>
      </c>
      <c r="AI20" s="21" t="s">
        <v>435</v>
      </c>
      <c r="AJ20" s="28">
        <f>IF(AN20=0,I20,0)</f>
        <v>0</v>
      </c>
      <c r="AK20" s="28">
        <f>IF(AN20=12,I20,0)</f>
        <v>0</v>
      </c>
      <c r="AL20" s="28">
        <f>IF(AN20=21,I20,0)</f>
        <v>0</v>
      </c>
      <c r="AN20" s="28">
        <v>21</v>
      </c>
      <c r="AO20" s="28">
        <f>H20*0</f>
        <v>0</v>
      </c>
      <c r="AP20" s="28">
        <f>H20*(1-0)</f>
        <v>0</v>
      </c>
      <c r="AQ20" s="30" t="s">
        <v>408</v>
      </c>
      <c r="AV20" s="28">
        <f>AW20+AX20</f>
        <v>0</v>
      </c>
      <c r="AW20" s="28">
        <f>G20*AO20</f>
        <v>0</v>
      </c>
      <c r="AX20" s="28">
        <f>G20*AP20</f>
        <v>0</v>
      </c>
      <c r="AY20" s="30" t="s">
        <v>146</v>
      </c>
      <c r="AZ20" s="30" t="s">
        <v>403</v>
      </c>
      <c r="BA20" s="21" t="s">
        <v>706</v>
      </c>
      <c r="BC20" s="28">
        <f>AW20+AX20</f>
        <v>0</v>
      </c>
      <c r="BD20" s="28">
        <f>H20/(100-BE20)*100</f>
        <v>0</v>
      </c>
      <c r="BE20" s="28">
        <v>0</v>
      </c>
      <c r="BF20" s="28">
        <f>20</f>
        <v>20</v>
      </c>
      <c r="BH20" s="28">
        <f>G20*AO20</f>
        <v>0</v>
      </c>
      <c r="BI20" s="28">
        <f>G20*AP20</f>
        <v>0</v>
      </c>
      <c r="BJ20" s="28">
        <f>G20*H20</f>
        <v>0</v>
      </c>
      <c r="BK20" s="28"/>
      <c r="BL20" s="28"/>
      <c r="BN20" s="28">
        <f>G20*H20</f>
        <v>0</v>
      </c>
      <c r="BW20" s="28">
        <v>21</v>
      </c>
    </row>
    <row r="21" spans="1:47" ht="15" customHeight="1">
      <c r="A21" s="3" t="s">
        <v>626</v>
      </c>
      <c r="B21" s="43" t="s">
        <v>435</v>
      </c>
      <c r="C21" s="43" t="s">
        <v>48</v>
      </c>
      <c r="D21" s="103" t="s">
        <v>95</v>
      </c>
      <c r="E21" s="104"/>
      <c r="F21" s="37" t="s">
        <v>836</v>
      </c>
      <c r="G21" s="37" t="s">
        <v>836</v>
      </c>
      <c r="H21" s="118" t="s">
        <v>836</v>
      </c>
      <c r="I21" s="119">
        <f>SUM(I22:I22)</f>
        <v>0</v>
      </c>
      <c r="K21" s="8"/>
      <c r="AI21" s="21" t="s">
        <v>435</v>
      </c>
      <c r="AS21" s="31">
        <f>SUM(AJ22:AJ22)</f>
        <v>0</v>
      </c>
      <c r="AT21" s="31">
        <f>SUM(AK22:AK22)</f>
        <v>0</v>
      </c>
      <c r="AU21" s="31">
        <f>SUM(AL22:AL22)</f>
        <v>0</v>
      </c>
    </row>
    <row r="22" spans="1:75" ht="13.5" customHeight="1">
      <c r="A22" s="38" t="s">
        <v>152</v>
      </c>
      <c r="B22" s="39" t="s">
        <v>435</v>
      </c>
      <c r="C22" s="39" t="s">
        <v>416</v>
      </c>
      <c r="D22" s="50" t="s">
        <v>433</v>
      </c>
      <c r="E22" s="51"/>
      <c r="F22" s="39" t="s">
        <v>603</v>
      </c>
      <c r="G22" s="28">
        <v>1</v>
      </c>
      <c r="H22" s="120">
        <v>0</v>
      </c>
      <c r="I22" s="120">
        <f>G22*H22</f>
        <v>0</v>
      </c>
      <c r="K22" s="8"/>
      <c r="Z22" s="28">
        <f>IF(AQ22="5",BJ22,0)</f>
        <v>0</v>
      </c>
      <c r="AB22" s="28">
        <f>IF(AQ22="1",BH22,0)</f>
        <v>0</v>
      </c>
      <c r="AC22" s="28">
        <f>IF(AQ22="1",BI22,0)</f>
        <v>0</v>
      </c>
      <c r="AD22" s="28">
        <f>IF(AQ22="7",BH22,0)</f>
        <v>0</v>
      </c>
      <c r="AE22" s="28">
        <f>IF(AQ22="7",BI22,0)</f>
        <v>0</v>
      </c>
      <c r="AF22" s="28">
        <f>IF(AQ22="2",BH22,0)</f>
        <v>0</v>
      </c>
      <c r="AG22" s="28">
        <f>IF(AQ22="2",BI22,0)</f>
        <v>0</v>
      </c>
      <c r="AH22" s="28">
        <f>IF(AQ22="0",BJ22,0)</f>
        <v>0</v>
      </c>
      <c r="AI22" s="21" t="s">
        <v>435</v>
      </c>
      <c r="AJ22" s="28">
        <f>IF(AN22=0,I22,0)</f>
        <v>0</v>
      </c>
      <c r="AK22" s="28">
        <f>IF(AN22=12,I22,0)</f>
        <v>0</v>
      </c>
      <c r="AL22" s="28">
        <f>IF(AN22=21,I22,0)</f>
        <v>0</v>
      </c>
      <c r="AN22" s="28">
        <v>21</v>
      </c>
      <c r="AO22" s="28">
        <f>H22*0</f>
        <v>0</v>
      </c>
      <c r="AP22" s="28">
        <f>H22*(1-0)</f>
        <v>0</v>
      </c>
      <c r="AQ22" s="30" t="s">
        <v>408</v>
      </c>
      <c r="AV22" s="28">
        <f>AW22+AX22</f>
        <v>0</v>
      </c>
      <c r="AW22" s="28">
        <f>G22*AO22</f>
        <v>0</v>
      </c>
      <c r="AX22" s="28">
        <f>G22*AP22</f>
        <v>0</v>
      </c>
      <c r="AY22" s="30" t="s">
        <v>213</v>
      </c>
      <c r="AZ22" s="30" t="s">
        <v>403</v>
      </c>
      <c r="BA22" s="21" t="s">
        <v>706</v>
      </c>
      <c r="BC22" s="28">
        <f>AW22+AX22</f>
        <v>0</v>
      </c>
      <c r="BD22" s="28">
        <f>H22/(100-BE22)*100</f>
        <v>0</v>
      </c>
      <c r="BE22" s="28">
        <v>0</v>
      </c>
      <c r="BF22" s="28">
        <f>22</f>
        <v>22</v>
      </c>
      <c r="BH22" s="28">
        <f>G22*AO22</f>
        <v>0</v>
      </c>
      <c r="BI22" s="28">
        <f>G22*AP22</f>
        <v>0</v>
      </c>
      <c r="BJ22" s="28">
        <f>G22*H22</f>
        <v>0</v>
      </c>
      <c r="BK22" s="28"/>
      <c r="BL22" s="28"/>
      <c r="BO22" s="28">
        <f>G22*H22</f>
        <v>0</v>
      </c>
      <c r="BW22" s="28">
        <v>21</v>
      </c>
    </row>
    <row r="23" spans="1:47" ht="15" customHeight="1">
      <c r="A23" s="3" t="s">
        <v>626</v>
      </c>
      <c r="B23" s="43" t="s">
        <v>435</v>
      </c>
      <c r="C23" s="43" t="s">
        <v>295</v>
      </c>
      <c r="D23" s="103" t="s">
        <v>743</v>
      </c>
      <c r="E23" s="104"/>
      <c r="F23" s="37" t="s">
        <v>836</v>
      </c>
      <c r="G23" s="37" t="s">
        <v>836</v>
      </c>
      <c r="H23" s="118" t="s">
        <v>836</v>
      </c>
      <c r="I23" s="119">
        <f>SUM(I24:I25)</f>
        <v>0</v>
      </c>
      <c r="K23" s="8"/>
      <c r="AI23" s="21" t="s">
        <v>435</v>
      </c>
      <c r="AS23" s="31">
        <f>SUM(AJ24:AJ25)</f>
        <v>0</v>
      </c>
      <c r="AT23" s="31">
        <f>SUM(AK24:AK25)</f>
        <v>0</v>
      </c>
      <c r="AU23" s="31">
        <f>SUM(AL24:AL25)</f>
        <v>0</v>
      </c>
    </row>
    <row r="24" spans="1:75" ht="13.5" customHeight="1">
      <c r="A24" s="38" t="s">
        <v>900</v>
      </c>
      <c r="B24" s="39" t="s">
        <v>435</v>
      </c>
      <c r="C24" s="39" t="s">
        <v>606</v>
      </c>
      <c r="D24" s="50" t="s">
        <v>739</v>
      </c>
      <c r="E24" s="51"/>
      <c r="F24" s="39" t="s">
        <v>603</v>
      </c>
      <c r="G24" s="28">
        <v>1</v>
      </c>
      <c r="H24" s="120">
        <v>0</v>
      </c>
      <c r="I24" s="120">
        <f>G24*H24</f>
        <v>0</v>
      </c>
      <c r="K24" s="8"/>
      <c r="Z24" s="28">
        <f>IF(AQ24="5",BJ24,0)</f>
        <v>0</v>
      </c>
      <c r="AB24" s="28">
        <f>IF(AQ24="1",BH24,0)</f>
        <v>0</v>
      </c>
      <c r="AC24" s="28">
        <f>IF(AQ24="1",BI24,0)</f>
        <v>0</v>
      </c>
      <c r="AD24" s="28">
        <f>IF(AQ24="7",BH24,0)</f>
        <v>0</v>
      </c>
      <c r="AE24" s="28">
        <f>IF(AQ24="7",BI24,0)</f>
        <v>0</v>
      </c>
      <c r="AF24" s="28">
        <f>IF(AQ24="2",BH24,0)</f>
        <v>0</v>
      </c>
      <c r="AG24" s="28">
        <f>IF(AQ24="2",BI24,0)</f>
        <v>0</v>
      </c>
      <c r="AH24" s="28">
        <f>IF(AQ24="0",BJ24,0)</f>
        <v>0</v>
      </c>
      <c r="AI24" s="21" t="s">
        <v>435</v>
      </c>
      <c r="AJ24" s="28">
        <f>IF(AN24=0,I24,0)</f>
        <v>0</v>
      </c>
      <c r="AK24" s="28">
        <f>IF(AN24=12,I24,0)</f>
        <v>0</v>
      </c>
      <c r="AL24" s="28">
        <f>IF(AN24=21,I24,0)</f>
        <v>0</v>
      </c>
      <c r="AN24" s="28">
        <v>21</v>
      </c>
      <c r="AO24" s="28">
        <f>H24*0.1</f>
        <v>0</v>
      </c>
      <c r="AP24" s="28">
        <f>H24*(1-0.1)</f>
        <v>0</v>
      </c>
      <c r="AQ24" s="30" t="s">
        <v>408</v>
      </c>
      <c r="AV24" s="28">
        <f>AW24+AX24</f>
        <v>0</v>
      </c>
      <c r="AW24" s="28">
        <f>G24*AO24</f>
        <v>0</v>
      </c>
      <c r="AX24" s="28">
        <f>G24*AP24</f>
        <v>0</v>
      </c>
      <c r="AY24" s="30" t="s">
        <v>747</v>
      </c>
      <c r="AZ24" s="30" t="s">
        <v>403</v>
      </c>
      <c r="BA24" s="21" t="s">
        <v>706</v>
      </c>
      <c r="BC24" s="28">
        <f>AW24+AX24</f>
        <v>0</v>
      </c>
      <c r="BD24" s="28">
        <f>H24/(100-BE24)*100</f>
        <v>0</v>
      </c>
      <c r="BE24" s="28">
        <v>0</v>
      </c>
      <c r="BF24" s="28">
        <f>24</f>
        <v>24</v>
      </c>
      <c r="BH24" s="28">
        <f>G24*AO24</f>
        <v>0</v>
      </c>
      <c r="BI24" s="28">
        <f>G24*AP24</f>
        <v>0</v>
      </c>
      <c r="BJ24" s="28">
        <f>G24*H24</f>
        <v>0</v>
      </c>
      <c r="BK24" s="28"/>
      <c r="BL24" s="28"/>
      <c r="BP24" s="28">
        <f>G24*H24</f>
        <v>0</v>
      </c>
      <c r="BW24" s="28">
        <v>21</v>
      </c>
    </row>
    <row r="25" spans="1:75" ht="13.5" customHeight="1">
      <c r="A25" s="38" t="s">
        <v>712</v>
      </c>
      <c r="B25" s="39" t="s">
        <v>435</v>
      </c>
      <c r="C25" s="39" t="s">
        <v>239</v>
      </c>
      <c r="D25" s="50" t="s">
        <v>653</v>
      </c>
      <c r="E25" s="51"/>
      <c r="F25" s="39" t="s">
        <v>603</v>
      </c>
      <c r="G25" s="28">
        <v>1</v>
      </c>
      <c r="H25" s="120">
        <v>0</v>
      </c>
      <c r="I25" s="120">
        <f>G25*H25</f>
        <v>0</v>
      </c>
      <c r="K25" s="8"/>
      <c r="Z25" s="28">
        <f>IF(AQ25="5",BJ25,0)</f>
        <v>0</v>
      </c>
      <c r="AB25" s="28">
        <f>IF(AQ25="1",BH25,0)</f>
        <v>0</v>
      </c>
      <c r="AC25" s="28">
        <f>IF(AQ25="1",BI25,0)</f>
        <v>0</v>
      </c>
      <c r="AD25" s="28">
        <f>IF(AQ25="7",BH25,0)</f>
        <v>0</v>
      </c>
      <c r="AE25" s="28">
        <f>IF(AQ25="7",BI25,0)</f>
        <v>0</v>
      </c>
      <c r="AF25" s="28">
        <f>IF(AQ25="2",BH25,0)</f>
        <v>0</v>
      </c>
      <c r="AG25" s="28">
        <f>IF(AQ25="2",BI25,0)</f>
        <v>0</v>
      </c>
      <c r="AH25" s="28">
        <f>IF(AQ25="0",BJ25,0)</f>
        <v>0</v>
      </c>
      <c r="AI25" s="21" t="s">
        <v>435</v>
      </c>
      <c r="AJ25" s="28">
        <f>IF(AN25=0,I25,0)</f>
        <v>0</v>
      </c>
      <c r="AK25" s="28">
        <f>IF(AN25=12,I25,0)</f>
        <v>0</v>
      </c>
      <c r="AL25" s="28">
        <f>IF(AN25=21,I25,0)</f>
        <v>0</v>
      </c>
      <c r="AN25" s="28">
        <v>21</v>
      </c>
      <c r="AO25" s="28">
        <f>H25*0</f>
        <v>0</v>
      </c>
      <c r="AP25" s="28">
        <f>H25*(1-0)</f>
        <v>0</v>
      </c>
      <c r="AQ25" s="30" t="s">
        <v>408</v>
      </c>
      <c r="AV25" s="28">
        <f>AW25+AX25</f>
        <v>0</v>
      </c>
      <c r="AW25" s="28">
        <f>G25*AO25</f>
        <v>0</v>
      </c>
      <c r="AX25" s="28">
        <f>G25*AP25</f>
        <v>0</v>
      </c>
      <c r="AY25" s="30" t="s">
        <v>747</v>
      </c>
      <c r="AZ25" s="30" t="s">
        <v>403</v>
      </c>
      <c r="BA25" s="21" t="s">
        <v>706</v>
      </c>
      <c r="BC25" s="28">
        <f>AW25+AX25</f>
        <v>0</v>
      </c>
      <c r="BD25" s="28">
        <f>H25/(100-BE25)*100</f>
        <v>0</v>
      </c>
      <c r="BE25" s="28">
        <v>0</v>
      </c>
      <c r="BF25" s="28">
        <f>25</f>
        <v>25</v>
      </c>
      <c r="BH25" s="28">
        <f>G25*AO25</f>
        <v>0</v>
      </c>
      <c r="BI25" s="28">
        <f>G25*AP25</f>
        <v>0</v>
      </c>
      <c r="BJ25" s="28">
        <f>G25*H25</f>
        <v>0</v>
      </c>
      <c r="BK25" s="28"/>
      <c r="BL25" s="28"/>
      <c r="BP25" s="28">
        <f>G25*H25</f>
        <v>0</v>
      </c>
      <c r="BW25" s="28">
        <v>21</v>
      </c>
    </row>
    <row r="26" spans="1:47" ht="15" customHeight="1">
      <c r="A26" s="3" t="s">
        <v>626</v>
      </c>
      <c r="B26" s="43" t="s">
        <v>435</v>
      </c>
      <c r="C26" s="43" t="s">
        <v>214</v>
      </c>
      <c r="D26" s="103" t="s">
        <v>236</v>
      </c>
      <c r="E26" s="104"/>
      <c r="F26" s="37" t="s">
        <v>836</v>
      </c>
      <c r="G26" s="37" t="s">
        <v>836</v>
      </c>
      <c r="H26" s="118" t="s">
        <v>836</v>
      </c>
      <c r="I26" s="119">
        <f>SUM(I27:I27)</f>
        <v>0</v>
      </c>
      <c r="K26" s="8"/>
      <c r="AI26" s="21" t="s">
        <v>435</v>
      </c>
      <c r="AS26" s="31">
        <f>SUM(AJ27:AJ27)</f>
        <v>0</v>
      </c>
      <c r="AT26" s="31">
        <f>SUM(AK27:AK27)</f>
        <v>0</v>
      </c>
      <c r="AU26" s="31">
        <f>SUM(AL27:AL27)</f>
        <v>0</v>
      </c>
    </row>
    <row r="27" spans="1:75" ht="13.5" customHeight="1">
      <c r="A27" s="38" t="s">
        <v>337</v>
      </c>
      <c r="B27" s="39" t="s">
        <v>435</v>
      </c>
      <c r="C27" s="39" t="s">
        <v>288</v>
      </c>
      <c r="D27" s="50" t="s">
        <v>863</v>
      </c>
      <c r="E27" s="51"/>
      <c r="F27" s="39" t="s">
        <v>603</v>
      </c>
      <c r="G27" s="28">
        <v>1</v>
      </c>
      <c r="H27" s="120">
        <v>0</v>
      </c>
      <c r="I27" s="120">
        <f>G27*H27</f>
        <v>0</v>
      </c>
      <c r="K27" s="8"/>
      <c r="Z27" s="28">
        <f>IF(AQ27="5",BJ27,0)</f>
        <v>0</v>
      </c>
      <c r="AB27" s="28">
        <f>IF(AQ27="1",BH27,0)</f>
        <v>0</v>
      </c>
      <c r="AC27" s="28">
        <f>IF(AQ27="1",BI27,0)</f>
        <v>0</v>
      </c>
      <c r="AD27" s="28">
        <f>IF(AQ27="7",BH27,0)</f>
        <v>0</v>
      </c>
      <c r="AE27" s="28">
        <f>IF(AQ27="7",BI27,0)</f>
        <v>0</v>
      </c>
      <c r="AF27" s="28">
        <f>IF(AQ27="2",BH27,0)</f>
        <v>0</v>
      </c>
      <c r="AG27" s="28">
        <f>IF(AQ27="2",BI27,0)</f>
        <v>0</v>
      </c>
      <c r="AH27" s="28">
        <f>IF(AQ27="0",BJ27,0)</f>
        <v>0</v>
      </c>
      <c r="AI27" s="21" t="s">
        <v>435</v>
      </c>
      <c r="AJ27" s="28">
        <f>IF(AN27=0,I27,0)</f>
        <v>0</v>
      </c>
      <c r="AK27" s="28">
        <f>IF(AN27=12,I27,0)</f>
        <v>0</v>
      </c>
      <c r="AL27" s="28">
        <f>IF(AN27=21,I27,0)</f>
        <v>0</v>
      </c>
      <c r="AN27" s="28">
        <v>21</v>
      </c>
      <c r="AO27" s="28">
        <f>H27*0</f>
        <v>0</v>
      </c>
      <c r="AP27" s="28">
        <f>H27*(1-0)</f>
        <v>0</v>
      </c>
      <c r="AQ27" s="30" t="s">
        <v>408</v>
      </c>
      <c r="AV27" s="28">
        <f>AW27+AX27</f>
        <v>0</v>
      </c>
      <c r="AW27" s="28">
        <f>G27*AO27</f>
        <v>0</v>
      </c>
      <c r="AX27" s="28">
        <f>G27*AP27</f>
        <v>0</v>
      </c>
      <c r="AY27" s="30" t="s">
        <v>642</v>
      </c>
      <c r="AZ27" s="30" t="s">
        <v>403</v>
      </c>
      <c r="BA27" s="21" t="s">
        <v>706</v>
      </c>
      <c r="BC27" s="28">
        <f>AW27+AX27</f>
        <v>0</v>
      </c>
      <c r="BD27" s="28">
        <f>H27/(100-BE27)*100</f>
        <v>0</v>
      </c>
      <c r="BE27" s="28">
        <v>0</v>
      </c>
      <c r="BF27" s="28">
        <f>27</f>
        <v>27</v>
      </c>
      <c r="BH27" s="28">
        <f>G27*AO27</f>
        <v>0</v>
      </c>
      <c r="BI27" s="28">
        <f>G27*AP27</f>
        <v>0</v>
      </c>
      <c r="BJ27" s="28">
        <f>G27*H27</f>
        <v>0</v>
      </c>
      <c r="BK27" s="28"/>
      <c r="BL27" s="28"/>
      <c r="BU27" s="28">
        <f>G27*H27</f>
        <v>0</v>
      </c>
      <c r="BW27" s="28">
        <v>21</v>
      </c>
    </row>
    <row r="28" spans="1:11" ht="15" customHeight="1">
      <c r="A28" s="3" t="s">
        <v>626</v>
      </c>
      <c r="B28" s="43" t="s">
        <v>986</v>
      </c>
      <c r="C28" s="43" t="s">
        <v>626</v>
      </c>
      <c r="D28" s="103" t="s">
        <v>269</v>
      </c>
      <c r="E28" s="104"/>
      <c r="F28" s="37" t="s">
        <v>836</v>
      </c>
      <c r="G28" s="37" t="s">
        <v>836</v>
      </c>
      <c r="H28" s="118" t="s">
        <v>836</v>
      </c>
      <c r="I28" s="119">
        <f>I29+I31+I33+I43+I48+I51</f>
        <v>0</v>
      </c>
      <c r="K28" s="8"/>
    </row>
    <row r="29" spans="1:47" ht="15" customHeight="1">
      <c r="A29" s="3" t="s">
        <v>626</v>
      </c>
      <c r="B29" s="43" t="s">
        <v>986</v>
      </c>
      <c r="C29" s="43" t="s">
        <v>451</v>
      </c>
      <c r="D29" s="103" t="s">
        <v>538</v>
      </c>
      <c r="E29" s="104"/>
      <c r="F29" s="37" t="s">
        <v>836</v>
      </c>
      <c r="G29" s="37" t="s">
        <v>836</v>
      </c>
      <c r="H29" s="118" t="s">
        <v>836</v>
      </c>
      <c r="I29" s="119">
        <f>SUM(I30:I30)</f>
        <v>0</v>
      </c>
      <c r="K29" s="8"/>
      <c r="AI29" s="21" t="s">
        <v>986</v>
      </c>
      <c r="AS29" s="31">
        <f>SUM(AJ30:AJ30)</f>
        <v>0</v>
      </c>
      <c r="AT29" s="31">
        <f>SUM(AK30:AK30)</f>
        <v>0</v>
      </c>
      <c r="AU29" s="31">
        <f>SUM(AL30:AL30)</f>
        <v>0</v>
      </c>
    </row>
    <row r="30" spans="1:75" ht="13.5" customHeight="1">
      <c r="A30" s="38" t="s">
        <v>505</v>
      </c>
      <c r="B30" s="39" t="s">
        <v>986</v>
      </c>
      <c r="C30" s="39" t="s">
        <v>755</v>
      </c>
      <c r="D30" s="50" t="s">
        <v>277</v>
      </c>
      <c r="E30" s="51"/>
      <c r="F30" s="39" t="s">
        <v>311</v>
      </c>
      <c r="G30" s="28">
        <v>1</v>
      </c>
      <c r="H30" s="120">
        <v>0</v>
      </c>
      <c r="I30" s="120">
        <f>G30*H30</f>
        <v>0</v>
      </c>
      <c r="K30" s="8"/>
      <c r="Z30" s="28">
        <f>IF(AQ30="5",BJ30,0)</f>
        <v>0</v>
      </c>
      <c r="AB30" s="28">
        <f>IF(AQ30="1",BH30,0)</f>
        <v>0</v>
      </c>
      <c r="AC30" s="28">
        <f>IF(AQ30="1",BI30,0)</f>
        <v>0</v>
      </c>
      <c r="AD30" s="28">
        <f>IF(AQ30="7",BH30,0)</f>
        <v>0</v>
      </c>
      <c r="AE30" s="28">
        <f>IF(AQ30="7",BI30,0)</f>
        <v>0</v>
      </c>
      <c r="AF30" s="28">
        <f>IF(AQ30="2",BH30,0)</f>
        <v>0</v>
      </c>
      <c r="AG30" s="28">
        <f>IF(AQ30="2",BI30,0)</f>
        <v>0</v>
      </c>
      <c r="AH30" s="28">
        <f>IF(AQ30="0",BJ30,0)</f>
        <v>0</v>
      </c>
      <c r="AI30" s="21" t="s">
        <v>986</v>
      </c>
      <c r="AJ30" s="28">
        <f>IF(AN30=0,I30,0)</f>
        <v>0</v>
      </c>
      <c r="AK30" s="28">
        <f>IF(AN30=12,I30,0)</f>
        <v>0</v>
      </c>
      <c r="AL30" s="28">
        <f>IF(AN30=21,I30,0)</f>
        <v>0</v>
      </c>
      <c r="AN30" s="28">
        <v>21</v>
      </c>
      <c r="AO30" s="28">
        <f>H30*0.166666666666667</f>
        <v>0</v>
      </c>
      <c r="AP30" s="28">
        <f>H30*(1-0.166666666666667)</f>
        <v>0</v>
      </c>
      <c r="AQ30" s="30" t="s">
        <v>893</v>
      </c>
      <c r="AV30" s="28">
        <f>AW30+AX30</f>
        <v>0</v>
      </c>
      <c r="AW30" s="28">
        <f>G30*AO30</f>
        <v>0</v>
      </c>
      <c r="AX30" s="28">
        <f>G30*AP30</f>
        <v>0</v>
      </c>
      <c r="AY30" s="30" t="s">
        <v>792</v>
      </c>
      <c r="AZ30" s="30" t="s">
        <v>604</v>
      </c>
      <c r="BA30" s="21" t="s">
        <v>460</v>
      </c>
      <c r="BC30" s="28">
        <f>AW30+AX30</f>
        <v>0</v>
      </c>
      <c r="BD30" s="28">
        <f>H30/(100-BE30)*100</f>
        <v>0</v>
      </c>
      <c r="BE30" s="28">
        <v>0</v>
      </c>
      <c r="BF30" s="28">
        <f>30</f>
        <v>30</v>
      </c>
      <c r="BH30" s="28">
        <f>G30*AO30</f>
        <v>0</v>
      </c>
      <c r="BI30" s="28">
        <f>G30*AP30</f>
        <v>0</v>
      </c>
      <c r="BJ30" s="28">
        <f>G30*H30</f>
        <v>0</v>
      </c>
      <c r="BK30" s="28"/>
      <c r="BL30" s="28">
        <v>0</v>
      </c>
      <c r="BW30" s="28">
        <v>21</v>
      </c>
    </row>
    <row r="31" spans="1:47" ht="15" customHeight="1">
      <c r="A31" s="3" t="s">
        <v>626</v>
      </c>
      <c r="B31" s="43" t="s">
        <v>986</v>
      </c>
      <c r="C31" s="43" t="s">
        <v>724</v>
      </c>
      <c r="D31" s="103" t="s">
        <v>775</v>
      </c>
      <c r="E31" s="104"/>
      <c r="F31" s="37" t="s">
        <v>836</v>
      </c>
      <c r="G31" s="37" t="s">
        <v>836</v>
      </c>
      <c r="H31" s="118" t="s">
        <v>836</v>
      </c>
      <c r="I31" s="119">
        <f>SUM(I32:I32)</f>
        <v>0</v>
      </c>
      <c r="K31" s="8"/>
      <c r="AI31" s="21" t="s">
        <v>986</v>
      </c>
      <c r="AS31" s="31">
        <f>SUM(AJ32:AJ32)</f>
        <v>0</v>
      </c>
      <c r="AT31" s="31">
        <f>SUM(AK32:AK32)</f>
        <v>0</v>
      </c>
      <c r="AU31" s="31">
        <f>SUM(AL32:AL32)</f>
        <v>0</v>
      </c>
    </row>
    <row r="32" spans="1:75" ht="13.5" customHeight="1">
      <c r="A32" s="38" t="s">
        <v>748</v>
      </c>
      <c r="B32" s="39" t="s">
        <v>986</v>
      </c>
      <c r="C32" s="39" t="s">
        <v>431</v>
      </c>
      <c r="D32" s="50" t="s">
        <v>549</v>
      </c>
      <c r="E32" s="51"/>
      <c r="F32" s="39" t="s">
        <v>741</v>
      </c>
      <c r="G32" s="28">
        <v>48</v>
      </c>
      <c r="H32" s="120">
        <v>0</v>
      </c>
      <c r="I32" s="120">
        <f>G32*H32</f>
        <v>0</v>
      </c>
      <c r="K32" s="8"/>
      <c r="Z32" s="28">
        <f>IF(AQ32="5",BJ32,0)</f>
        <v>0</v>
      </c>
      <c r="AB32" s="28">
        <f>IF(AQ32="1",BH32,0)</f>
        <v>0</v>
      </c>
      <c r="AC32" s="28">
        <f>IF(AQ32="1",BI32,0)</f>
        <v>0</v>
      </c>
      <c r="AD32" s="28">
        <f>IF(AQ32="7",BH32,0)</f>
        <v>0</v>
      </c>
      <c r="AE32" s="28">
        <f>IF(AQ32="7",BI32,0)</f>
        <v>0</v>
      </c>
      <c r="AF32" s="28">
        <f>IF(AQ32="2",BH32,0)</f>
        <v>0</v>
      </c>
      <c r="AG32" s="28">
        <f>IF(AQ32="2",BI32,0)</f>
        <v>0</v>
      </c>
      <c r="AH32" s="28">
        <f>IF(AQ32="0",BJ32,0)</f>
        <v>0</v>
      </c>
      <c r="AI32" s="21" t="s">
        <v>986</v>
      </c>
      <c r="AJ32" s="28">
        <f>IF(AN32=0,I32,0)</f>
        <v>0</v>
      </c>
      <c r="AK32" s="28">
        <f>IF(AN32=12,I32,0)</f>
        <v>0</v>
      </c>
      <c r="AL32" s="28">
        <f>IF(AN32=21,I32,0)</f>
        <v>0</v>
      </c>
      <c r="AN32" s="28">
        <v>21</v>
      </c>
      <c r="AO32" s="28">
        <f>H32*0</f>
        <v>0</v>
      </c>
      <c r="AP32" s="28">
        <f>H32*(1-0)</f>
        <v>0</v>
      </c>
      <c r="AQ32" s="30" t="s">
        <v>900</v>
      </c>
      <c r="AV32" s="28">
        <f>AW32+AX32</f>
        <v>0</v>
      </c>
      <c r="AW32" s="28">
        <f>G32*AO32</f>
        <v>0</v>
      </c>
      <c r="AX32" s="28">
        <f>G32*AP32</f>
        <v>0</v>
      </c>
      <c r="AY32" s="30" t="s">
        <v>698</v>
      </c>
      <c r="AZ32" s="30" t="s">
        <v>36</v>
      </c>
      <c r="BA32" s="21" t="s">
        <v>460</v>
      </c>
      <c r="BC32" s="28">
        <f>AW32+AX32</f>
        <v>0</v>
      </c>
      <c r="BD32" s="28">
        <f>H32/(100-BE32)*100</f>
        <v>0</v>
      </c>
      <c r="BE32" s="28">
        <v>0</v>
      </c>
      <c r="BF32" s="28">
        <f>32</f>
        <v>32</v>
      </c>
      <c r="BH32" s="28">
        <f>G32*AO32</f>
        <v>0</v>
      </c>
      <c r="BI32" s="28">
        <f>G32*AP32</f>
        <v>0</v>
      </c>
      <c r="BJ32" s="28">
        <f>G32*H32</f>
        <v>0</v>
      </c>
      <c r="BK32" s="28"/>
      <c r="BL32" s="28">
        <v>713</v>
      </c>
      <c r="BW32" s="28">
        <v>21</v>
      </c>
    </row>
    <row r="33" spans="1:47" ht="15" customHeight="1">
      <c r="A33" s="3" t="s">
        <v>626</v>
      </c>
      <c r="B33" s="43" t="s">
        <v>986</v>
      </c>
      <c r="C33" s="43" t="s">
        <v>595</v>
      </c>
      <c r="D33" s="103" t="s">
        <v>898</v>
      </c>
      <c r="E33" s="104"/>
      <c r="F33" s="37" t="s">
        <v>836</v>
      </c>
      <c r="G33" s="37" t="s">
        <v>836</v>
      </c>
      <c r="H33" s="118" t="s">
        <v>836</v>
      </c>
      <c r="I33" s="119">
        <f>SUM(I34:I42)</f>
        <v>0</v>
      </c>
      <c r="K33" s="8"/>
      <c r="AI33" s="21" t="s">
        <v>986</v>
      </c>
      <c r="AS33" s="31">
        <f>SUM(AJ34:AJ42)</f>
        <v>0</v>
      </c>
      <c r="AT33" s="31">
        <f>SUM(AK34:AK42)</f>
        <v>0</v>
      </c>
      <c r="AU33" s="31">
        <f>SUM(AL34:AL42)</f>
        <v>0</v>
      </c>
    </row>
    <row r="34" spans="1:75" ht="13.5" customHeight="1">
      <c r="A34" s="38" t="s">
        <v>659</v>
      </c>
      <c r="B34" s="39" t="s">
        <v>986</v>
      </c>
      <c r="C34" s="39" t="s">
        <v>526</v>
      </c>
      <c r="D34" s="50" t="s">
        <v>98</v>
      </c>
      <c r="E34" s="51"/>
      <c r="F34" s="39" t="s">
        <v>228</v>
      </c>
      <c r="G34" s="28">
        <v>1</v>
      </c>
      <c r="H34" s="120">
        <v>0</v>
      </c>
      <c r="I34" s="120">
        <f aca="true" t="shared" si="0" ref="I34:I42">G34*H34</f>
        <v>0</v>
      </c>
      <c r="K34" s="8"/>
      <c r="Z34" s="28">
        <f aca="true" t="shared" si="1" ref="Z34:Z42">IF(AQ34="5",BJ34,0)</f>
        <v>0</v>
      </c>
      <c r="AB34" s="28">
        <f aca="true" t="shared" si="2" ref="AB34:AB42">IF(AQ34="1",BH34,0)</f>
        <v>0</v>
      </c>
      <c r="AC34" s="28">
        <f aca="true" t="shared" si="3" ref="AC34:AC42">IF(AQ34="1",BI34,0)</f>
        <v>0</v>
      </c>
      <c r="AD34" s="28">
        <f aca="true" t="shared" si="4" ref="AD34:AD42">IF(AQ34="7",BH34,0)</f>
        <v>0</v>
      </c>
      <c r="AE34" s="28">
        <f aca="true" t="shared" si="5" ref="AE34:AE42">IF(AQ34="7",BI34,0)</f>
        <v>0</v>
      </c>
      <c r="AF34" s="28">
        <f aca="true" t="shared" si="6" ref="AF34:AF42">IF(AQ34="2",BH34,0)</f>
        <v>0</v>
      </c>
      <c r="AG34" s="28">
        <f aca="true" t="shared" si="7" ref="AG34:AG42">IF(AQ34="2",BI34,0)</f>
        <v>0</v>
      </c>
      <c r="AH34" s="28">
        <f aca="true" t="shared" si="8" ref="AH34:AH42">IF(AQ34="0",BJ34,0)</f>
        <v>0</v>
      </c>
      <c r="AI34" s="21" t="s">
        <v>986</v>
      </c>
      <c r="AJ34" s="28">
        <f aca="true" t="shared" si="9" ref="AJ34:AJ42">IF(AN34=0,I34,0)</f>
        <v>0</v>
      </c>
      <c r="AK34" s="28">
        <f aca="true" t="shared" si="10" ref="AK34:AK42">IF(AN34=12,I34,0)</f>
        <v>0</v>
      </c>
      <c r="AL34" s="28">
        <f aca="true" t="shared" si="11" ref="AL34:AL42">IF(AN34=21,I34,0)</f>
        <v>0</v>
      </c>
      <c r="AN34" s="28">
        <v>21</v>
      </c>
      <c r="AO34" s="28">
        <f>H34*0</f>
        <v>0</v>
      </c>
      <c r="AP34" s="28">
        <f>H34*(1-0)</f>
        <v>0</v>
      </c>
      <c r="AQ34" s="30" t="s">
        <v>900</v>
      </c>
      <c r="AV34" s="28">
        <f aca="true" t="shared" si="12" ref="AV34:AV42">AW34+AX34</f>
        <v>0</v>
      </c>
      <c r="AW34" s="28">
        <f aca="true" t="shared" si="13" ref="AW34:AW42">G34*AO34</f>
        <v>0</v>
      </c>
      <c r="AX34" s="28">
        <f aca="true" t="shared" si="14" ref="AX34:AX42">G34*AP34</f>
        <v>0</v>
      </c>
      <c r="AY34" s="30" t="s">
        <v>399</v>
      </c>
      <c r="AZ34" s="30" t="s">
        <v>925</v>
      </c>
      <c r="BA34" s="21" t="s">
        <v>460</v>
      </c>
      <c r="BC34" s="28">
        <f aca="true" t="shared" si="15" ref="BC34:BC42">AW34+AX34</f>
        <v>0</v>
      </c>
      <c r="BD34" s="28">
        <f aca="true" t="shared" si="16" ref="BD34:BD42">H34/(100-BE34)*100</f>
        <v>0</v>
      </c>
      <c r="BE34" s="28">
        <v>0</v>
      </c>
      <c r="BF34" s="28">
        <f>34</f>
        <v>34</v>
      </c>
      <c r="BH34" s="28">
        <f aca="true" t="shared" si="17" ref="BH34:BH42">G34*AO34</f>
        <v>0</v>
      </c>
      <c r="BI34" s="28">
        <f aca="true" t="shared" si="18" ref="BI34:BI42">G34*AP34</f>
        <v>0</v>
      </c>
      <c r="BJ34" s="28">
        <f aca="true" t="shared" si="19" ref="BJ34:BJ42">G34*H34</f>
        <v>0</v>
      </c>
      <c r="BK34" s="28"/>
      <c r="BL34" s="28">
        <v>732</v>
      </c>
      <c r="BW34" s="28">
        <v>21</v>
      </c>
    </row>
    <row r="35" spans="1:75" ht="13.5" customHeight="1">
      <c r="A35" s="38" t="s">
        <v>261</v>
      </c>
      <c r="B35" s="39" t="s">
        <v>986</v>
      </c>
      <c r="C35" s="39" t="s">
        <v>840</v>
      </c>
      <c r="D35" s="50" t="s">
        <v>721</v>
      </c>
      <c r="E35" s="51"/>
      <c r="F35" s="39" t="s">
        <v>228</v>
      </c>
      <c r="G35" s="28">
        <v>2</v>
      </c>
      <c r="H35" s="120">
        <v>0</v>
      </c>
      <c r="I35" s="120">
        <f t="shared" si="0"/>
        <v>0</v>
      </c>
      <c r="K35" s="8"/>
      <c r="Z35" s="28">
        <f t="shared" si="1"/>
        <v>0</v>
      </c>
      <c r="AB35" s="28">
        <f t="shared" si="2"/>
        <v>0</v>
      </c>
      <c r="AC35" s="28">
        <f t="shared" si="3"/>
        <v>0</v>
      </c>
      <c r="AD35" s="28">
        <f t="shared" si="4"/>
        <v>0</v>
      </c>
      <c r="AE35" s="28">
        <f t="shared" si="5"/>
        <v>0</v>
      </c>
      <c r="AF35" s="28">
        <f t="shared" si="6"/>
        <v>0</v>
      </c>
      <c r="AG35" s="28">
        <f t="shared" si="7"/>
        <v>0</v>
      </c>
      <c r="AH35" s="28">
        <f t="shared" si="8"/>
        <v>0</v>
      </c>
      <c r="AI35" s="21" t="s">
        <v>986</v>
      </c>
      <c r="AJ35" s="28">
        <f t="shared" si="9"/>
        <v>0</v>
      </c>
      <c r="AK35" s="28">
        <f t="shared" si="10"/>
        <v>0</v>
      </c>
      <c r="AL35" s="28">
        <f t="shared" si="11"/>
        <v>0</v>
      </c>
      <c r="AN35" s="28">
        <v>21</v>
      </c>
      <c r="AO35" s="28">
        <f>H35*0</f>
        <v>0</v>
      </c>
      <c r="AP35" s="28">
        <f>H35*(1-0)</f>
        <v>0</v>
      </c>
      <c r="AQ35" s="30" t="s">
        <v>900</v>
      </c>
      <c r="AV35" s="28">
        <f t="shared" si="12"/>
        <v>0</v>
      </c>
      <c r="AW35" s="28">
        <f t="shared" si="13"/>
        <v>0</v>
      </c>
      <c r="AX35" s="28">
        <f t="shared" si="14"/>
        <v>0</v>
      </c>
      <c r="AY35" s="30" t="s">
        <v>399</v>
      </c>
      <c r="AZ35" s="30" t="s">
        <v>925</v>
      </c>
      <c r="BA35" s="21" t="s">
        <v>460</v>
      </c>
      <c r="BC35" s="28">
        <f t="shared" si="15"/>
        <v>0</v>
      </c>
      <c r="BD35" s="28">
        <f t="shared" si="16"/>
        <v>0</v>
      </c>
      <c r="BE35" s="28">
        <v>0</v>
      </c>
      <c r="BF35" s="28">
        <f>35</f>
        <v>35</v>
      </c>
      <c r="BH35" s="28">
        <f t="shared" si="17"/>
        <v>0</v>
      </c>
      <c r="BI35" s="28">
        <f t="shared" si="18"/>
        <v>0</v>
      </c>
      <c r="BJ35" s="28">
        <f t="shared" si="19"/>
        <v>0</v>
      </c>
      <c r="BK35" s="28"/>
      <c r="BL35" s="28">
        <v>732</v>
      </c>
      <c r="BW35" s="28">
        <v>21</v>
      </c>
    </row>
    <row r="36" spans="1:75" ht="13.5" customHeight="1">
      <c r="A36" s="38" t="s">
        <v>521</v>
      </c>
      <c r="B36" s="39" t="s">
        <v>986</v>
      </c>
      <c r="C36" s="39" t="s">
        <v>861</v>
      </c>
      <c r="D36" s="50" t="s">
        <v>11</v>
      </c>
      <c r="E36" s="51"/>
      <c r="F36" s="39" t="s">
        <v>311</v>
      </c>
      <c r="G36" s="28">
        <v>1</v>
      </c>
      <c r="H36" s="120">
        <v>0</v>
      </c>
      <c r="I36" s="120">
        <f t="shared" si="0"/>
        <v>0</v>
      </c>
      <c r="K36" s="8"/>
      <c r="Z36" s="28">
        <f t="shared" si="1"/>
        <v>0</v>
      </c>
      <c r="AB36" s="28">
        <f t="shared" si="2"/>
        <v>0</v>
      </c>
      <c r="AC36" s="28">
        <f t="shared" si="3"/>
        <v>0</v>
      </c>
      <c r="AD36" s="28">
        <f t="shared" si="4"/>
        <v>0</v>
      </c>
      <c r="AE36" s="28">
        <f t="shared" si="5"/>
        <v>0</v>
      </c>
      <c r="AF36" s="28">
        <f t="shared" si="6"/>
        <v>0</v>
      </c>
      <c r="AG36" s="28">
        <f t="shared" si="7"/>
        <v>0</v>
      </c>
      <c r="AH36" s="28">
        <f t="shared" si="8"/>
        <v>0</v>
      </c>
      <c r="AI36" s="21" t="s">
        <v>986</v>
      </c>
      <c r="AJ36" s="28">
        <f t="shared" si="9"/>
        <v>0</v>
      </c>
      <c r="AK36" s="28">
        <f t="shared" si="10"/>
        <v>0</v>
      </c>
      <c r="AL36" s="28">
        <f t="shared" si="11"/>
        <v>0</v>
      </c>
      <c r="AN36" s="28">
        <v>21</v>
      </c>
      <c r="AO36" s="28">
        <f>H36*0.632508123680949</f>
        <v>0</v>
      </c>
      <c r="AP36" s="28">
        <f>H36*(1-0.632508123680949)</f>
        <v>0</v>
      </c>
      <c r="AQ36" s="30" t="s">
        <v>900</v>
      </c>
      <c r="AV36" s="28">
        <f t="shared" si="12"/>
        <v>0</v>
      </c>
      <c r="AW36" s="28">
        <f t="shared" si="13"/>
        <v>0</v>
      </c>
      <c r="AX36" s="28">
        <f t="shared" si="14"/>
        <v>0</v>
      </c>
      <c r="AY36" s="30" t="s">
        <v>399</v>
      </c>
      <c r="AZ36" s="30" t="s">
        <v>925</v>
      </c>
      <c r="BA36" s="21" t="s">
        <v>460</v>
      </c>
      <c r="BC36" s="28">
        <f t="shared" si="15"/>
        <v>0</v>
      </c>
      <c r="BD36" s="28">
        <f t="shared" si="16"/>
        <v>0</v>
      </c>
      <c r="BE36" s="28">
        <v>0</v>
      </c>
      <c r="BF36" s="28">
        <f>36</f>
        <v>36</v>
      </c>
      <c r="BH36" s="28">
        <f t="shared" si="17"/>
        <v>0</v>
      </c>
      <c r="BI36" s="28">
        <f t="shared" si="18"/>
        <v>0</v>
      </c>
      <c r="BJ36" s="28">
        <f t="shared" si="19"/>
        <v>0</v>
      </c>
      <c r="BK36" s="28"/>
      <c r="BL36" s="28">
        <v>732</v>
      </c>
      <c r="BW36" s="28">
        <v>21</v>
      </c>
    </row>
    <row r="37" spans="1:75" ht="13.5" customHeight="1">
      <c r="A37" s="38" t="s">
        <v>347</v>
      </c>
      <c r="B37" s="39" t="s">
        <v>986</v>
      </c>
      <c r="C37" s="39" t="s">
        <v>887</v>
      </c>
      <c r="D37" s="50" t="s">
        <v>256</v>
      </c>
      <c r="E37" s="51"/>
      <c r="F37" s="39" t="s">
        <v>311</v>
      </c>
      <c r="G37" s="28">
        <v>1</v>
      </c>
      <c r="H37" s="120">
        <v>0</v>
      </c>
      <c r="I37" s="120">
        <f t="shared" si="0"/>
        <v>0</v>
      </c>
      <c r="K37" s="8"/>
      <c r="Z37" s="28">
        <f t="shared" si="1"/>
        <v>0</v>
      </c>
      <c r="AB37" s="28">
        <f t="shared" si="2"/>
        <v>0</v>
      </c>
      <c r="AC37" s="28">
        <f t="shared" si="3"/>
        <v>0</v>
      </c>
      <c r="AD37" s="28">
        <f t="shared" si="4"/>
        <v>0</v>
      </c>
      <c r="AE37" s="28">
        <f t="shared" si="5"/>
        <v>0</v>
      </c>
      <c r="AF37" s="28">
        <f t="shared" si="6"/>
        <v>0</v>
      </c>
      <c r="AG37" s="28">
        <f t="shared" si="7"/>
        <v>0</v>
      </c>
      <c r="AH37" s="28">
        <f t="shared" si="8"/>
        <v>0</v>
      </c>
      <c r="AI37" s="21" t="s">
        <v>986</v>
      </c>
      <c r="AJ37" s="28">
        <f t="shared" si="9"/>
        <v>0</v>
      </c>
      <c r="AK37" s="28">
        <f t="shared" si="10"/>
        <v>0</v>
      </c>
      <c r="AL37" s="28">
        <f t="shared" si="11"/>
        <v>0</v>
      </c>
      <c r="AN37" s="28">
        <v>21</v>
      </c>
      <c r="AO37" s="28">
        <f>H37*0</f>
        <v>0</v>
      </c>
      <c r="AP37" s="28">
        <f>H37*(1-0)</f>
        <v>0</v>
      </c>
      <c r="AQ37" s="30" t="s">
        <v>900</v>
      </c>
      <c r="AV37" s="28">
        <f t="shared" si="12"/>
        <v>0</v>
      </c>
      <c r="AW37" s="28">
        <f t="shared" si="13"/>
        <v>0</v>
      </c>
      <c r="AX37" s="28">
        <f t="shared" si="14"/>
        <v>0</v>
      </c>
      <c r="AY37" s="30" t="s">
        <v>399</v>
      </c>
      <c r="AZ37" s="30" t="s">
        <v>925</v>
      </c>
      <c r="BA37" s="21" t="s">
        <v>460</v>
      </c>
      <c r="BC37" s="28">
        <f t="shared" si="15"/>
        <v>0</v>
      </c>
      <c r="BD37" s="28">
        <f t="shared" si="16"/>
        <v>0</v>
      </c>
      <c r="BE37" s="28">
        <v>0</v>
      </c>
      <c r="BF37" s="28">
        <f>37</f>
        <v>37</v>
      </c>
      <c r="BH37" s="28">
        <f t="shared" si="17"/>
        <v>0</v>
      </c>
      <c r="BI37" s="28">
        <f t="shared" si="18"/>
        <v>0</v>
      </c>
      <c r="BJ37" s="28">
        <f t="shared" si="19"/>
        <v>0</v>
      </c>
      <c r="BK37" s="28"/>
      <c r="BL37" s="28">
        <v>732</v>
      </c>
      <c r="BW37" s="28">
        <v>21</v>
      </c>
    </row>
    <row r="38" spans="1:75" ht="13.5" customHeight="1">
      <c r="A38" s="38" t="s">
        <v>81</v>
      </c>
      <c r="B38" s="39" t="s">
        <v>986</v>
      </c>
      <c r="C38" s="39" t="s">
        <v>4</v>
      </c>
      <c r="D38" s="50" t="s">
        <v>387</v>
      </c>
      <c r="E38" s="51"/>
      <c r="F38" s="39" t="s">
        <v>228</v>
      </c>
      <c r="G38" s="28">
        <v>2</v>
      </c>
      <c r="H38" s="120">
        <v>0</v>
      </c>
      <c r="I38" s="120">
        <f t="shared" si="0"/>
        <v>0</v>
      </c>
      <c r="K38" s="8"/>
      <c r="Z38" s="28">
        <f t="shared" si="1"/>
        <v>0</v>
      </c>
      <c r="AB38" s="28">
        <f t="shared" si="2"/>
        <v>0</v>
      </c>
      <c r="AC38" s="28">
        <f t="shared" si="3"/>
        <v>0</v>
      </c>
      <c r="AD38" s="28">
        <f t="shared" si="4"/>
        <v>0</v>
      </c>
      <c r="AE38" s="28">
        <f t="shared" si="5"/>
        <v>0</v>
      </c>
      <c r="AF38" s="28">
        <f t="shared" si="6"/>
        <v>0</v>
      </c>
      <c r="AG38" s="28">
        <f t="shared" si="7"/>
        <v>0</v>
      </c>
      <c r="AH38" s="28">
        <f t="shared" si="8"/>
        <v>0</v>
      </c>
      <c r="AI38" s="21" t="s">
        <v>986</v>
      </c>
      <c r="AJ38" s="28">
        <f t="shared" si="9"/>
        <v>0</v>
      </c>
      <c r="AK38" s="28">
        <f t="shared" si="10"/>
        <v>0</v>
      </c>
      <c r="AL38" s="28">
        <f t="shared" si="11"/>
        <v>0</v>
      </c>
      <c r="AN38" s="28">
        <v>21</v>
      </c>
      <c r="AO38" s="28">
        <f>H38*0</f>
        <v>0</v>
      </c>
      <c r="AP38" s="28">
        <f>H38*(1-0)</f>
        <v>0</v>
      </c>
      <c r="AQ38" s="30" t="s">
        <v>900</v>
      </c>
      <c r="AV38" s="28">
        <f t="shared" si="12"/>
        <v>0</v>
      </c>
      <c r="AW38" s="28">
        <f t="shared" si="13"/>
        <v>0</v>
      </c>
      <c r="AX38" s="28">
        <f t="shared" si="14"/>
        <v>0</v>
      </c>
      <c r="AY38" s="30" t="s">
        <v>399</v>
      </c>
      <c r="AZ38" s="30" t="s">
        <v>925</v>
      </c>
      <c r="BA38" s="21" t="s">
        <v>460</v>
      </c>
      <c r="BC38" s="28">
        <f t="shared" si="15"/>
        <v>0</v>
      </c>
      <c r="BD38" s="28">
        <f t="shared" si="16"/>
        <v>0</v>
      </c>
      <c r="BE38" s="28">
        <v>0</v>
      </c>
      <c r="BF38" s="28">
        <f>38</f>
        <v>38</v>
      </c>
      <c r="BH38" s="28">
        <f t="shared" si="17"/>
        <v>0</v>
      </c>
      <c r="BI38" s="28">
        <f t="shared" si="18"/>
        <v>0</v>
      </c>
      <c r="BJ38" s="28">
        <f t="shared" si="19"/>
        <v>0</v>
      </c>
      <c r="BK38" s="28"/>
      <c r="BL38" s="28">
        <v>732</v>
      </c>
      <c r="BW38" s="28">
        <v>21</v>
      </c>
    </row>
    <row r="39" spans="1:75" ht="13.5" customHeight="1">
      <c r="A39" s="38" t="s">
        <v>630</v>
      </c>
      <c r="B39" s="39" t="s">
        <v>986</v>
      </c>
      <c r="C39" s="39" t="s">
        <v>453</v>
      </c>
      <c r="D39" s="50" t="s">
        <v>134</v>
      </c>
      <c r="E39" s="51"/>
      <c r="F39" s="39" t="s">
        <v>228</v>
      </c>
      <c r="G39" s="28">
        <v>2</v>
      </c>
      <c r="H39" s="120">
        <v>0</v>
      </c>
      <c r="I39" s="120">
        <f t="shared" si="0"/>
        <v>0</v>
      </c>
      <c r="K39" s="8"/>
      <c r="Z39" s="28">
        <f t="shared" si="1"/>
        <v>0</v>
      </c>
      <c r="AB39" s="28">
        <f t="shared" si="2"/>
        <v>0</v>
      </c>
      <c r="AC39" s="28">
        <f t="shared" si="3"/>
        <v>0</v>
      </c>
      <c r="AD39" s="28">
        <f t="shared" si="4"/>
        <v>0</v>
      </c>
      <c r="AE39" s="28">
        <f t="shared" si="5"/>
        <v>0</v>
      </c>
      <c r="AF39" s="28">
        <f t="shared" si="6"/>
        <v>0</v>
      </c>
      <c r="AG39" s="28">
        <f t="shared" si="7"/>
        <v>0</v>
      </c>
      <c r="AH39" s="28">
        <f t="shared" si="8"/>
        <v>0</v>
      </c>
      <c r="AI39" s="21" t="s">
        <v>986</v>
      </c>
      <c r="AJ39" s="28">
        <f t="shared" si="9"/>
        <v>0</v>
      </c>
      <c r="AK39" s="28">
        <f t="shared" si="10"/>
        <v>0</v>
      </c>
      <c r="AL39" s="28">
        <f t="shared" si="11"/>
        <v>0</v>
      </c>
      <c r="AN39" s="28">
        <v>21</v>
      </c>
      <c r="AO39" s="28">
        <f>H39*0</f>
        <v>0</v>
      </c>
      <c r="AP39" s="28">
        <f>H39*(1-0)</f>
        <v>0</v>
      </c>
      <c r="AQ39" s="30" t="s">
        <v>900</v>
      </c>
      <c r="AV39" s="28">
        <f t="shared" si="12"/>
        <v>0</v>
      </c>
      <c r="AW39" s="28">
        <f t="shared" si="13"/>
        <v>0</v>
      </c>
      <c r="AX39" s="28">
        <f t="shared" si="14"/>
        <v>0</v>
      </c>
      <c r="AY39" s="30" t="s">
        <v>399</v>
      </c>
      <c r="AZ39" s="30" t="s">
        <v>925</v>
      </c>
      <c r="BA39" s="21" t="s">
        <v>460</v>
      </c>
      <c r="BC39" s="28">
        <f t="shared" si="15"/>
        <v>0</v>
      </c>
      <c r="BD39" s="28">
        <f t="shared" si="16"/>
        <v>0</v>
      </c>
      <c r="BE39" s="28">
        <v>0</v>
      </c>
      <c r="BF39" s="28">
        <f>39</f>
        <v>39</v>
      </c>
      <c r="BH39" s="28">
        <f t="shared" si="17"/>
        <v>0</v>
      </c>
      <c r="BI39" s="28">
        <f t="shared" si="18"/>
        <v>0</v>
      </c>
      <c r="BJ39" s="28">
        <f t="shared" si="19"/>
        <v>0</v>
      </c>
      <c r="BK39" s="28"/>
      <c r="BL39" s="28">
        <v>732</v>
      </c>
      <c r="BW39" s="28">
        <v>21</v>
      </c>
    </row>
    <row r="40" spans="1:75" ht="13.5" customHeight="1">
      <c r="A40" s="38" t="s">
        <v>718</v>
      </c>
      <c r="B40" s="39" t="s">
        <v>986</v>
      </c>
      <c r="C40" s="39" t="s">
        <v>599</v>
      </c>
      <c r="D40" s="50" t="s">
        <v>275</v>
      </c>
      <c r="E40" s="51"/>
      <c r="F40" s="39" t="s">
        <v>311</v>
      </c>
      <c r="G40" s="28">
        <v>2</v>
      </c>
      <c r="H40" s="120">
        <v>0</v>
      </c>
      <c r="I40" s="120">
        <f t="shared" si="0"/>
        <v>0</v>
      </c>
      <c r="K40" s="8"/>
      <c r="Z40" s="28">
        <f t="shared" si="1"/>
        <v>0</v>
      </c>
      <c r="AB40" s="28">
        <f t="shared" si="2"/>
        <v>0</v>
      </c>
      <c r="AC40" s="28">
        <f t="shared" si="3"/>
        <v>0</v>
      </c>
      <c r="AD40" s="28">
        <f t="shared" si="4"/>
        <v>0</v>
      </c>
      <c r="AE40" s="28">
        <f t="shared" si="5"/>
        <v>0</v>
      </c>
      <c r="AF40" s="28">
        <f t="shared" si="6"/>
        <v>0</v>
      </c>
      <c r="AG40" s="28">
        <f t="shared" si="7"/>
        <v>0</v>
      </c>
      <c r="AH40" s="28">
        <f t="shared" si="8"/>
        <v>0</v>
      </c>
      <c r="AI40" s="21" t="s">
        <v>986</v>
      </c>
      <c r="AJ40" s="28">
        <f t="shared" si="9"/>
        <v>0</v>
      </c>
      <c r="AK40" s="28">
        <f t="shared" si="10"/>
        <v>0</v>
      </c>
      <c r="AL40" s="28">
        <f t="shared" si="11"/>
        <v>0</v>
      </c>
      <c r="AN40" s="28">
        <v>21</v>
      </c>
      <c r="AO40" s="28">
        <f>H40*0.149544198895028</f>
        <v>0</v>
      </c>
      <c r="AP40" s="28">
        <f>H40*(1-0.149544198895028)</f>
        <v>0</v>
      </c>
      <c r="AQ40" s="30" t="s">
        <v>900</v>
      </c>
      <c r="AV40" s="28">
        <f t="shared" si="12"/>
        <v>0</v>
      </c>
      <c r="AW40" s="28">
        <f t="shared" si="13"/>
        <v>0</v>
      </c>
      <c r="AX40" s="28">
        <f t="shared" si="14"/>
        <v>0</v>
      </c>
      <c r="AY40" s="30" t="s">
        <v>399</v>
      </c>
      <c r="AZ40" s="30" t="s">
        <v>925</v>
      </c>
      <c r="BA40" s="21" t="s">
        <v>460</v>
      </c>
      <c r="BC40" s="28">
        <f t="shared" si="15"/>
        <v>0</v>
      </c>
      <c r="BD40" s="28">
        <f t="shared" si="16"/>
        <v>0</v>
      </c>
      <c r="BE40" s="28">
        <v>0</v>
      </c>
      <c r="BF40" s="28">
        <f>40</f>
        <v>40</v>
      </c>
      <c r="BH40" s="28">
        <f t="shared" si="17"/>
        <v>0</v>
      </c>
      <c r="BI40" s="28">
        <f t="shared" si="18"/>
        <v>0</v>
      </c>
      <c r="BJ40" s="28">
        <f t="shared" si="19"/>
        <v>0</v>
      </c>
      <c r="BK40" s="28"/>
      <c r="BL40" s="28">
        <v>732</v>
      </c>
      <c r="BW40" s="28">
        <v>21</v>
      </c>
    </row>
    <row r="41" spans="1:75" ht="13.5" customHeight="1">
      <c r="A41" s="38" t="s">
        <v>563</v>
      </c>
      <c r="B41" s="39" t="s">
        <v>986</v>
      </c>
      <c r="C41" s="39" t="s">
        <v>386</v>
      </c>
      <c r="D41" s="50" t="s">
        <v>835</v>
      </c>
      <c r="E41" s="51"/>
      <c r="F41" s="39" t="s">
        <v>228</v>
      </c>
      <c r="G41" s="28">
        <v>2</v>
      </c>
      <c r="H41" s="120">
        <v>0</v>
      </c>
      <c r="I41" s="120">
        <f t="shared" si="0"/>
        <v>0</v>
      </c>
      <c r="K41" s="8"/>
      <c r="Z41" s="28">
        <f t="shared" si="1"/>
        <v>0</v>
      </c>
      <c r="AB41" s="28">
        <f t="shared" si="2"/>
        <v>0</v>
      </c>
      <c r="AC41" s="28">
        <f t="shared" si="3"/>
        <v>0</v>
      </c>
      <c r="AD41" s="28">
        <f t="shared" si="4"/>
        <v>0</v>
      </c>
      <c r="AE41" s="28">
        <f t="shared" si="5"/>
        <v>0</v>
      </c>
      <c r="AF41" s="28">
        <f t="shared" si="6"/>
        <v>0</v>
      </c>
      <c r="AG41" s="28">
        <f t="shared" si="7"/>
        <v>0</v>
      </c>
      <c r="AH41" s="28">
        <f t="shared" si="8"/>
        <v>0</v>
      </c>
      <c r="AI41" s="21" t="s">
        <v>986</v>
      </c>
      <c r="AJ41" s="28">
        <f t="shared" si="9"/>
        <v>0</v>
      </c>
      <c r="AK41" s="28">
        <f t="shared" si="10"/>
        <v>0</v>
      </c>
      <c r="AL41" s="28">
        <f t="shared" si="11"/>
        <v>0</v>
      </c>
      <c r="AN41" s="28">
        <v>21</v>
      </c>
      <c r="AO41" s="28">
        <f>H41*0.558091787439614</f>
        <v>0</v>
      </c>
      <c r="AP41" s="28">
        <f>H41*(1-0.558091787439614)</f>
        <v>0</v>
      </c>
      <c r="AQ41" s="30" t="s">
        <v>900</v>
      </c>
      <c r="AV41" s="28">
        <f t="shared" si="12"/>
        <v>0</v>
      </c>
      <c r="AW41" s="28">
        <f t="shared" si="13"/>
        <v>0</v>
      </c>
      <c r="AX41" s="28">
        <f t="shared" si="14"/>
        <v>0</v>
      </c>
      <c r="AY41" s="30" t="s">
        <v>399</v>
      </c>
      <c r="AZ41" s="30" t="s">
        <v>925</v>
      </c>
      <c r="BA41" s="21" t="s">
        <v>460</v>
      </c>
      <c r="BC41" s="28">
        <f t="shared" si="15"/>
        <v>0</v>
      </c>
      <c r="BD41" s="28">
        <f t="shared" si="16"/>
        <v>0</v>
      </c>
      <c r="BE41" s="28">
        <v>0</v>
      </c>
      <c r="BF41" s="28">
        <f>41</f>
        <v>41</v>
      </c>
      <c r="BH41" s="28">
        <f t="shared" si="17"/>
        <v>0</v>
      </c>
      <c r="BI41" s="28">
        <f t="shared" si="18"/>
        <v>0</v>
      </c>
      <c r="BJ41" s="28">
        <f t="shared" si="19"/>
        <v>0</v>
      </c>
      <c r="BK41" s="28"/>
      <c r="BL41" s="28">
        <v>732</v>
      </c>
      <c r="BW41" s="28">
        <v>21</v>
      </c>
    </row>
    <row r="42" spans="1:75" ht="13.5" customHeight="1">
      <c r="A42" s="38" t="s">
        <v>47</v>
      </c>
      <c r="B42" s="39" t="s">
        <v>986</v>
      </c>
      <c r="C42" s="39" t="s">
        <v>759</v>
      </c>
      <c r="D42" s="50" t="s">
        <v>534</v>
      </c>
      <c r="E42" s="51"/>
      <c r="F42" s="39" t="s">
        <v>311</v>
      </c>
      <c r="G42" s="28">
        <v>1</v>
      </c>
      <c r="H42" s="120">
        <v>0</v>
      </c>
      <c r="I42" s="120">
        <f t="shared" si="0"/>
        <v>0</v>
      </c>
      <c r="K42" s="8"/>
      <c r="Z42" s="28">
        <f t="shared" si="1"/>
        <v>0</v>
      </c>
      <c r="AB42" s="28">
        <f t="shared" si="2"/>
        <v>0</v>
      </c>
      <c r="AC42" s="28">
        <f t="shared" si="3"/>
        <v>0</v>
      </c>
      <c r="AD42" s="28">
        <f t="shared" si="4"/>
        <v>0</v>
      </c>
      <c r="AE42" s="28">
        <f t="shared" si="5"/>
        <v>0</v>
      </c>
      <c r="AF42" s="28">
        <f t="shared" si="6"/>
        <v>0</v>
      </c>
      <c r="AG42" s="28">
        <f t="shared" si="7"/>
        <v>0</v>
      </c>
      <c r="AH42" s="28">
        <f t="shared" si="8"/>
        <v>0</v>
      </c>
      <c r="AI42" s="21" t="s">
        <v>986</v>
      </c>
      <c r="AJ42" s="28">
        <f t="shared" si="9"/>
        <v>0</v>
      </c>
      <c r="AK42" s="28">
        <f t="shared" si="10"/>
        <v>0</v>
      </c>
      <c r="AL42" s="28">
        <f t="shared" si="11"/>
        <v>0</v>
      </c>
      <c r="AN42" s="28">
        <v>21</v>
      </c>
      <c r="AO42" s="28">
        <f>H42*0.455580865603645</f>
        <v>0</v>
      </c>
      <c r="AP42" s="28">
        <f>H42*(1-0.455580865603645)</f>
        <v>0</v>
      </c>
      <c r="AQ42" s="30" t="s">
        <v>900</v>
      </c>
      <c r="AV42" s="28">
        <f t="shared" si="12"/>
        <v>0</v>
      </c>
      <c r="AW42" s="28">
        <f t="shared" si="13"/>
        <v>0</v>
      </c>
      <c r="AX42" s="28">
        <f t="shared" si="14"/>
        <v>0</v>
      </c>
      <c r="AY42" s="30" t="s">
        <v>399</v>
      </c>
      <c r="AZ42" s="30" t="s">
        <v>925</v>
      </c>
      <c r="BA42" s="21" t="s">
        <v>460</v>
      </c>
      <c r="BC42" s="28">
        <f t="shared" si="15"/>
        <v>0</v>
      </c>
      <c r="BD42" s="28">
        <f t="shared" si="16"/>
        <v>0</v>
      </c>
      <c r="BE42" s="28">
        <v>0</v>
      </c>
      <c r="BF42" s="28">
        <f>42</f>
        <v>42</v>
      </c>
      <c r="BH42" s="28">
        <f t="shared" si="17"/>
        <v>0</v>
      </c>
      <c r="BI42" s="28">
        <f t="shared" si="18"/>
        <v>0</v>
      </c>
      <c r="BJ42" s="28">
        <f t="shared" si="19"/>
        <v>0</v>
      </c>
      <c r="BK42" s="28"/>
      <c r="BL42" s="28">
        <v>732</v>
      </c>
      <c r="BW42" s="28">
        <v>21</v>
      </c>
    </row>
    <row r="43" spans="1:47" ht="15" customHeight="1">
      <c r="A43" s="3" t="s">
        <v>626</v>
      </c>
      <c r="B43" s="43" t="s">
        <v>986</v>
      </c>
      <c r="C43" s="43" t="s">
        <v>922</v>
      </c>
      <c r="D43" s="103" t="s">
        <v>754</v>
      </c>
      <c r="E43" s="104"/>
      <c r="F43" s="37" t="s">
        <v>836</v>
      </c>
      <c r="G43" s="37" t="s">
        <v>836</v>
      </c>
      <c r="H43" s="118" t="s">
        <v>836</v>
      </c>
      <c r="I43" s="119">
        <f>SUM(I44:I47)</f>
        <v>0</v>
      </c>
      <c r="K43" s="8"/>
      <c r="AI43" s="21" t="s">
        <v>986</v>
      </c>
      <c r="AS43" s="31">
        <f>SUM(AJ44:AJ47)</f>
        <v>0</v>
      </c>
      <c r="AT43" s="31">
        <f>SUM(AK44:AK47)</f>
        <v>0</v>
      </c>
      <c r="AU43" s="31">
        <f>SUM(AL44:AL47)</f>
        <v>0</v>
      </c>
    </row>
    <row r="44" spans="1:75" ht="13.5" customHeight="1">
      <c r="A44" s="38" t="s">
        <v>638</v>
      </c>
      <c r="B44" s="39" t="s">
        <v>986</v>
      </c>
      <c r="C44" s="39" t="s">
        <v>177</v>
      </c>
      <c r="D44" s="50" t="s">
        <v>427</v>
      </c>
      <c r="E44" s="51"/>
      <c r="F44" s="39" t="s">
        <v>228</v>
      </c>
      <c r="G44" s="28">
        <v>4</v>
      </c>
      <c r="H44" s="120">
        <v>0</v>
      </c>
      <c r="I44" s="120">
        <f>G44*H44</f>
        <v>0</v>
      </c>
      <c r="K44" s="8"/>
      <c r="Z44" s="28">
        <f>IF(AQ44="5",BJ44,0)</f>
        <v>0</v>
      </c>
      <c r="AB44" s="28">
        <f>IF(AQ44="1",BH44,0)</f>
        <v>0</v>
      </c>
      <c r="AC44" s="28">
        <f>IF(AQ44="1",BI44,0)</f>
        <v>0</v>
      </c>
      <c r="AD44" s="28">
        <f>IF(AQ44="7",BH44,0)</f>
        <v>0</v>
      </c>
      <c r="AE44" s="28">
        <f>IF(AQ44="7",BI44,0)</f>
        <v>0</v>
      </c>
      <c r="AF44" s="28">
        <f>IF(AQ44="2",BH44,0)</f>
        <v>0</v>
      </c>
      <c r="AG44" s="28">
        <f>IF(AQ44="2",BI44,0)</f>
        <v>0</v>
      </c>
      <c r="AH44" s="28">
        <f>IF(AQ44="0",BJ44,0)</f>
        <v>0</v>
      </c>
      <c r="AI44" s="21" t="s">
        <v>986</v>
      </c>
      <c r="AJ44" s="28">
        <f>IF(AN44=0,I44,0)</f>
        <v>0</v>
      </c>
      <c r="AK44" s="28">
        <f>IF(AN44=12,I44,0)</f>
        <v>0</v>
      </c>
      <c r="AL44" s="28">
        <f>IF(AN44=21,I44,0)</f>
        <v>0</v>
      </c>
      <c r="AN44" s="28">
        <v>21</v>
      </c>
      <c r="AO44" s="28">
        <f>H44*0.277834101382488</f>
        <v>0</v>
      </c>
      <c r="AP44" s="28">
        <f>H44*(1-0.277834101382488)</f>
        <v>0</v>
      </c>
      <c r="AQ44" s="30" t="s">
        <v>900</v>
      </c>
      <c r="AV44" s="28">
        <f>AW44+AX44</f>
        <v>0</v>
      </c>
      <c r="AW44" s="28">
        <f>G44*AO44</f>
        <v>0</v>
      </c>
      <c r="AX44" s="28">
        <f>G44*AP44</f>
        <v>0</v>
      </c>
      <c r="AY44" s="30" t="s">
        <v>92</v>
      </c>
      <c r="AZ44" s="30" t="s">
        <v>925</v>
      </c>
      <c r="BA44" s="21" t="s">
        <v>460</v>
      </c>
      <c r="BC44" s="28">
        <f>AW44+AX44</f>
        <v>0</v>
      </c>
      <c r="BD44" s="28">
        <f>H44/(100-BE44)*100</f>
        <v>0</v>
      </c>
      <c r="BE44" s="28">
        <v>0</v>
      </c>
      <c r="BF44" s="28">
        <f>44</f>
        <v>44</v>
      </c>
      <c r="BH44" s="28">
        <f>G44*AO44</f>
        <v>0</v>
      </c>
      <c r="BI44" s="28">
        <f>G44*AP44</f>
        <v>0</v>
      </c>
      <c r="BJ44" s="28">
        <f>G44*H44</f>
        <v>0</v>
      </c>
      <c r="BK44" s="28"/>
      <c r="BL44" s="28">
        <v>733</v>
      </c>
      <c r="BW44" s="28">
        <v>21</v>
      </c>
    </row>
    <row r="45" spans="1:75" ht="13.5" customHeight="1">
      <c r="A45" s="38" t="s">
        <v>862</v>
      </c>
      <c r="B45" s="39" t="s">
        <v>986</v>
      </c>
      <c r="C45" s="39" t="s">
        <v>469</v>
      </c>
      <c r="D45" s="50" t="s">
        <v>450</v>
      </c>
      <c r="E45" s="51"/>
      <c r="F45" s="39" t="s">
        <v>228</v>
      </c>
      <c r="G45" s="28">
        <v>6</v>
      </c>
      <c r="H45" s="120">
        <v>0</v>
      </c>
      <c r="I45" s="120">
        <f>G45*H45</f>
        <v>0</v>
      </c>
      <c r="K45" s="8"/>
      <c r="Z45" s="28">
        <f>IF(AQ45="5",BJ45,0)</f>
        <v>0</v>
      </c>
      <c r="AB45" s="28">
        <f>IF(AQ45="1",BH45,0)</f>
        <v>0</v>
      </c>
      <c r="AC45" s="28">
        <f>IF(AQ45="1",BI45,0)</f>
        <v>0</v>
      </c>
      <c r="AD45" s="28">
        <f>IF(AQ45="7",BH45,0)</f>
        <v>0</v>
      </c>
      <c r="AE45" s="28">
        <f>IF(AQ45="7",BI45,0)</f>
        <v>0</v>
      </c>
      <c r="AF45" s="28">
        <f>IF(AQ45="2",BH45,0)</f>
        <v>0</v>
      </c>
      <c r="AG45" s="28">
        <f>IF(AQ45="2",BI45,0)</f>
        <v>0</v>
      </c>
      <c r="AH45" s="28">
        <f>IF(AQ45="0",BJ45,0)</f>
        <v>0</v>
      </c>
      <c r="AI45" s="21" t="s">
        <v>986</v>
      </c>
      <c r="AJ45" s="28">
        <f>IF(AN45=0,I45,0)</f>
        <v>0</v>
      </c>
      <c r="AK45" s="28">
        <f>IF(AN45=12,I45,0)</f>
        <v>0</v>
      </c>
      <c r="AL45" s="28">
        <f>IF(AN45=21,I45,0)</f>
        <v>0</v>
      </c>
      <c r="AN45" s="28">
        <v>21</v>
      </c>
      <c r="AO45" s="28">
        <f>H45*0</f>
        <v>0</v>
      </c>
      <c r="AP45" s="28">
        <f>H45*(1-0)</f>
        <v>0</v>
      </c>
      <c r="AQ45" s="30" t="s">
        <v>900</v>
      </c>
      <c r="AV45" s="28">
        <f>AW45+AX45</f>
        <v>0</v>
      </c>
      <c r="AW45" s="28">
        <f>G45*AO45</f>
        <v>0</v>
      </c>
      <c r="AX45" s="28">
        <f>G45*AP45</f>
        <v>0</v>
      </c>
      <c r="AY45" s="30" t="s">
        <v>92</v>
      </c>
      <c r="AZ45" s="30" t="s">
        <v>925</v>
      </c>
      <c r="BA45" s="21" t="s">
        <v>460</v>
      </c>
      <c r="BC45" s="28">
        <f>AW45+AX45</f>
        <v>0</v>
      </c>
      <c r="BD45" s="28">
        <f>H45/(100-BE45)*100</f>
        <v>0</v>
      </c>
      <c r="BE45" s="28">
        <v>0</v>
      </c>
      <c r="BF45" s="28">
        <f>45</f>
        <v>45</v>
      </c>
      <c r="BH45" s="28">
        <f>G45*AO45</f>
        <v>0</v>
      </c>
      <c r="BI45" s="28">
        <f>G45*AP45</f>
        <v>0</v>
      </c>
      <c r="BJ45" s="28">
        <f>G45*H45</f>
        <v>0</v>
      </c>
      <c r="BK45" s="28"/>
      <c r="BL45" s="28">
        <v>733</v>
      </c>
      <c r="BW45" s="28">
        <v>21</v>
      </c>
    </row>
    <row r="46" spans="1:75" ht="13.5" customHeight="1">
      <c r="A46" s="38" t="s">
        <v>385</v>
      </c>
      <c r="B46" s="39" t="s">
        <v>986</v>
      </c>
      <c r="C46" s="39" t="s">
        <v>464</v>
      </c>
      <c r="D46" s="50" t="s">
        <v>406</v>
      </c>
      <c r="E46" s="51"/>
      <c r="F46" s="39" t="s">
        <v>741</v>
      </c>
      <c r="G46" s="28">
        <v>36</v>
      </c>
      <c r="H46" s="120">
        <v>0</v>
      </c>
      <c r="I46" s="120">
        <f>G46*H46</f>
        <v>0</v>
      </c>
      <c r="K46" s="8"/>
      <c r="Z46" s="28">
        <f>IF(AQ46="5",BJ46,0)</f>
        <v>0</v>
      </c>
      <c r="AB46" s="28">
        <f>IF(AQ46="1",BH46,0)</f>
        <v>0</v>
      </c>
      <c r="AC46" s="28">
        <f>IF(AQ46="1",BI46,0)</f>
        <v>0</v>
      </c>
      <c r="AD46" s="28">
        <f>IF(AQ46="7",BH46,0)</f>
        <v>0</v>
      </c>
      <c r="AE46" s="28">
        <f>IF(AQ46="7",BI46,0)</f>
        <v>0</v>
      </c>
      <c r="AF46" s="28">
        <f>IF(AQ46="2",BH46,0)</f>
        <v>0</v>
      </c>
      <c r="AG46" s="28">
        <f>IF(AQ46="2",BI46,0)</f>
        <v>0</v>
      </c>
      <c r="AH46" s="28">
        <f>IF(AQ46="0",BJ46,0)</f>
        <v>0</v>
      </c>
      <c r="AI46" s="21" t="s">
        <v>986</v>
      </c>
      <c r="AJ46" s="28">
        <f>IF(AN46=0,I46,0)</f>
        <v>0</v>
      </c>
      <c r="AK46" s="28">
        <f>IF(AN46=12,I46,0)</f>
        <v>0</v>
      </c>
      <c r="AL46" s="28">
        <f>IF(AN46=21,I46,0)</f>
        <v>0</v>
      </c>
      <c r="AN46" s="28">
        <v>21</v>
      </c>
      <c r="AO46" s="28">
        <f>H46*0.283846153846154</f>
        <v>0</v>
      </c>
      <c r="AP46" s="28">
        <f>H46*(1-0.283846153846154)</f>
        <v>0</v>
      </c>
      <c r="AQ46" s="30" t="s">
        <v>900</v>
      </c>
      <c r="AV46" s="28">
        <f>AW46+AX46</f>
        <v>0</v>
      </c>
      <c r="AW46" s="28">
        <f>G46*AO46</f>
        <v>0</v>
      </c>
      <c r="AX46" s="28">
        <f>G46*AP46</f>
        <v>0</v>
      </c>
      <c r="AY46" s="30" t="s">
        <v>92</v>
      </c>
      <c r="AZ46" s="30" t="s">
        <v>925</v>
      </c>
      <c r="BA46" s="21" t="s">
        <v>460</v>
      </c>
      <c r="BC46" s="28">
        <f>AW46+AX46</f>
        <v>0</v>
      </c>
      <c r="BD46" s="28">
        <f>H46/(100-BE46)*100</f>
        <v>0</v>
      </c>
      <c r="BE46" s="28">
        <v>0</v>
      </c>
      <c r="BF46" s="28">
        <f>46</f>
        <v>46</v>
      </c>
      <c r="BH46" s="28">
        <f>G46*AO46</f>
        <v>0</v>
      </c>
      <c r="BI46" s="28">
        <f>G46*AP46</f>
        <v>0</v>
      </c>
      <c r="BJ46" s="28">
        <f>G46*H46</f>
        <v>0</v>
      </c>
      <c r="BK46" s="28"/>
      <c r="BL46" s="28">
        <v>733</v>
      </c>
      <c r="BW46" s="28">
        <v>21</v>
      </c>
    </row>
    <row r="47" spans="1:75" ht="13.5" customHeight="1">
      <c r="A47" s="38" t="s">
        <v>86</v>
      </c>
      <c r="B47" s="39" t="s">
        <v>986</v>
      </c>
      <c r="C47" s="39" t="s">
        <v>35</v>
      </c>
      <c r="D47" s="50" t="s">
        <v>188</v>
      </c>
      <c r="E47" s="51"/>
      <c r="F47" s="39" t="s">
        <v>741</v>
      </c>
      <c r="G47" s="28">
        <v>12</v>
      </c>
      <c r="H47" s="120">
        <v>0</v>
      </c>
      <c r="I47" s="120">
        <f>G47*H47</f>
        <v>0</v>
      </c>
      <c r="K47" s="8"/>
      <c r="Z47" s="28">
        <f>IF(AQ47="5",BJ47,0)</f>
        <v>0</v>
      </c>
      <c r="AB47" s="28">
        <f>IF(AQ47="1",BH47,0)</f>
        <v>0</v>
      </c>
      <c r="AC47" s="28">
        <f>IF(AQ47="1",BI47,0)</f>
        <v>0</v>
      </c>
      <c r="AD47" s="28">
        <f>IF(AQ47="7",BH47,0)</f>
        <v>0</v>
      </c>
      <c r="AE47" s="28">
        <f>IF(AQ47="7",BI47,0)</f>
        <v>0</v>
      </c>
      <c r="AF47" s="28">
        <f>IF(AQ47="2",BH47,0)</f>
        <v>0</v>
      </c>
      <c r="AG47" s="28">
        <f>IF(AQ47="2",BI47,0)</f>
        <v>0</v>
      </c>
      <c r="AH47" s="28">
        <f>IF(AQ47="0",BJ47,0)</f>
        <v>0</v>
      </c>
      <c r="AI47" s="21" t="s">
        <v>986</v>
      </c>
      <c r="AJ47" s="28">
        <f>IF(AN47=0,I47,0)</f>
        <v>0</v>
      </c>
      <c r="AK47" s="28">
        <f>IF(AN47=12,I47,0)</f>
        <v>0</v>
      </c>
      <c r="AL47" s="28">
        <f>IF(AN47=21,I47,0)</f>
        <v>0</v>
      </c>
      <c r="AN47" s="28">
        <v>21</v>
      </c>
      <c r="AO47" s="28">
        <f>H47*0</f>
        <v>0</v>
      </c>
      <c r="AP47" s="28">
        <f>H47*(1-0)</f>
        <v>0</v>
      </c>
      <c r="AQ47" s="30" t="s">
        <v>900</v>
      </c>
      <c r="AV47" s="28">
        <f>AW47+AX47</f>
        <v>0</v>
      </c>
      <c r="AW47" s="28">
        <f>G47*AO47</f>
        <v>0</v>
      </c>
      <c r="AX47" s="28">
        <f>G47*AP47</f>
        <v>0</v>
      </c>
      <c r="AY47" s="30" t="s">
        <v>92</v>
      </c>
      <c r="AZ47" s="30" t="s">
        <v>925</v>
      </c>
      <c r="BA47" s="21" t="s">
        <v>460</v>
      </c>
      <c r="BC47" s="28">
        <f>AW47+AX47</f>
        <v>0</v>
      </c>
      <c r="BD47" s="28">
        <f>H47/(100-BE47)*100</f>
        <v>0</v>
      </c>
      <c r="BE47" s="28">
        <v>0</v>
      </c>
      <c r="BF47" s="28">
        <f>47</f>
        <v>47</v>
      </c>
      <c r="BH47" s="28">
        <f>G47*AO47</f>
        <v>0</v>
      </c>
      <c r="BI47" s="28">
        <f>G47*AP47</f>
        <v>0</v>
      </c>
      <c r="BJ47" s="28">
        <f>G47*H47</f>
        <v>0</v>
      </c>
      <c r="BK47" s="28"/>
      <c r="BL47" s="28">
        <v>733</v>
      </c>
      <c r="BW47" s="28">
        <v>21</v>
      </c>
    </row>
    <row r="48" spans="1:47" ht="15" customHeight="1">
      <c r="A48" s="3" t="s">
        <v>626</v>
      </c>
      <c r="B48" s="43" t="s">
        <v>986</v>
      </c>
      <c r="C48" s="43" t="s">
        <v>761</v>
      </c>
      <c r="D48" s="103" t="s">
        <v>589</v>
      </c>
      <c r="E48" s="104"/>
      <c r="F48" s="37" t="s">
        <v>836</v>
      </c>
      <c r="G48" s="37" t="s">
        <v>836</v>
      </c>
      <c r="H48" s="118" t="s">
        <v>836</v>
      </c>
      <c r="I48" s="119">
        <f>SUM(I49:I50)</f>
        <v>0</v>
      </c>
      <c r="K48" s="8"/>
      <c r="AI48" s="21" t="s">
        <v>986</v>
      </c>
      <c r="AS48" s="31">
        <f>SUM(AJ49:AJ50)</f>
        <v>0</v>
      </c>
      <c r="AT48" s="31">
        <f>SUM(AK49:AK50)</f>
        <v>0</v>
      </c>
      <c r="AU48" s="31">
        <f>SUM(AL49:AL50)</f>
        <v>0</v>
      </c>
    </row>
    <row r="49" spans="1:75" ht="13.5" customHeight="1">
      <c r="A49" s="38" t="s">
        <v>226</v>
      </c>
      <c r="B49" s="39" t="s">
        <v>986</v>
      </c>
      <c r="C49" s="39" t="s">
        <v>625</v>
      </c>
      <c r="D49" s="50" t="s">
        <v>634</v>
      </c>
      <c r="E49" s="51"/>
      <c r="F49" s="39" t="s">
        <v>228</v>
      </c>
      <c r="G49" s="28">
        <v>30</v>
      </c>
      <c r="H49" s="120">
        <v>0</v>
      </c>
      <c r="I49" s="120">
        <f>G49*H49</f>
        <v>0</v>
      </c>
      <c r="K49" s="8"/>
      <c r="Z49" s="28">
        <f>IF(AQ49="5",BJ49,0)</f>
        <v>0</v>
      </c>
      <c r="AB49" s="28">
        <f>IF(AQ49="1",BH49,0)</f>
        <v>0</v>
      </c>
      <c r="AC49" s="28">
        <f>IF(AQ49="1",BI49,0)</f>
        <v>0</v>
      </c>
      <c r="AD49" s="28">
        <f>IF(AQ49="7",BH49,0)</f>
        <v>0</v>
      </c>
      <c r="AE49" s="28">
        <f>IF(AQ49="7",BI49,0)</f>
        <v>0</v>
      </c>
      <c r="AF49" s="28">
        <f>IF(AQ49="2",BH49,0)</f>
        <v>0</v>
      </c>
      <c r="AG49" s="28">
        <f>IF(AQ49="2",BI49,0)</f>
        <v>0</v>
      </c>
      <c r="AH49" s="28">
        <f>IF(AQ49="0",BJ49,0)</f>
        <v>0</v>
      </c>
      <c r="AI49" s="21" t="s">
        <v>986</v>
      </c>
      <c r="AJ49" s="28">
        <f>IF(AN49=0,I49,0)</f>
        <v>0</v>
      </c>
      <c r="AK49" s="28">
        <f>IF(AN49=12,I49,0)</f>
        <v>0</v>
      </c>
      <c r="AL49" s="28">
        <f>IF(AN49=21,I49,0)</f>
        <v>0</v>
      </c>
      <c r="AN49" s="28">
        <v>21</v>
      </c>
      <c r="AO49" s="28">
        <f>H49*0.00554133498354477</f>
        <v>0</v>
      </c>
      <c r="AP49" s="28">
        <f>H49*(1-0.00554133498354477)</f>
        <v>0</v>
      </c>
      <c r="AQ49" s="30" t="s">
        <v>900</v>
      </c>
      <c r="AV49" s="28">
        <f>AW49+AX49</f>
        <v>0</v>
      </c>
      <c r="AW49" s="28">
        <f>G49*AO49</f>
        <v>0</v>
      </c>
      <c r="AX49" s="28">
        <f>G49*AP49</f>
        <v>0</v>
      </c>
      <c r="AY49" s="30" t="s">
        <v>178</v>
      </c>
      <c r="AZ49" s="30" t="s">
        <v>925</v>
      </c>
      <c r="BA49" s="21" t="s">
        <v>460</v>
      </c>
      <c r="BC49" s="28">
        <f>AW49+AX49</f>
        <v>0</v>
      </c>
      <c r="BD49" s="28">
        <f>H49/(100-BE49)*100</f>
        <v>0</v>
      </c>
      <c r="BE49" s="28">
        <v>0</v>
      </c>
      <c r="BF49" s="28">
        <f>49</f>
        <v>49</v>
      </c>
      <c r="BH49" s="28">
        <f>G49*AO49</f>
        <v>0</v>
      </c>
      <c r="BI49" s="28">
        <f>G49*AP49</f>
        <v>0</v>
      </c>
      <c r="BJ49" s="28">
        <f>G49*H49</f>
        <v>0</v>
      </c>
      <c r="BK49" s="28"/>
      <c r="BL49" s="28">
        <v>734</v>
      </c>
      <c r="BW49" s="28">
        <v>21</v>
      </c>
    </row>
    <row r="50" spans="1:75" ht="13.5" customHeight="1">
      <c r="A50" s="38" t="s">
        <v>115</v>
      </c>
      <c r="B50" s="39" t="s">
        <v>986</v>
      </c>
      <c r="C50" s="39" t="s">
        <v>582</v>
      </c>
      <c r="D50" s="50" t="s">
        <v>309</v>
      </c>
      <c r="E50" s="51"/>
      <c r="F50" s="39" t="s">
        <v>228</v>
      </c>
      <c r="G50" s="28">
        <v>8</v>
      </c>
      <c r="H50" s="120">
        <v>0</v>
      </c>
      <c r="I50" s="120">
        <f>G50*H50</f>
        <v>0</v>
      </c>
      <c r="K50" s="8"/>
      <c r="Z50" s="28">
        <f>IF(AQ50="5",BJ50,0)</f>
        <v>0</v>
      </c>
      <c r="AB50" s="28">
        <f>IF(AQ50="1",BH50,0)</f>
        <v>0</v>
      </c>
      <c r="AC50" s="28">
        <f>IF(AQ50="1",BI50,0)</f>
        <v>0</v>
      </c>
      <c r="AD50" s="28">
        <f>IF(AQ50="7",BH50,0)</f>
        <v>0</v>
      </c>
      <c r="AE50" s="28">
        <f>IF(AQ50="7",BI50,0)</f>
        <v>0</v>
      </c>
      <c r="AF50" s="28">
        <f>IF(AQ50="2",BH50,0)</f>
        <v>0</v>
      </c>
      <c r="AG50" s="28">
        <f>IF(AQ50="2",BI50,0)</f>
        <v>0</v>
      </c>
      <c r="AH50" s="28">
        <f>IF(AQ50="0",BJ50,0)</f>
        <v>0</v>
      </c>
      <c r="AI50" s="21" t="s">
        <v>986</v>
      </c>
      <c r="AJ50" s="28">
        <f>IF(AN50=0,I50,0)</f>
        <v>0</v>
      </c>
      <c r="AK50" s="28">
        <f>IF(AN50=12,I50,0)</f>
        <v>0</v>
      </c>
      <c r="AL50" s="28">
        <f>IF(AN50=21,I50,0)</f>
        <v>0</v>
      </c>
      <c r="AN50" s="28">
        <v>21</v>
      </c>
      <c r="AO50" s="28">
        <f>H50*0.222789327357982</f>
        <v>0</v>
      </c>
      <c r="AP50" s="28">
        <f>H50*(1-0.222789327357982)</f>
        <v>0</v>
      </c>
      <c r="AQ50" s="30" t="s">
        <v>900</v>
      </c>
      <c r="AV50" s="28">
        <f>AW50+AX50</f>
        <v>0</v>
      </c>
      <c r="AW50" s="28">
        <f>G50*AO50</f>
        <v>0</v>
      </c>
      <c r="AX50" s="28">
        <f>G50*AP50</f>
        <v>0</v>
      </c>
      <c r="AY50" s="30" t="s">
        <v>178</v>
      </c>
      <c r="AZ50" s="30" t="s">
        <v>925</v>
      </c>
      <c r="BA50" s="21" t="s">
        <v>460</v>
      </c>
      <c r="BC50" s="28">
        <f>AW50+AX50</f>
        <v>0</v>
      </c>
      <c r="BD50" s="28">
        <f>H50/(100-BE50)*100</f>
        <v>0</v>
      </c>
      <c r="BE50" s="28">
        <v>0</v>
      </c>
      <c r="BF50" s="28">
        <f>50</f>
        <v>50</v>
      </c>
      <c r="BH50" s="28">
        <f>G50*AO50</f>
        <v>0</v>
      </c>
      <c r="BI50" s="28">
        <f>G50*AP50</f>
        <v>0</v>
      </c>
      <c r="BJ50" s="28">
        <f>G50*H50</f>
        <v>0</v>
      </c>
      <c r="BK50" s="28"/>
      <c r="BL50" s="28">
        <v>734</v>
      </c>
      <c r="BW50" s="28">
        <v>21</v>
      </c>
    </row>
    <row r="51" spans="1:47" ht="15" customHeight="1">
      <c r="A51" s="3" t="s">
        <v>626</v>
      </c>
      <c r="B51" s="43" t="s">
        <v>986</v>
      </c>
      <c r="C51" s="43" t="s">
        <v>390</v>
      </c>
      <c r="D51" s="103" t="s">
        <v>274</v>
      </c>
      <c r="E51" s="104"/>
      <c r="F51" s="37" t="s">
        <v>836</v>
      </c>
      <c r="G51" s="37" t="s">
        <v>836</v>
      </c>
      <c r="H51" s="118" t="s">
        <v>836</v>
      </c>
      <c r="I51" s="119">
        <f>SUM(I52:I52)</f>
        <v>0</v>
      </c>
      <c r="K51" s="8"/>
      <c r="AI51" s="21" t="s">
        <v>986</v>
      </c>
      <c r="AS51" s="31">
        <f>SUM(AJ52:AJ52)</f>
        <v>0</v>
      </c>
      <c r="AT51" s="31">
        <f>SUM(AK52:AK52)</f>
        <v>0</v>
      </c>
      <c r="AU51" s="31">
        <f>SUM(AL52:AL52)</f>
        <v>0</v>
      </c>
    </row>
    <row r="52" spans="1:75" ht="13.5" customHeight="1">
      <c r="A52" s="38" t="s">
        <v>879</v>
      </c>
      <c r="B52" s="39" t="s">
        <v>986</v>
      </c>
      <c r="C52" s="39" t="s">
        <v>437</v>
      </c>
      <c r="D52" s="50" t="s">
        <v>1015</v>
      </c>
      <c r="E52" s="51"/>
      <c r="F52" s="39" t="s">
        <v>853</v>
      </c>
      <c r="G52" s="28">
        <v>350</v>
      </c>
      <c r="H52" s="120">
        <v>0</v>
      </c>
      <c r="I52" s="120">
        <f>G52*H52</f>
        <v>0</v>
      </c>
      <c r="K52" s="8"/>
      <c r="Z52" s="28">
        <f>IF(AQ52="5",BJ52,0)</f>
        <v>0</v>
      </c>
      <c r="AB52" s="28">
        <f>IF(AQ52="1",BH52,0)</f>
        <v>0</v>
      </c>
      <c r="AC52" s="28">
        <f>IF(AQ52="1",BI52,0)</f>
        <v>0</v>
      </c>
      <c r="AD52" s="28">
        <f>IF(AQ52="7",BH52,0)</f>
        <v>0</v>
      </c>
      <c r="AE52" s="28">
        <f>IF(AQ52="7",BI52,0)</f>
        <v>0</v>
      </c>
      <c r="AF52" s="28">
        <f>IF(AQ52="2",BH52,0)</f>
        <v>0</v>
      </c>
      <c r="AG52" s="28">
        <f>IF(AQ52="2",BI52,0)</f>
        <v>0</v>
      </c>
      <c r="AH52" s="28">
        <f>IF(AQ52="0",BJ52,0)</f>
        <v>0</v>
      </c>
      <c r="AI52" s="21" t="s">
        <v>986</v>
      </c>
      <c r="AJ52" s="28">
        <f>IF(AN52=0,I52,0)</f>
        <v>0</v>
      </c>
      <c r="AK52" s="28">
        <f>IF(AN52=12,I52,0)</f>
        <v>0</v>
      </c>
      <c r="AL52" s="28">
        <f>IF(AN52=21,I52,0)</f>
        <v>0</v>
      </c>
      <c r="AN52" s="28">
        <v>21</v>
      </c>
      <c r="AO52" s="28">
        <f>H52*0.304531722054381</f>
        <v>0</v>
      </c>
      <c r="AP52" s="28">
        <f>H52*(1-0.304531722054381)</f>
        <v>0</v>
      </c>
      <c r="AQ52" s="30" t="s">
        <v>900</v>
      </c>
      <c r="AV52" s="28">
        <f>AW52+AX52</f>
        <v>0</v>
      </c>
      <c r="AW52" s="28">
        <f>G52*AO52</f>
        <v>0</v>
      </c>
      <c r="AX52" s="28">
        <f>G52*AP52</f>
        <v>0</v>
      </c>
      <c r="AY52" s="30" t="s">
        <v>250</v>
      </c>
      <c r="AZ52" s="30" t="s">
        <v>218</v>
      </c>
      <c r="BA52" s="21" t="s">
        <v>460</v>
      </c>
      <c r="BC52" s="28">
        <f>AW52+AX52</f>
        <v>0</v>
      </c>
      <c r="BD52" s="28">
        <f>H52/(100-BE52)*100</f>
        <v>0</v>
      </c>
      <c r="BE52" s="28">
        <v>0</v>
      </c>
      <c r="BF52" s="28">
        <f>52</f>
        <v>52</v>
      </c>
      <c r="BH52" s="28">
        <f>G52*AO52</f>
        <v>0</v>
      </c>
      <c r="BI52" s="28">
        <f>G52*AP52</f>
        <v>0</v>
      </c>
      <c r="BJ52" s="28">
        <f>G52*H52</f>
        <v>0</v>
      </c>
      <c r="BK52" s="28"/>
      <c r="BL52" s="28">
        <v>767</v>
      </c>
      <c r="BW52" s="28">
        <v>21</v>
      </c>
    </row>
    <row r="53" spans="1:11" ht="15" customHeight="1">
      <c r="A53" s="3" t="s">
        <v>626</v>
      </c>
      <c r="B53" s="43" t="s">
        <v>508</v>
      </c>
      <c r="C53" s="43" t="s">
        <v>626</v>
      </c>
      <c r="D53" s="103" t="s">
        <v>255</v>
      </c>
      <c r="E53" s="104"/>
      <c r="F53" s="37" t="s">
        <v>836</v>
      </c>
      <c r="G53" s="37" t="s">
        <v>836</v>
      </c>
      <c r="H53" s="118" t="s">
        <v>836</v>
      </c>
      <c r="I53" s="119">
        <f>I54+I62+I85+I87+I90+I97+I118</f>
        <v>0</v>
      </c>
      <c r="K53" s="8"/>
    </row>
    <row r="54" spans="1:47" ht="15" customHeight="1">
      <c r="A54" s="3" t="s">
        <v>626</v>
      </c>
      <c r="B54" s="43" t="s">
        <v>508</v>
      </c>
      <c r="C54" s="43" t="s">
        <v>451</v>
      </c>
      <c r="D54" s="103" t="s">
        <v>538</v>
      </c>
      <c r="E54" s="104"/>
      <c r="F54" s="37" t="s">
        <v>836</v>
      </c>
      <c r="G54" s="37" t="s">
        <v>836</v>
      </c>
      <c r="H54" s="118" t="s">
        <v>836</v>
      </c>
      <c r="I54" s="119">
        <f>SUM(I55:I61)</f>
        <v>0</v>
      </c>
      <c r="K54" s="8"/>
      <c r="AI54" s="21" t="s">
        <v>508</v>
      </c>
      <c r="AS54" s="31">
        <f>SUM(AJ55:AJ61)</f>
        <v>0</v>
      </c>
      <c r="AT54" s="31">
        <f>SUM(AK55:AK61)</f>
        <v>0</v>
      </c>
      <c r="AU54" s="31">
        <f>SUM(AL55:AL61)</f>
        <v>0</v>
      </c>
    </row>
    <row r="55" spans="1:75" ht="13.5" customHeight="1">
      <c r="A55" s="38" t="s">
        <v>982</v>
      </c>
      <c r="B55" s="39" t="s">
        <v>508</v>
      </c>
      <c r="C55" s="39" t="s">
        <v>624</v>
      </c>
      <c r="D55" s="50" t="s">
        <v>763</v>
      </c>
      <c r="E55" s="51"/>
      <c r="F55" s="39" t="s">
        <v>473</v>
      </c>
      <c r="G55" s="28">
        <v>16</v>
      </c>
      <c r="H55" s="120">
        <v>0</v>
      </c>
      <c r="I55" s="120">
        <f aca="true" t="shared" si="20" ref="I55:I61">G55*H55</f>
        <v>0</v>
      </c>
      <c r="K55" s="8"/>
      <c r="Z55" s="28">
        <f aca="true" t="shared" si="21" ref="Z55:Z61">IF(AQ55="5",BJ55,0)</f>
        <v>0</v>
      </c>
      <c r="AB55" s="28">
        <f aca="true" t="shared" si="22" ref="AB55:AB61">IF(AQ55="1",BH55,0)</f>
        <v>0</v>
      </c>
      <c r="AC55" s="28">
        <f aca="true" t="shared" si="23" ref="AC55:AC61">IF(AQ55="1",BI55,0)</f>
        <v>0</v>
      </c>
      <c r="AD55" s="28">
        <f aca="true" t="shared" si="24" ref="AD55:AD61">IF(AQ55="7",BH55,0)</f>
        <v>0</v>
      </c>
      <c r="AE55" s="28">
        <f aca="true" t="shared" si="25" ref="AE55:AE61">IF(AQ55="7",BI55,0)</f>
        <v>0</v>
      </c>
      <c r="AF55" s="28">
        <f aca="true" t="shared" si="26" ref="AF55:AF61">IF(AQ55="2",BH55,0)</f>
        <v>0</v>
      </c>
      <c r="AG55" s="28">
        <f aca="true" t="shared" si="27" ref="AG55:AG61">IF(AQ55="2",BI55,0)</f>
        <v>0</v>
      </c>
      <c r="AH55" s="28">
        <f aca="true" t="shared" si="28" ref="AH55:AH61">IF(AQ55="0",BJ55,0)</f>
        <v>0</v>
      </c>
      <c r="AI55" s="21" t="s">
        <v>508</v>
      </c>
      <c r="AJ55" s="28">
        <f aca="true" t="shared" si="29" ref="AJ55:AJ61">IF(AN55=0,I55,0)</f>
        <v>0</v>
      </c>
      <c r="AK55" s="28">
        <f aca="true" t="shared" si="30" ref="AK55:AK61">IF(AN55=12,I55,0)</f>
        <v>0</v>
      </c>
      <c r="AL55" s="28">
        <f aca="true" t="shared" si="31" ref="AL55:AL61">IF(AN55=21,I55,0)</f>
        <v>0</v>
      </c>
      <c r="AN55" s="28">
        <v>21</v>
      </c>
      <c r="AO55" s="28">
        <f>H55*0</f>
        <v>0</v>
      </c>
      <c r="AP55" s="28">
        <f>H55*(1-0)</f>
        <v>0</v>
      </c>
      <c r="AQ55" s="30" t="s">
        <v>893</v>
      </c>
      <c r="AV55" s="28">
        <f aca="true" t="shared" si="32" ref="AV55:AV61">AW55+AX55</f>
        <v>0</v>
      </c>
      <c r="AW55" s="28">
        <f aca="true" t="shared" si="33" ref="AW55:AW61">G55*AO55</f>
        <v>0</v>
      </c>
      <c r="AX55" s="28">
        <f aca="true" t="shared" si="34" ref="AX55:AX61">G55*AP55</f>
        <v>0</v>
      </c>
      <c r="AY55" s="30" t="s">
        <v>792</v>
      </c>
      <c r="AZ55" s="30" t="s">
        <v>655</v>
      </c>
      <c r="BA55" s="21" t="s">
        <v>316</v>
      </c>
      <c r="BC55" s="28">
        <f aca="true" t="shared" si="35" ref="BC55:BC61">AW55+AX55</f>
        <v>0</v>
      </c>
      <c r="BD55" s="28">
        <f aca="true" t="shared" si="36" ref="BD55:BD61">H55/(100-BE55)*100</f>
        <v>0</v>
      </c>
      <c r="BE55" s="28">
        <v>0</v>
      </c>
      <c r="BF55" s="28">
        <f>55</f>
        <v>55</v>
      </c>
      <c r="BH55" s="28">
        <f aca="true" t="shared" si="37" ref="BH55:BH61">G55*AO55</f>
        <v>0</v>
      </c>
      <c r="BI55" s="28">
        <f aca="true" t="shared" si="38" ref="BI55:BI61">G55*AP55</f>
        <v>0</v>
      </c>
      <c r="BJ55" s="28">
        <f aca="true" t="shared" si="39" ref="BJ55:BJ61">G55*H55</f>
        <v>0</v>
      </c>
      <c r="BK55" s="28"/>
      <c r="BL55" s="28">
        <v>0</v>
      </c>
      <c r="BW55" s="28">
        <v>21</v>
      </c>
    </row>
    <row r="56" spans="1:75" ht="27" customHeight="1">
      <c r="A56" s="38" t="s">
        <v>70</v>
      </c>
      <c r="B56" s="39" t="s">
        <v>508</v>
      </c>
      <c r="C56" s="39" t="s">
        <v>618</v>
      </c>
      <c r="D56" s="50" t="s">
        <v>616</v>
      </c>
      <c r="E56" s="51"/>
      <c r="F56" s="39" t="s">
        <v>578</v>
      </c>
      <c r="G56" s="28">
        <v>8</v>
      </c>
      <c r="H56" s="120">
        <v>0</v>
      </c>
      <c r="I56" s="120">
        <f t="shared" si="20"/>
        <v>0</v>
      </c>
      <c r="K56" s="8"/>
      <c r="Z56" s="28">
        <f t="shared" si="21"/>
        <v>0</v>
      </c>
      <c r="AB56" s="28">
        <f t="shared" si="22"/>
        <v>0</v>
      </c>
      <c r="AC56" s="28">
        <f t="shared" si="23"/>
        <v>0</v>
      </c>
      <c r="AD56" s="28">
        <f t="shared" si="24"/>
        <v>0</v>
      </c>
      <c r="AE56" s="28">
        <f t="shared" si="25"/>
        <v>0</v>
      </c>
      <c r="AF56" s="28">
        <f t="shared" si="26"/>
        <v>0</v>
      </c>
      <c r="AG56" s="28">
        <f t="shared" si="27"/>
        <v>0</v>
      </c>
      <c r="AH56" s="28">
        <f t="shared" si="28"/>
        <v>0</v>
      </c>
      <c r="AI56" s="21" t="s">
        <v>508</v>
      </c>
      <c r="AJ56" s="28">
        <f t="shared" si="29"/>
        <v>0</v>
      </c>
      <c r="AK56" s="28">
        <f t="shared" si="30"/>
        <v>0</v>
      </c>
      <c r="AL56" s="28">
        <f t="shared" si="31"/>
        <v>0</v>
      </c>
      <c r="AN56" s="28">
        <v>21</v>
      </c>
      <c r="AO56" s="28">
        <f>H56*0.298352654057352</f>
        <v>0</v>
      </c>
      <c r="AP56" s="28">
        <f>H56*(1-0.298352654057352)</f>
        <v>0</v>
      </c>
      <c r="AQ56" s="30" t="s">
        <v>893</v>
      </c>
      <c r="AV56" s="28">
        <f t="shared" si="32"/>
        <v>0</v>
      </c>
      <c r="AW56" s="28">
        <f t="shared" si="33"/>
        <v>0</v>
      </c>
      <c r="AX56" s="28">
        <f t="shared" si="34"/>
        <v>0</v>
      </c>
      <c r="AY56" s="30" t="s">
        <v>792</v>
      </c>
      <c r="AZ56" s="30" t="s">
        <v>655</v>
      </c>
      <c r="BA56" s="21" t="s">
        <v>316</v>
      </c>
      <c r="BC56" s="28">
        <f t="shared" si="35"/>
        <v>0</v>
      </c>
      <c r="BD56" s="28">
        <f t="shared" si="36"/>
        <v>0</v>
      </c>
      <c r="BE56" s="28">
        <v>0</v>
      </c>
      <c r="BF56" s="28">
        <f>56</f>
        <v>56</v>
      </c>
      <c r="BH56" s="28">
        <f t="shared" si="37"/>
        <v>0</v>
      </c>
      <c r="BI56" s="28">
        <f t="shared" si="38"/>
        <v>0</v>
      </c>
      <c r="BJ56" s="28">
        <f t="shared" si="39"/>
        <v>0</v>
      </c>
      <c r="BK56" s="28"/>
      <c r="BL56" s="28">
        <v>0</v>
      </c>
      <c r="BW56" s="28">
        <v>21</v>
      </c>
    </row>
    <row r="57" spans="1:75" ht="13.5" customHeight="1">
      <c r="A57" s="38" t="s">
        <v>571</v>
      </c>
      <c r="B57" s="39" t="s">
        <v>508</v>
      </c>
      <c r="C57" s="39" t="s">
        <v>522</v>
      </c>
      <c r="D57" s="50" t="s">
        <v>325</v>
      </c>
      <c r="E57" s="51"/>
      <c r="F57" s="39" t="s">
        <v>311</v>
      </c>
      <c r="G57" s="28">
        <v>12</v>
      </c>
      <c r="H57" s="120">
        <v>0</v>
      </c>
      <c r="I57" s="120">
        <f t="shared" si="20"/>
        <v>0</v>
      </c>
      <c r="K57" s="8"/>
      <c r="Z57" s="28">
        <f t="shared" si="21"/>
        <v>0</v>
      </c>
      <c r="AB57" s="28">
        <f t="shared" si="22"/>
        <v>0</v>
      </c>
      <c r="AC57" s="28">
        <f t="shared" si="23"/>
        <v>0</v>
      </c>
      <c r="AD57" s="28">
        <f t="shared" si="24"/>
        <v>0</v>
      </c>
      <c r="AE57" s="28">
        <f t="shared" si="25"/>
        <v>0</v>
      </c>
      <c r="AF57" s="28">
        <f t="shared" si="26"/>
        <v>0</v>
      </c>
      <c r="AG57" s="28">
        <f t="shared" si="27"/>
        <v>0</v>
      </c>
      <c r="AH57" s="28">
        <f t="shared" si="28"/>
        <v>0</v>
      </c>
      <c r="AI57" s="21" t="s">
        <v>508</v>
      </c>
      <c r="AJ57" s="28">
        <f t="shared" si="29"/>
        <v>0</v>
      </c>
      <c r="AK57" s="28">
        <f t="shared" si="30"/>
        <v>0</v>
      </c>
      <c r="AL57" s="28">
        <f t="shared" si="31"/>
        <v>0</v>
      </c>
      <c r="AN57" s="28">
        <v>21</v>
      </c>
      <c r="AO57" s="28">
        <f>H57*0.790020703933747</f>
        <v>0</v>
      </c>
      <c r="AP57" s="28">
        <f>H57*(1-0.790020703933747)</f>
        <v>0</v>
      </c>
      <c r="AQ57" s="30" t="s">
        <v>893</v>
      </c>
      <c r="AV57" s="28">
        <f t="shared" si="32"/>
        <v>0</v>
      </c>
      <c r="AW57" s="28">
        <f t="shared" si="33"/>
        <v>0</v>
      </c>
      <c r="AX57" s="28">
        <f t="shared" si="34"/>
        <v>0</v>
      </c>
      <c r="AY57" s="30" t="s">
        <v>792</v>
      </c>
      <c r="AZ57" s="30" t="s">
        <v>655</v>
      </c>
      <c r="BA57" s="21" t="s">
        <v>316</v>
      </c>
      <c r="BC57" s="28">
        <f t="shared" si="35"/>
        <v>0</v>
      </c>
      <c r="BD57" s="28">
        <f t="shared" si="36"/>
        <v>0</v>
      </c>
      <c r="BE57" s="28">
        <v>0</v>
      </c>
      <c r="BF57" s="28">
        <f>57</f>
        <v>57</v>
      </c>
      <c r="BH57" s="28">
        <f t="shared" si="37"/>
        <v>0</v>
      </c>
      <c r="BI57" s="28">
        <f t="shared" si="38"/>
        <v>0</v>
      </c>
      <c r="BJ57" s="28">
        <f t="shared" si="39"/>
        <v>0</v>
      </c>
      <c r="BK57" s="28"/>
      <c r="BL57" s="28">
        <v>0</v>
      </c>
      <c r="BW57" s="28">
        <v>21</v>
      </c>
    </row>
    <row r="58" spans="1:75" ht="13.5" customHeight="1">
      <c r="A58" s="38" t="s">
        <v>524</v>
      </c>
      <c r="B58" s="39" t="s">
        <v>508</v>
      </c>
      <c r="C58" s="39" t="s">
        <v>181</v>
      </c>
      <c r="D58" s="50" t="s">
        <v>28</v>
      </c>
      <c r="E58" s="51"/>
      <c r="F58" s="39" t="s">
        <v>311</v>
      </c>
      <c r="G58" s="28">
        <v>1</v>
      </c>
      <c r="H58" s="120">
        <v>0</v>
      </c>
      <c r="I58" s="120">
        <f t="shared" si="20"/>
        <v>0</v>
      </c>
      <c r="K58" s="8"/>
      <c r="Z58" s="28">
        <f t="shared" si="21"/>
        <v>0</v>
      </c>
      <c r="AB58" s="28">
        <f t="shared" si="22"/>
        <v>0</v>
      </c>
      <c r="AC58" s="28">
        <f t="shared" si="23"/>
        <v>0</v>
      </c>
      <c r="AD58" s="28">
        <f t="shared" si="24"/>
        <v>0</v>
      </c>
      <c r="AE58" s="28">
        <f t="shared" si="25"/>
        <v>0</v>
      </c>
      <c r="AF58" s="28">
        <f t="shared" si="26"/>
        <v>0</v>
      </c>
      <c r="AG58" s="28">
        <f t="shared" si="27"/>
        <v>0</v>
      </c>
      <c r="AH58" s="28">
        <f t="shared" si="28"/>
        <v>0</v>
      </c>
      <c r="AI58" s="21" t="s">
        <v>508</v>
      </c>
      <c r="AJ58" s="28">
        <f t="shared" si="29"/>
        <v>0</v>
      </c>
      <c r="AK58" s="28">
        <f t="shared" si="30"/>
        <v>0</v>
      </c>
      <c r="AL58" s="28">
        <f t="shared" si="31"/>
        <v>0</v>
      </c>
      <c r="AN58" s="28">
        <v>21</v>
      </c>
      <c r="AO58" s="28">
        <f>H58*0</f>
        <v>0</v>
      </c>
      <c r="AP58" s="28">
        <f>H58*(1-0)</f>
        <v>0</v>
      </c>
      <c r="AQ58" s="30" t="s">
        <v>893</v>
      </c>
      <c r="AV58" s="28">
        <f t="shared" si="32"/>
        <v>0</v>
      </c>
      <c r="AW58" s="28">
        <f t="shared" si="33"/>
        <v>0</v>
      </c>
      <c r="AX58" s="28">
        <f t="shared" si="34"/>
        <v>0</v>
      </c>
      <c r="AY58" s="30" t="s">
        <v>792</v>
      </c>
      <c r="AZ58" s="30" t="s">
        <v>655</v>
      </c>
      <c r="BA58" s="21" t="s">
        <v>316</v>
      </c>
      <c r="BC58" s="28">
        <f t="shared" si="35"/>
        <v>0</v>
      </c>
      <c r="BD58" s="28">
        <f t="shared" si="36"/>
        <v>0</v>
      </c>
      <c r="BE58" s="28">
        <v>0</v>
      </c>
      <c r="BF58" s="28">
        <f>58</f>
        <v>58</v>
      </c>
      <c r="BH58" s="28">
        <f t="shared" si="37"/>
        <v>0</v>
      </c>
      <c r="BI58" s="28">
        <f t="shared" si="38"/>
        <v>0</v>
      </c>
      <c r="BJ58" s="28">
        <f t="shared" si="39"/>
        <v>0</v>
      </c>
      <c r="BK58" s="28"/>
      <c r="BL58" s="28">
        <v>0</v>
      </c>
      <c r="BW58" s="28">
        <v>21</v>
      </c>
    </row>
    <row r="59" spans="1:75" ht="13.5" customHeight="1">
      <c r="A59" s="38" t="s">
        <v>752</v>
      </c>
      <c r="B59" s="39" t="s">
        <v>508</v>
      </c>
      <c r="C59" s="39" t="s">
        <v>370</v>
      </c>
      <c r="D59" s="50" t="s">
        <v>32</v>
      </c>
      <c r="E59" s="51"/>
      <c r="F59" s="39" t="s">
        <v>311</v>
      </c>
      <c r="G59" s="28">
        <v>1</v>
      </c>
      <c r="H59" s="120">
        <v>0</v>
      </c>
      <c r="I59" s="120">
        <f t="shared" si="20"/>
        <v>0</v>
      </c>
      <c r="K59" s="8"/>
      <c r="Z59" s="28">
        <f t="shared" si="21"/>
        <v>0</v>
      </c>
      <c r="AB59" s="28">
        <f t="shared" si="22"/>
        <v>0</v>
      </c>
      <c r="AC59" s="28">
        <f t="shared" si="23"/>
        <v>0</v>
      </c>
      <c r="AD59" s="28">
        <f t="shared" si="24"/>
        <v>0</v>
      </c>
      <c r="AE59" s="28">
        <f t="shared" si="25"/>
        <v>0</v>
      </c>
      <c r="AF59" s="28">
        <f t="shared" si="26"/>
        <v>0</v>
      </c>
      <c r="AG59" s="28">
        <f t="shared" si="27"/>
        <v>0</v>
      </c>
      <c r="AH59" s="28">
        <f t="shared" si="28"/>
        <v>0</v>
      </c>
      <c r="AI59" s="21" t="s">
        <v>508</v>
      </c>
      <c r="AJ59" s="28">
        <f t="shared" si="29"/>
        <v>0</v>
      </c>
      <c r="AK59" s="28">
        <f t="shared" si="30"/>
        <v>0</v>
      </c>
      <c r="AL59" s="28">
        <f t="shared" si="31"/>
        <v>0</v>
      </c>
      <c r="AN59" s="28">
        <v>21</v>
      </c>
      <c r="AO59" s="28">
        <f>H59*0</f>
        <v>0</v>
      </c>
      <c r="AP59" s="28">
        <f>H59*(1-0)</f>
        <v>0</v>
      </c>
      <c r="AQ59" s="30" t="s">
        <v>893</v>
      </c>
      <c r="AV59" s="28">
        <f t="shared" si="32"/>
        <v>0</v>
      </c>
      <c r="AW59" s="28">
        <f t="shared" si="33"/>
        <v>0</v>
      </c>
      <c r="AX59" s="28">
        <f t="shared" si="34"/>
        <v>0</v>
      </c>
      <c r="AY59" s="30" t="s">
        <v>792</v>
      </c>
      <c r="AZ59" s="30" t="s">
        <v>655</v>
      </c>
      <c r="BA59" s="21" t="s">
        <v>316</v>
      </c>
      <c r="BC59" s="28">
        <f t="shared" si="35"/>
        <v>0</v>
      </c>
      <c r="BD59" s="28">
        <f t="shared" si="36"/>
        <v>0</v>
      </c>
      <c r="BE59" s="28">
        <v>0</v>
      </c>
      <c r="BF59" s="28">
        <f>59</f>
        <v>59</v>
      </c>
      <c r="BH59" s="28">
        <f t="shared" si="37"/>
        <v>0</v>
      </c>
      <c r="BI59" s="28">
        <f t="shared" si="38"/>
        <v>0</v>
      </c>
      <c r="BJ59" s="28">
        <f t="shared" si="39"/>
        <v>0</v>
      </c>
      <c r="BK59" s="28"/>
      <c r="BL59" s="28">
        <v>0</v>
      </c>
      <c r="BW59" s="28">
        <v>21</v>
      </c>
    </row>
    <row r="60" spans="1:75" ht="13.5" customHeight="1">
      <c r="A60" s="38" t="s">
        <v>197</v>
      </c>
      <c r="B60" s="39" t="s">
        <v>508</v>
      </c>
      <c r="C60" s="39" t="s">
        <v>169</v>
      </c>
      <c r="D60" s="50" t="s">
        <v>372</v>
      </c>
      <c r="E60" s="51"/>
      <c r="F60" s="39" t="s">
        <v>396</v>
      </c>
      <c r="G60" s="28">
        <v>0.61323</v>
      </c>
      <c r="H60" s="120">
        <v>0</v>
      </c>
      <c r="I60" s="120">
        <f t="shared" si="20"/>
        <v>0</v>
      </c>
      <c r="K60" s="8"/>
      <c r="Z60" s="28">
        <f t="shared" si="21"/>
        <v>0</v>
      </c>
      <c r="AB60" s="28">
        <f t="shared" si="22"/>
        <v>0</v>
      </c>
      <c r="AC60" s="28">
        <f t="shared" si="23"/>
        <v>0</v>
      </c>
      <c r="AD60" s="28">
        <f t="shared" si="24"/>
        <v>0</v>
      </c>
      <c r="AE60" s="28">
        <f t="shared" si="25"/>
        <v>0</v>
      </c>
      <c r="AF60" s="28">
        <f t="shared" si="26"/>
        <v>0</v>
      </c>
      <c r="AG60" s="28">
        <f t="shared" si="27"/>
        <v>0</v>
      </c>
      <c r="AH60" s="28">
        <f t="shared" si="28"/>
        <v>0</v>
      </c>
      <c r="AI60" s="21" t="s">
        <v>508</v>
      </c>
      <c r="AJ60" s="28">
        <f t="shared" si="29"/>
        <v>0</v>
      </c>
      <c r="AK60" s="28">
        <f t="shared" si="30"/>
        <v>0</v>
      </c>
      <c r="AL60" s="28">
        <f t="shared" si="31"/>
        <v>0</v>
      </c>
      <c r="AN60" s="28">
        <v>21</v>
      </c>
      <c r="AO60" s="28">
        <f>H60*0</f>
        <v>0</v>
      </c>
      <c r="AP60" s="28">
        <f>H60*(1-0)</f>
        <v>0</v>
      </c>
      <c r="AQ60" s="30" t="s">
        <v>455</v>
      </c>
      <c r="AV60" s="28">
        <f t="shared" si="32"/>
        <v>0</v>
      </c>
      <c r="AW60" s="28">
        <f t="shared" si="33"/>
        <v>0</v>
      </c>
      <c r="AX60" s="28">
        <f t="shared" si="34"/>
        <v>0</v>
      </c>
      <c r="AY60" s="30" t="s">
        <v>792</v>
      </c>
      <c r="AZ60" s="30" t="s">
        <v>655</v>
      </c>
      <c r="BA60" s="21" t="s">
        <v>316</v>
      </c>
      <c r="BC60" s="28">
        <f t="shared" si="35"/>
        <v>0</v>
      </c>
      <c r="BD60" s="28">
        <f t="shared" si="36"/>
        <v>0</v>
      </c>
      <c r="BE60" s="28">
        <v>0</v>
      </c>
      <c r="BF60" s="28">
        <f>60</f>
        <v>60</v>
      </c>
      <c r="BH60" s="28">
        <f t="shared" si="37"/>
        <v>0</v>
      </c>
      <c r="BI60" s="28">
        <f t="shared" si="38"/>
        <v>0</v>
      </c>
      <c r="BJ60" s="28">
        <f t="shared" si="39"/>
        <v>0</v>
      </c>
      <c r="BK60" s="28"/>
      <c r="BL60" s="28">
        <v>0</v>
      </c>
      <c r="BW60" s="28">
        <v>21</v>
      </c>
    </row>
    <row r="61" spans="1:75" ht="13.5" customHeight="1">
      <c r="A61" s="38" t="s">
        <v>1009</v>
      </c>
      <c r="B61" s="39" t="s">
        <v>508</v>
      </c>
      <c r="C61" s="39" t="s">
        <v>476</v>
      </c>
      <c r="D61" s="50" t="s">
        <v>731</v>
      </c>
      <c r="E61" s="51"/>
      <c r="F61" s="39" t="s">
        <v>396</v>
      </c>
      <c r="G61" s="28">
        <v>0.61323</v>
      </c>
      <c r="H61" s="120">
        <v>0</v>
      </c>
      <c r="I61" s="120">
        <f t="shared" si="20"/>
        <v>0</v>
      </c>
      <c r="K61" s="8"/>
      <c r="Z61" s="28">
        <f t="shared" si="21"/>
        <v>0</v>
      </c>
      <c r="AB61" s="28">
        <f t="shared" si="22"/>
        <v>0</v>
      </c>
      <c r="AC61" s="28">
        <f t="shared" si="23"/>
        <v>0</v>
      </c>
      <c r="AD61" s="28">
        <f t="shared" si="24"/>
        <v>0</v>
      </c>
      <c r="AE61" s="28">
        <f t="shared" si="25"/>
        <v>0</v>
      </c>
      <c r="AF61" s="28">
        <f t="shared" si="26"/>
        <v>0</v>
      </c>
      <c r="AG61" s="28">
        <f t="shared" si="27"/>
        <v>0</v>
      </c>
      <c r="AH61" s="28">
        <f t="shared" si="28"/>
        <v>0</v>
      </c>
      <c r="AI61" s="21" t="s">
        <v>508</v>
      </c>
      <c r="AJ61" s="28">
        <f t="shared" si="29"/>
        <v>0</v>
      </c>
      <c r="AK61" s="28">
        <f t="shared" si="30"/>
        <v>0</v>
      </c>
      <c r="AL61" s="28">
        <f t="shared" si="31"/>
        <v>0</v>
      </c>
      <c r="AN61" s="28">
        <v>21</v>
      </c>
      <c r="AO61" s="28">
        <f>H61*0</f>
        <v>0</v>
      </c>
      <c r="AP61" s="28">
        <f>H61*(1-0)</f>
        <v>0</v>
      </c>
      <c r="AQ61" s="30" t="s">
        <v>455</v>
      </c>
      <c r="AV61" s="28">
        <f t="shared" si="32"/>
        <v>0</v>
      </c>
      <c r="AW61" s="28">
        <f t="shared" si="33"/>
        <v>0</v>
      </c>
      <c r="AX61" s="28">
        <f t="shared" si="34"/>
        <v>0</v>
      </c>
      <c r="AY61" s="30" t="s">
        <v>792</v>
      </c>
      <c r="AZ61" s="30" t="s">
        <v>655</v>
      </c>
      <c r="BA61" s="21" t="s">
        <v>316</v>
      </c>
      <c r="BC61" s="28">
        <f t="shared" si="35"/>
        <v>0</v>
      </c>
      <c r="BD61" s="28">
        <f t="shared" si="36"/>
        <v>0</v>
      </c>
      <c r="BE61" s="28">
        <v>0</v>
      </c>
      <c r="BF61" s="28">
        <f>61</f>
        <v>61</v>
      </c>
      <c r="BH61" s="28">
        <f t="shared" si="37"/>
        <v>0</v>
      </c>
      <c r="BI61" s="28">
        <f t="shared" si="38"/>
        <v>0</v>
      </c>
      <c r="BJ61" s="28">
        <f t="shared" si="39"/>
        <v>0</v>
      </c>
      <c r="BK61" s="28"/>
      <c r="BL61" s="28">
        <v>0</v>
      </c>
      <c r="BW61" s="28">
        <v>21</v>
      </c>
    </row>
    <row r="62" spans="1:47" ht="15" customHeight="1">
      <c r="A62" s="3" t="s">
        <v>626</v>
      </c>
      <c r="B62" s="43" t="s">
        <v>508</v>
      </c>
      <c r="C62" s="43" t="s">
        <v>812</v>
      </c>
      <c r="D62" s="103" t="s">
        <v>547</v>
      </c>
      <c r="E62" s="104"/>
      <c r="F62" s="37" t="s">
        <v>836</v>
      </c>
      <c r="G62" s="37" t="s">
        <v>836</v>
      </c>
      <c r="H62" s="118" t="s">
        <v>836</v>
      </c>
      <c r="I62" s="119">
        <f>SUM(I63:I84)</f>
        <v>0</v>
      </c>
      <c r="K62" s="8"/>
      <c r="AI62" s="21" t="s">
        <v>508</v>
      </c>
      <c r="AS62" s="31">
        <f>SUM(AJ63:AJ84)</f>
        <v>0</v>
      </c>
      <c r="AT62" s="31">
        <f>SUM(AK63:AK84)</f>
        <v>0</v>
      </c>
      <c r="AU62" s="31">
        <f>SUM(AL63:AL84)</f>
        <v>0</v>
      </c>
    </row>
    <row r="63" spans="1:75" ht="13.5" customHeight="1">
      <c r="A63" s="38" t="s">
        <v>794</v>
      </c>
      <c r="B63" s="39" t="s">
        <v>508</v>
      </c>
      <c r="C63" s="39" t="s">
        <v>500</v>
      </c>
      <c r="D63" s="50" t="s">
        <v>1031</v>
      </c>
      <c r="E63" s="51"/>
      <c r="F63" s="39" t="s">
        <v>228</v>
      </c>
      <c r="G63" s="28">
        <v>1</v>
      </c>
      <c r="H63" s="120">
        <v>0</v>
      </c>
      <c r="I63" s="120">
        <f aca="true" t="shared" si="40" ref="I63:I84">G63*H63</f>
        <v>0</v>
      </c>
      <c r="K63" s="8"/>
      <c r="Z63" s="28">
        <f aca="true" t="shared" si="41" ref="Z63:Z84">IF(AQ63="5",BJ63,0)</f>
        <v>0</v>
      </c>
      <c r="AB63" s="28">
        <f aca="true" t="shared" si="42" ref="AB63:AB84">IF(AQ63="1",BH63,0)</f>
        <v>0</v>
      </c>
      <c r="AC63" s="28">
        <f aca="true" t="shared" si="43" ref="AC63:AC84">IF(AQ63="1",BI63,0)</f>
        <v>0</v>
      </c>
      <c r="AD63" s="28">
        <f aca="true" t="shared" si="44" ref="AD63:AD84">IF(AQ63="7",BH63,0)</f>
        <v>0</v>
      </c>
      <c r="AE63" s="28">
        <f aca="true" t="shared" si="45" ref="AE63:AE84">IF(AQ63="7",BI63,0)</f>
        <v>0</v>
      </c>
      <c r="AF63" s="28">
        <f aca="true" t="shared" si="46" ref="AF63:AF84">IF(AQ63="2",BH63,0)</f>
        <v>0</v>
      </c>
      <c r="AG63" s="28">
        <f aca="true" t="shared" si="47" ref="AG63:AG84">IF(AQ63="2",BI63,0)</f>
        <v>0</v>
      </c>
      <c r="AH63" s="28">
        <f aca="true" t="shared" si="48" ref="AH63:AH84">IF(AQ63="0",BJ63,0)</f>
        <v>0</v>
      </c>
      <c r="AI63" s="21" t="s">
        <v>508</v>
      </c>
      <c r="AJ63" s="28">
        <f aca="true" t="shared" si="49" ref="AJ63:AJ84">IF(AN63=0,I63,0)</f>
        <v>0</v>
      </c>
      <c r="AK63" s="28">
        <f aca="true" t="shared" si="50" ref="AK63:AK84">IF(AN63=12,I63,0)</f>
        <v>0</v>
      </c>
      <c r="AL63" s="28">
        <f aca="true" t="shared" si="51" ref="AL63:AL84">IF(AN63=21,I63,0)</f>
        <v>0</v>
      </c>
      <c r="AN63" s="28">
        <v>21</v>
      </c>
      <c r="AO63" s="28">
        <f>H63*0.835964240102171</f>
        <v>0</v>
      </c>
      <c r="AP63" s="28">
        <f>H63*(1-0.835964240102171)</f>
        <v>0</v>
      </c>
      <c r="AQ63" s="30" t="s">
        <v>900</v>
      </c>
      <c r="AV63" s="28">
        <f aca="true" t="shared" si="52" ref="AV63:AV84">AW63+AX63</f>
        <v>0</v>
      </c>
      <c r="AW63" s="28">
        <f aca="true" t="shared" si="53" ref="AW63:AW84">G63*AO63</f>
        <v>0</v>
      </c>
      <c r="AX63" s="28">
        <f aca="true" t="shared" si="54" ref="AX63:AX84">G63*AP63</f>
        <v>0</v>
      </c>
      <c r="AY63" s="30" t="s">
        <v>562</v>
      </c>
      <c r="AZ63" s="30" t="s">
        <v>985</v>
      </c>
      <c r="BA63" s="21" t="s">
        <v>316</v>
      </c>
      <c r="BC63" s="28">
        <f aca="true" t="shared" si="55" ref="BC63:BC84">AW63+AX63</f>
        <v>0</v>
      </c>
      <c r="BD63" s="28">
        <f aca="true" t="shared" si="56" ref="BD63:BD84">H63/(100-BE63)*100</f>
        <v>0</v>
      </c>
      <c r="BE63" s="28">
        <v>0</v>
      </c>
      <c r="BF63" s="28">
        <f>63</f>
        <v>63</v>
      </c>
      <c r="BH63" s="28">
        <f aca="true" t="shared" si="57" ref="BH63:BH84">G63*AO63</f>
        <v>0</v>
      </c>
      <c r="BI63" s="28">
        <f aca="true" t="shared" si="58" ref="BI63:BI84">G63*AP63</f>
        <v>0</v>
      </c>
      <c r="BJ63" s="28">
        <f aca="true" t="shared" si="59" ref="BJ63:BJ84">G63*H63</f>
        <v>0</v>
      </c>
      <c r="BK63" s="28"/>
      <c r="BL63" s="28">
        <v>722</v>
      </c>
      <c r="BW63" s="28">
        <v>21</v>
      </c>
    </row>
    <row r="64" spans="1:75" ht="13.5" customHeight="1">
      <c r="A64" s="38" t="s">
        <v>515</v>
      </c>
      <c r="B64" s="39" t="s">
        <v>508</v>
      </c>
      <c r="C64" s="39" t="s">
        <v>49</v>
      </c>
      <c r="D64" s="50" t="s">
        <v>723</v>
      </c>
      <c r="E64" s="51"/>
      <c r="F64" s="39" t="s">
        <v>228</v>
      </c>
      <c r="G64" s="28">
        <v>2</v>
      </c>
      <c r="H64" s="120">
        <v>0</v>
      </c>
      <c r="I64" s="120">
        <f t="shared" si="40"/>
        <v>0</v>
      </c>
      <c r="K64" s="8"/>
      <c r="Z64" s="28">
        <f t="shared" si="41"/>
        <v>0</v>
      </c>
      <c r="AB64" s="28">
        <f t="shared" si="42"/>
        <v>0</v>
      </c>
      <c r="AC64" s="28">
        <f t="shared" si="43"/>
        <v>0</v>
      </c>
      <c r="AD64" s="28">
        <f t="shared" si="44"/>
        <v>0</v>
      </c>
      <c r="AE64" s="28">
        <f t="shared" si="45"/>
        <v>0</v>
      </c>
      <c r="AF64" s="28">
        <f t="shared" si="46"/>
        <v>0</v>
      </c>
      <c r="AG64" s="28">
        <f t="shared" si="47"/>
        <v>0</v>
      </c>
      <c r="AH64" s="28">
        <f t="shared" si="48"/>
        <v>0</v>
      </c>
      <c r="AI64" s="21" t="s">
        <v>508</v>
      </c>
      <c r="AJ64" s="28">
        <f t="shared" si="49"/>
        <v>0</v>
      </c>
      <c r="AK64" s="28">
        <f t="shared" si="50"/>
        <v>0</v>
      </c>
      <c r="AL64" s="28">
        <f t="shared" si="51"/>
        <v>0</v>
      </c>
      <c r="AN64" s="28">
        <v>21</v>
      </c>
      <c r="AO64" s="28">
        <f>H64*0</f>
        <v>0</v>
      </c>
      <c r="AP64" s="28">
        <f>H64*(1-0)</f>
        <v>0</v>
      </c>
      <c r="AQ64" s="30" t="s">
        <v>900</v>
      </c>
      <c r="AV64" s="28">
        <f t="shared" si="52"/>
        <v>0</v>
      </c>
      <c r="AW64" s="28">
        <f t="shared" si="53"/>
        <v>0</v>
      </c>
      <c r="AX64" s="28">
        <f t="shared" si="54"/>
        <v>0</v>
      </c>
      <c r="AY64" s="30" t="s">
        <v>562</v>
      </c>
      <c r="AZ64" s="30" t="s">
        <v>985</v>
      </c>
      <c r="BA64" s="21" t="s">
        <v>316</v>
      </c>
      <c r="BC64" s="28">
        <f t="shared" si="55"/>
        <v>0</v>
      </c>
      <c r="BD64" s="28">
        <f t="shared" si="56"/>
        <v>0</v>
      </c>
      <c r="BE64" s="28">
        <v>0</v>
      </c>
      <c r="BF64" s="28">
        <f>64</f>
        <v>64</v>
      </c>
      <c r="BH64" s="28">
        <f t="shared" si="57"/>
        <v>0</v>
      </c>
      <c r="BI64" s="28">
        <f t="shared" si="58"/>
        <v>0</v>
      </c>
      <c r="BJ64" s="28">
        <f t="shared" si="59"/>
        <v>0</v>
      </c>
      <c r="BK64" s="28"/>
      <c r="BL64" s="28">
        <v>722</v>
      </c>
      <c r="BW64" s="28">
        <v>21</v>
      </c>
    </row>
    <row r="65" spans="1:75" ht="13.5" customHeight="1">
      <c r="A65" s="38" t="s">
        <v>880</v>
      </c>
      <c r="B65" s="39" t="s">
        <v>508</v>
      </c>
      <c r="C65" s="39" t="s">
        <v>264</v>
      </c>
      <c r="D65" s="50" t="s">
        <v>16</v>
      </c>
      <c r="E65" s="51"/>
      <c r="F65" s="39" t="s">
        <v>228</v>
      </c>
      <c r="G65" s="28">
        <v>1</v>
      </c>
      <c r="H65" s="120">
        <v>0</v>
      </c>
      <c r="I65" s="120">
        <f t="shared" si="40"/>
        <v>0</v>
      </c>
      <c r="K65" s="8"/>
      <c r="Z65" s="28">
        <f t="shared" si="41"/>
        <v>0</v>
      </c>
      <c r="AB65" s="28">
        <f t="shared" si="42"/>
        <v>0</v>
      </c>
      <c r="AC65" s="28">
        <f t="shared" si="43"/>
        <v>0</v>
      </c>
      <c r="AD65" s="28">
        <f t="shared" si="44"/>
        <v>0</v>
      </c>
      <c r="AE65" s="28">
        <f t="shared" si="45"/>
        <v>0</v>
      </c>
      <c r="AF65" s="28">
        <f t="shared" si="46"/>
        <v>0</v>
      </c>
      <c r="AG65" s="28">
        <f t="shared" si="47"/>
        <v>0</v>
      </c>
      <c r="AH65" s="28">
        <f t="shared" si="48"/>
        <v>0</v>
      </c>
      <c r="AI65" s="21" t="s">
        <v>508</v>
      </c>
      <c r="AJ65" s="28">
        <f t="shared" si="49"/>
        <v>0</v>
      </c>
      <c r="AK65" s="28">
        <f t="shared" si="50"/>
        <v>0</v>
      </c>
      <c r="AL65" s="28">
        <f t="shared" si="51"/>
        <v>0</v>
      </c>
      <c r="AN65" s="28">
        <v>21</v>
      </c>
      <c r="AO65" s="28">
        <f>H65*0.832205323193916</f>
        <v>0</v>
      </c>
      <c r="AP65" s="28">
        <f>H65*(1-0.832205323193916)</f>
        <v>0</v>
      </c>
      <c r="AQ65" s="30" t="s">
        <v>900</v>
      </c>
      <c r="AV65" s="28">
        <f t="shared" si="52"/>
        <v>0</v>
      </c>
      <c r="AW65" s="28">
        <f t="shared" si="53"/>
        <v>0</v>
      </c>
      <c r="AX65" s="28">
        <f t="shared" si="54"/>
        <v>0</v>
      </c>
      <c r="AY65" s="30" t="s">
        <v>562</v>
      </c>
      <c r="AZ65" s="30" t="s">
        <v>985</v>
      </c>
      <c r="BA65" s="21" t="s">
        <v>316</v>
      </c>
      <c r="BC65" s="28">
        <f t="shared" si="55"/>
        <v>0</v>
      </c>
      <c r="BD65" s="28">
        <f t="shared" si="56"/>
        <v>0</v>
      </c>
      <c r="BE65" s="28">
        <v>0</v>
      </c>
      <c r="BF65" s="28">
        <f>65</f>
        <v>65</v>
      </c>
      <c r="BH65" s="28">
        <f t="shared" si="57"/>
        <v>0</v>
      </c>
      <c r="BI65" s="28">
        <f t="shared" si="58"/>
        <v>0</v>
      </c>
      <c r="BJ65" s="28">
        <f t="shared" si="59"/>
        <v>0</v>
      </c>
      <c r="BK65" s="28"/>
      <c r="BL65" s="28">
        <v>722</v>
      </c>
      <c r="BW65" s="28">
        <v>21</v>
      </c>
    </row>
    <row r="66" spans="1:75" ht="13.5" customHeight="1">
      <c r="A66" s="38" t="s">
        <v>537</v>
      </c>
      <c r="B66" s="39" t="s">
        <v>508</v>
      </c>
      <c r="C66" s="39" t="s">
        <v>97</v>
      </c>
      <c r="D66" s="50" t="s">
        <v>1032</v>
      </c>
      <c r="E66" s="51"/>
      <c r="F66" s="39" t="s">
        <v>741</v>
      </c>
      <c r="G66" s="28">
        <v>0.5</v>
      </c>
      <c r="H66" s="120">
        <v>0</v>
      </c>
      <c r="I66" s="120">
        <f t="shared" si="40"/>
        <v>0</v>
      </c>
      <c r="K66" s="8"/>
      <c r="Z66" s="28">
        <f t="shared" si="41"/>
        <v>0</v>
      </c>
      <c r="AB66" s="28">
        <f t="shared" si="42"/>
        <v>0</v>
      </c>
      <c r="AC66" s="28">
        <f t="shared" si="43"/>
        <v>0</v>
      </c>
      <c r="AD66" s="28">
        <f t="shared" si="44"/>
        <v>0</v>
      </c>
      <c r="AE66" s="28">
        <f t="shared" si="45"/>
        <v>0</v>
      </c>
      <c r="AF66" s="28">
        <f t="shared" si="46"/>
        <v>0</v>
      </c>
      <c r="AG66" s="28">
        <f t="shared" si="47"/>
        <v>0</v>
      </c>
      <c r="AH66" s="28">
        <f t="shared" si="48"/>
        <v>0</v>
      </c>
      <c r="AI66" s="21" t="s">
        <v>508</v>
      </c>
      <c r="AJ66" s="28">
        <f t="shared" si="49"/>
        <v>0</v>
      </c>
      <c r="AK66" s="28">
        <f t="shared" si="50"/>
        <v>0</v>
      </c>
      <c r="AL66" s="28">
        <f t="shared" si="51"/>
        <v>0</v>
      </c>
      <c r="AN66" s="28">
        <v>21</v>
      </c>
      <c r="AO66" s="28">
        <f>H66*0.58087253414264</f>
        <v>0</v>
      </c>
      <c r="AP66" s="28">
        <f>H66*(1-0.58087253414264)</f>
        <v>0</v>
      </c>
      <c r="AQ66" s="30" t="s">
        <v>900</v>
      </c>
      <c r="AV66" s="28">
        <f t="shared" si="52"/>
        <v>0</v>
      </c>
      <c r="AW66" s="28">
        <f t="shared" si="53"/>
        <v>0</v>
      </c>
      <c r="AX66" s="28">
        <f t="shared" si="54"/>
        <v>0</v>
      </c>
      <c r="AY66" s="30" t="s">
        <v>562</v>
      </c>
      <c r="AZ66" s="30" t="s">
        <v>985</v>
      </c>
      <c r="BA66" s="21" t="s">
        <v>316</v>
      </c>
      <c r="BC66" s="28">
        <f t="shared" si="55"/>
        <v>0</v>
      </c>
      <c r="BD66" s="28">
        <f t="shared" si="56"/>
        <v>0</v>
      </c>
      <c r="BE66" s="28">
        <v>0</v>
      </c>
      <c r="BF66" s="28">
        <f>66</f>
        <v>66</v>
      </c>
      <c r="BH66" s="28">
        <f t="shared" si="57"/>
        <v>0</v>
      </c>
      <c r="BI66" s="28">
        <f t="shared" si="58"/>
        <v>0</v>
      </c>
      <c r="BJ66" s="28">
        <f t="shared" si="59"/>
        <v>0</v>
      </c>
      <c r="BK66" s="28"/>
      <c r="BL66" s="28">
        <v>722</v>
      </c>
      <c r="BW66" s="28">
        <v>21</v>
      </c>
    </row>
    <row r="67" spans="1:75" ht="13.5" customHeight="1">
      <c r="A67" s="38" t="s">
        <v>570</v>
      </c>
      <c r="B67" s="39" t="s">
        <v>508</v>
      </c>
      <c r="C67" s="39" t="s">
        <v>656</v>
      </c>
      <c r="D67" s="50" t="s">
        <v>1033</v>
      </c>
      <c r="E67" s="51"/>
      <c r="F67" s="39" t="s">
        <v>741</v>
      </c>
      <c r="G67" s="28">
        <v>10</v>
      </c>
      <c r="H67" s="120">
        <v>0</v>
      </c>
      <c r="I67" s="120">
        <f t="shared" si="40"/>
        <v>0</v>
      </c>
      <c r="K67" s="8"/>
      <c r="Z67" s="28">
        <f t="shared" si="41"/>
        <v>0</v>
      </c>
      <c r="AB67" s="28">
        <f t="shared" si="42"/>
        <v>0</v>
      </c>
      <c r="AC67" s="28">
        <f t="shared" si="43"/>
        <v>0</v>
      </c>
      <c r="AD67" s="28">
        <f t="shared" si="44"/>
        <v>0</v>
      </c>
      <c r="AE67" s="28">
        <f t="shared" si="45"/>
        <v>0</v>
      </c>
      <c r="AF67" s="28">
        <f t="shared" si="46"/>
        <v>0</v>
      </c>
      <c r="AG67" s="28">
        <f t="shared" si="47"/>
        <v>0</v>
      </c>
      <c r="AH67" s="28">
        <f t="shared" si="48"/>
        <v>0</v>
      </c>
      <c r="AI67" s="21" t="s">
        <v>508</v>
      </c>
      <c r="AJ67" s="28">
        <f t="shared" si="49"/>
        <v>0</v>
      </c>
      <c r="AK67" s="28">
        <f t="shared" si="50"/>
        <v>0</v>
      </c>
      <c r="AL67" s="28">
        <f t="shared" si="51"/>
        <v>0</v>
      </c>
      <c r="AN67" s="28">
        <v>21</v>
      </c>
      <c r="AO67" s="28">
        <f>H67*0.388270254929131</f>
        <v>0</v>
      </c>
      <c r="AP67" s="28">
        <f>H67*(1-0.388270254929131)</f>
        <v>0</v>
      </c>
      <c r="AQ67" s="30" t="s">
        <v>900</v>
      </c>
      <c r="AV67" s="28">
        <f t="shared" si="52"/>
        <v>0</v>
      </c>
      <c r="AW67" s="28">
        <f t="shared" si="53"/>
        <v>0</v>
      </c>
      <c r="AX67" s="28">
        <f t="shared" si="54"/>
        <v>0</v>
      </c>
      <c r="AY67" s="30" t="s">
        <v>562</v>
      </c>
      <c r="AZ67" s="30" t="s">
        <v>985</v>
      </c>
      <c r="BA67" s="21" t="s">
        <v>316</v>
      </c>
      <c r="BC67" s="28">
        <f t="shared" si="55"/>
        <v>0</v>
      </c>
      <c r="BD67" s="28">
        <f t="shared" si="56"/>
        <v>0</v>
      </c>
      <c r="BE67" s="28">
        <v>0</v>
      </c>
      <c r="BF67" s="28">
        <f>67</f>
        <v>67</v>
      </c>
      <c r="BH67" s="28">
        <f t="shared" si="57"/>
        <v>0</v>
      </c>
      <c r="BI67" s="28">
        <f t="shared" si="58"/>
        <v>0</v>
      </c>
      <c r="BJ67" s="28">
        <f t="shared" si="59"/>
        <v>0</v>
      </c>
      <c r="BK67" s="28"/>
      <c r="BL67" s="28">
        <v>722</v>
      </c>
      <c r="BW67" s="28">
        <v>21</v>
      </c>
    </row>
    <row r="68" spans="1:75" ht="13.5" customHeight="1">
      <c r="A68" s="38" t="s">
        <v>315</v>
      </c>
      <c r="B68" s="39" t="s">
        <v>508</v>
      </c>
      <c r="C68" s="39" t="s">
        <v>127</v>
      </c>
      <c r="D68" s="50" t="s">
        <v>1034</v>
      </c>
      <c r="E68" s="51"/>
      <c r="F68" s="39" t="s">
        <v>741</v>
      </c>
      <c r="G68" s="28">
        <v>6</v>
      </c>
      <c r="H68" s="120">
        <v>0</v>
      </c>
      <c r="I68" s="120">
        <f t="shared" si="40"/>
        <v>0</v>
      </c>
      <c r="K68" s="8"/>
      <c r="Z68" s="28">
        <f t="shared" si="41"/>
        <v>0</v>
      </c>
      <c r="AB68" s="28">
        <f t="shared" si="42"/>
        <v>0</v>
      </c>
      <c r="AC68" s="28">
        <f t="shared" si="43"/>
        <v>0</v>
      </c>
      <c r="AD68" s="28">
        <f t="shared" si="44"/>
        <v>0</v>
      </c>
      <c r="AE68" s="28">
        <f t="shared" si="45"/>
        <v>0</v>
      </c>
      <c r="AF68" s="28">
        <f t="shared" si="46"/>
        <v>0</v>
      </c>
      <c r="AG68" s="28">
        <f t="shared" si="47"/>
        <v>0</v>
      </c>
      <c r="AH68" s="28">
        <f t="shared" si="48"/>
        <v>0</v>
      </c>
      <c r="AI68" s="21" t="s">
        <v>508</v>
      </c>
      <c r="AJ68" s="28">
        <f t="shared" si="49"/>
        <v>0</v>
      </c>
      <c r="AK68" s="28">
        <f t="shared" si="50"/>
        <v>0</v>
      </c>
      <c r="AL68" s="28">
        <f t="shared" si="51"/>
        <v>0</v>
      </c>
      <c r="AN68" s="28">
        <v>21</v>
      </c>
      <c r="AO68" s="28">
        <f>H68*0.298134715025907</f>
        <v>0</v>
      </c>
      <c r="AP68" s="28">
        <f>H68*(1-0.298134715025907)</f>
        <v>0</v>
      </c>
      <c r="AQ68" s="30" t="s">
        <v>900</v>
      </c>
      <c r="AV68" s="28">
        <f t="shared" si="52"/>
        <v>0</v>
      </c>
      <c r="AW68" s="28">
        <f t="shared" si="53"/>
        <v>0</v>
      </c>
      <c r="AX68" s="28">
        <f t="shared" si="54"/>
        <v>0</v>
      </c>
      <c r="AY68" s="30" t="s">
        <v>562</v>
      </c>
      <c r="AZ68" s="30" t="s">
        <v>985</v>
      </c>
      <c r="BA68" s="21" t="s">
        <v>316</v>
      </c>
      <c r="BC68" s="28">
        <f t="shared" si="55"/>
        <v>0</v>
      </c>
      <c r="BD68" s="28">
        <f t="shared" si="56"/>
        <v>0</v>
      </c>
      <c r="BE68" s="28">
        <v>0</v>
      </c>
      <c r="BF68" s="28">
        <f>68</f>
        <v>68</v>
      </c>
      <c r="BH68" s="28">
        <f t="shared" si="57"/>
        <v>0</v>
      </c>
      <c r="BI68" s="28">
        <f t="shared" si="58"/>
        <v>0</v>
      </c>
      <c r="BJ68" s="28">
        <f t="shared" si="59"/>
        <v>0</v>
      </c>
      <c r="BK68" s="28"/>
      <c r="BL68" s="28">
        <v>722</v>
      </c>
      <c r="BW68" s="28">
        <v>21</v>
      </c>
    </row>
    <row r="69" spans="1:75" ht="13.5" customHeight="1">
      <c r="A69" s="38" t="s">
        <v>883</v>
      </c>
      <c r="B69" s="39" t="s">
        <v>508</v>
      </c>
      <c r="C69" s="39" t="s">
        <v>414</v>
      </c>
      <c r="D69" s="50" t="s">
        <v>1035</v>
      </c>
      <c r="E69" s="51"/>
      <c r="F69" s="39" t="s">
        <v>741</v>
      </c>
      <c r="G69" s="28">
        <v>0.5</v>
      </c>
      <c r="H69" s="120">
        <v>0</v>
      </c>
      <c r="I69" s="120">
        <f t="shared" si="40"/>
        <v>0</v>
      </c>
      <c r="K69" s="8"/>
      <c r="Z69" s="28">
        <f t="shared" si="41"/>
        <v>0</v>
      </c>
      <c r="AB69" s="28">
        <f t="shared" si="42"/>
        <v>0</v>
      </c>
      <c r="AC69" s="28">
        <f t="shared" si="43"/>
        <v>0</v>
      </c>
      <c r="AD69" s="28">
        <f t="shared" si="44"/>
        <v>0</v>
      </c>
      <c r="AE69" s="28">
        <f t="shared" si="45"/>
        <v>0</v>
      </c>
      <c r="AF69" s="28">
        <f t="shared" si="46"/>
        <v>0</v>
      </c>
      <c r="AG69" s="28">
        <f t="shared" si="47"/>
        <v>0</v>
      </c>
      <c r="AH69" s="28">
        <f t="shared" si="48"/>
        <v>0</v>
      </c>
      <c r="AI69" s="21" t="s">
        <v>508</v>
      </c>
      <c r="AJ69" s="28">
        <f t="shared" si="49"/>
        <v>0</v>
      </c>
      <c r="AK69" s="28">
        <f t="shared" si="50"/>
        <v>0</v>
      </c>
      <c r="AL69" s="28">
        <f t="shared" si="51"/>
        <v>0</v>
      </c>
      <c r="AN69" s="28">
        <v>21</v>
      </c>
      <c r="AO69" s="28">
        <f>H69*0.411054131054131</f>
        <v>0</v>
      </c>
      <c r="AP69" s="28">
        <f>H69*(1-0.411054131054131)</f>
        <v>0</v>
      </c>
      <c r="AQ69" s="30" t="s">
        <v>900</v>
      </c>
      <c r="AV69" s="28">
        <f t="shared" si="52"/>
        <v>0</v>
      </c>
      <c r="AW69" s="28">
        <f t="shared" si="53"/>
        <v>0</v>
      </c>
      <c r="AX69" s="28">
        <f t="shared" si="54"/>
        <v>0</v>
      </c>
      <c r="AY69" s="30" t="s">
        <v>562</v>
      </c>
      <c r="AZ69" s="30" t="s">
        <v>985</v>
      </c>
      <c r="BA69" s="21" t="s">
        <v>316</v>
      </c>
      <c r="BC69" s="28">
        <f t="shared" si="55"/>
        <v>0</v>
      </c>
      <c r="BD69" s="28">
        <f t="shared" si="56"/>
        <v>0</v>
      </c>
      <c r="BE69" s="28">
        <v>0</v>
      </c>
      <c r="BF69" s="28">
        <f>69</f>
        <v>69</v>
      </c>
      <c r="BH69" s="28">
        <f t="shared" si="57"/>
        <v>0</v>
      </c>
      <c r="BI69" s="28">
        <f t="shared" si="58"/>
        <v>0</v>
      </c>
      <c r="BJ69" s="28">
        <f t="shared" si="59"/>
        <v>0</v>
      </c>
      <c r="BK69" s="28"/>
      <c r="BL69" s="28">
        <v>722</v>
      </c>
      <c r="BW69" s="28">
        <v>21</v>
      </c>
    </row>
    <row r="70" spans="1:75" ht="13.5" customHeight="1">
      <c r="A70" s="38" t="s">
        <v>170</v>
      </c>
      <c r="B70" s="39" t="s">
        <v>508</v>
      </c>
      <c r="C70" s="39" t="s">
        <v>88</v>
      </c>
      <c r="D70" s="50" t="s">
        <v>1036</v>
      </c>
      <c r="E70" s="51"/>
      <c r="F70" s="39" t="s">
        <v>741</v>
      </c>
      <c r="G70" s="28">
        <v>3</v>
      </c>
      <c r="H70" s="120">
        <v>0</v>
      </c>
      <c r="I70" s="120">
        <f t="shared" si="40"/>
        <v>0</v>
      </c>
      <c r="K70" s="8"/>
      <c r="Z70" s="28">
        <f t="shared" si="41"/>
        <v>0</v>
      </c>
      <c r="AB70" s="28">
        <f t="shared" si="42"/>
        <v>0</v>
      </c>
      <c r="AC70" s="28">
        <f t="shared" si="43"/>
        <v>0</v>
      </c>
      <c r="AD70" s="28">
        <f t="shared" si="44"/>
        <v>0</v>
      </c>
      <c r="AE70" s="28">
        <f t="shared" si="45"/>
        <v>0</v>
      </c>
      <c r="AF70" s="28">
        <f t="shared" si="46"/>
        <v>0</v>
      </c>
      <c r="AG70" s="28">
        <f t="shared" si="47"/>
        <v>0</v>
      </c>
      <c r="AH70" s="28">
        <f t="shared" si="48"/>
        <v>0</v>
      </c>
      <c r="AI70" s="21" t="s">
        <v>508</v>
      </c>
      <c r="AJ70" s="28">
        <f t="shared" si="49"/>
        <v>0</v>
      </c>
      <c r="AK70" s="28">
        <f t="shared" si="50"/>
        <v>0</v>
      </c>
      <c r="AL70" s="28">
        <f t="shared" si="51"/>
        <v>0</v>
      </c>
      <c r="AN70" s="28">
        <v>21</v>
      </c>
      <c r="AO70" s="28">
        <f>H70*0.628405063291139</f>
        <v>0</v>
      </c>
      <c r="AP70" s="28">
        <f>H70*(1-0.628405063291139)</f>
        <v>0</v>
      </c>
      <c r="AQ70" s="30" t="s">
        <v>900</v>
      </c>
      <c r="AV70" s="28">
        <f t="shared" si="52"/>
        <v>0</v>
      </c>
      <c r="AW70" s="28">
        <f t="shared" si="53"/>
        <v>0</v>
      </c>
      <c r="AX70" s="28">
        <f t="shared" si="54"/>
        <v>0</v>
      </c>
      <c r="AY70" s="30" t="s">
        <v>562</v>
      </c>
      <c r="AZ70" s="30" t="s">
        <v>985</v>
      </c>
      <c r="BA70" s="21" t="s">
        <v>316</v>
      </c>
      <c r="BC70" s="28">
        <f t="shared" si="55"/>
        <v>0</v>
      </c>
      <c r="BD70" s="28">
        <f t="shared" si="56"/>
        <v>0</v>
      </c>
      <c r="BE70" s="28">
        <v>0</v>
      </c>
      <c r="BF70" s="28">
        <f>70</f>
        <v>70</v>
      </c>
      <c r="BH70" s="28">
        <f t="shared" si="57"/>
        <v>0</v>
      </c>
      <c r="BI70" s="28">
        <f t="shared" si="58"/>
        <v>0</v>
      </c>
      <c r="BJ70" s="28">
        <f t="shared" si="59"/>
        <v>0</v>
      </c>
      <c r="BK70" s="28"/>
      <c r="BL70" s="28">
        <v>722</v>
      </c>
      <c r="BW70" s="28">
        <v>21</v>
      </c>
    </row>
    <row r="71" spans="1:75" ht="13.5" customHeight="1">
      <c r="A71" s="38" t="s">
        <v>297</v>
      </c>
      <c r="B71" s="39" t="s">
        <v>508</v>
      </c>
      <c r="C71" s="39" t="s">
        <v>381</v>
      </c>
      <c r="D71" s="50" t="s">
        <v>1037</v>
      </c>
      <c r="E71" s="51"/>
      <c r="F71" s="39" t="s">
        <v>741</v>
      </c>
      <c r="G71" s="28">
        <v>6</v>
      </c>
      <c r="H71" s="120">
        <v>0</v>
      </c>
      <c r="I71" s="120">
        <f t="shared" si="40"/>
        <v>0</v>
      </c>
      <c r="K71" s="8"/>
      <c r="Z71" s="28">
        <f t="shared" si="41"/>
        <v>0</v>
      </c>
      <c r="AB71" s="28">
        <f t="shared" si="42"/>
        <v>0</v>
      </c>
      <c r="AC71" s="28">
        <f t="shared" si="43"/>
        <v>0</v>
      </c>
      <c r="AD71" s="28">
        <f t="shared" si="44"/>
        <v>0</v>
      </c>
      <c r="AE71" s="28">
        <f t="shared" si="45"/>
        <v>0</v>
      </c>
      <c r="AF71" s="28">
        <f t="shared" si="46"/>
        <v>0</v>
      </c>
      <c r="AG71" s="28">
        <f t="shared" si="47"/>
        <v>0</v>
      </c>
      <c r="AH71" s="28">
        <f t="shared" si="48"/>
        <v>0</v>
      </c>
      <c r="AI71" s="21" t="s">
        <v>508</v>
      </c>
      <c r="AJ71" s="28">
        <f t="shared" si="49"/>
        <v>0</v>
      </c>
      <c r="AK71" s="28">
        <f t="shared" si="50"/>
        <v>0</v>
      </c>
      <c r="AL71" s="28">
        <f t="shared" si="51"/>
        <v>0</v>
      </c>
      <c r="AN71" s="28">
        <v>21</v>
      </c>
      <c r="AO71" s="28">
        <f>H71*0.38327731092437</f>
        <v>0</v>
      </c>
      <c r="AP71" s="28">
        <f>H71*(1-0.38327731092437)</f>
        <v>0</v>
      </c>
      <c r="AQ71" s="30" t="s">
        <v>900</v>
      </c>
      <c r="AV71" s="28">
        <f t="shared" si="52"/>
        <v>0</v>
      </c>
      <c r="AW71" s="28">
        <f t="shared" si="53"/>
        <v>0</v>
      </c>
      <c r="AX71" s="28">
        <f t="shared" si="54"/>
        <v>0</v>
      </c>
      <c r="AY71" s="30" t="s">
        <v>562</v>
      </c>
      <c r="AZ71" s="30" t="s">
        <v>985</v>
      </c>
      <c r="BA71" s="21" t="s">
        <v>316</v>
      </c>
      <c r="BC71" s="28">
        <f t="shared" si="55"/>
        <v>0</v>
      </c>
      <c r="BD71" s="28">
        <f t="shared" si="56"/>
        <v>0</v>
      </c>
      <c r="BE71" s="28">
        <v>0</v>
      </c>
      <c r="BF71" s="28">
        <f>71</f>
        <v>71</v>
      </c>
      <c r="BH71" s="28">
        <f t="shared" si="57"/>
        <v>0</v>
      </c>
      <c r="BI71" s="28">
        <f t="shared" si="58"/>
        <v>0</v>
      </c>
      <c r="BJ71" s="28">
        <f t="shared" si="59"/>
        <v>0</v>
      </c>
      <c r="BK71" s="28"/>
      <c r="BL71" s="28">
        <v>722</v>
      </c>
      <c r="BW71" s="28">
        <v>21</v>
      </c>
    </row>
    <row r="72" spans="1:75" ht="13.5" customHeight="1">
      <c r="A72" s="38" t="s">
        <v>380</v>
      </c>
      <c r="B72" s="39" t="s">
        <v>508</v>
      </c>
      <c r="C72" s="39" t="s">
        <v>262</v>
      </c>
      <c r="D72" s="50" t="s">
        <v>1038</v>
      </c>
      <c r="E72" s="51"/>
      <c r="F72" s="39" t="s">
        <v>741</v>
      </c>
      <c r="G72" s="28">
        <v>6</v>
      </c>
      <c r="H72" s="120">
        <v>0</v>
      </c>
      <c r="I72" s="120">
        <f t="shared" si="40"/>
        <v>0</v>
      </c>
      <c r="K72" s="8"/>
      <c r="Z72" s="28">
        <f t="shared" si="41"/>
        <v>0</v>
      </c>
      <c r="AB72" s="28">
        <f t="shared" si="42"/>
        <v>0</v>
      </c>
      <c r="AC72" s="28">
        <f t="shared" si="43"/>
        <v>0</v>
      </c>
      <c r="AD72" s="28">
        <f t="shared" si="44"/>
        <v>0</v>
      </c>
      <c r="AE72" s="28">
        <f t="shared" si="45"/>
        <v>0</v>
      </c>
      <c r="AF72" s="28">
        <f t="shared" si="46"/>
        <v>0</v>
      </c>
      <c r="AG72" s="28">
        <f t="shared" si="47"/>
        <v>0</v>
      </c>
      <c r="AH72" s="28">
        <f t="shared" si="48"/>
        <v>0</v>
      </c>
      <c r="AI72" s="21" t="s">
        <v>508</v>
      </c>
      <c r="AJ72" s="28">
        <f t="shared" si="49"/>
        <v>0</v>
      </c>
      <c r="AK72" s="28">
        <f t="shared" si="50"/>
        <v>0</v>
      </c>
      <c r="AL72" s="28">
        <f t="shared" si="51"/>
        <v>0</v>
      </c>
      <c r="AN72" s="28">
        <v>21</v>
      </c>
      <c r="AO72" s="28">
        <f>H72*0.612361183789755</f>
        <v>0</v>
      </c>
      <c r="AP72" s="28">
        <f>H72*(1-0.612361183789755)</f>
        <v>0</v>
      </c>
      <c r="AQ72" s="30" t="s">
        <v>900</v>
      </c>
      <c r="AV72" s="28">
        <f t="shared" si="52"/>
        <v>0</v>
      </c>
      <c r="AW72" s="28">
        <f t="shared" si="53"/>
        <v>0</v>
      </c>
      <c r="AX72" s="28">
        <f t="shared" si="54"/>
        <v>0</v>
      </c>
      <c r="AY72" s="30" t="s">
        <v>562</v>
      </c>
      <c r="AZ72" s="30" t="s">
        <v>985</v>
      </c>
      <c r="BA72" s="21" t="s">
        <v>316</v>
      </c>
      <c r="BC72" s="28">
        <f t="shared" si="55"/>
        <v>0</v>
      </c>
      <c r="BD72" s="28">
        <f t="shared" si="56"/>
        <v>0</v>
      </c>
      <c r="BE72" s="28">
        <v>0</v>
      </c>
      <c r="BF72" s="28">
        <f>72</f>
        <v>72</v>
      </c>
      <c r="BH72" s="28">
        <f t="shared" si="57"/>
        <v>0</v>
      </c>
      <c r="BI72" s="28">
        <f t="shared" si="58"/>
        <v>0</v>
      </c>
      <c r="BJ72" s="28">
        <f t="shared" si="59"/>
        <v>0</v>
      </c>
      <c r="BK72" s="28"/>
      <c r="BL72" s="28">
        <v>722</v>
      </c>
      <c r="BW72" s="28">
        <v>21</v>
      </c>
    </row>
    <row r="73" spans="1:75" ht="13.5" customHeight="1">
      <c r="A73" s="38" t="s">
        <v>314</v>
      </c>
      <c r="B73" s="39" t="s">
        <v>508</v>
      </c>
      <c r="C73" s="39" t="s">
        <v>119</v>
      </c>
      <c r="D73" s="50" t="s">
        <v>1039</v>
      </c>
      <c r="E73" s="51"/>
      <c r="F73" s="39" t="s">
        <v>228</v>
      </c>
      <c r="G73" s="28">
        <v>4</v>
      </c>
      <c r="H73" s="120">
        <v>0</v>
      </c>
      <c r="I73" s="120">
        <f t="shared" si="40"/>
        <v>0</v>
      </c>
      <c r="K73" s="8"/>
      <c r="Z73" s="28">
        <f t="shared" si="41"/>
        <v>0</v>
      </c>
      <c r="AB73" s="28">
        <f t="shared" si="42"/>
        <v>0</v>
      </c>
      <c r="AC73" s="28">
        <f t="shared" si="43"/>
        <v>0</v>
      </c>
      <c r="AD73" s="28">
        <f t="shared" si="44"/>
        <v>0</v>
      </c>
      <c r="AE73" s="28">
        <f t="shared" si="45"/>
        <v>0</v>
      </c>
      <c r="AF73" s="28">
        <f t="shared" si="46"/>
        <v>0</v>
      </c>
      <c r="AG73" s="28">
        <f t="shared" si="47"/>
        <v>0</v>
      </c>
      <c r="AH73" s="28">
        <f t="shared" si="48"/>
        <v>0</v>
      </c>
      <c r="AI73" s="21" t="s">
        <v>508</v>
      </c>
      <c r="AJ73" s="28">
        <f t="shared" si="49"/>
        <v>0</v>
      </c>
      <c r="AK73" s="28">
        <f t="shared" si="50"/>
        <v>0</v>
      </c>
      <c r="AL73" s="28">
        <f t="shared" si="51"/>
        <v>0</v>
      </c>
      <c r="AN73" s="28">
        <v>21</v>
      </c>
      <c r="AO73" s="28">
        <f>H73*0.767472727272727</f>
        <v>0</v>
      </c>
      <c r="AP73" s="28">
        <f>H73*(1-0.767472727272727)</f>
        <v>0</v>
      </c>
      <c r="AQ73" s="30" t="s">
        <v>900</v>
      </c>
      <c r="AV73" s="28">
        <f t="shared" si="52"/>
        <v>0</v>
      </c>
      <c r="AW73" s="28">
        <f t="shared" si="53"/>
        <v>0</v>
      </c>
      <c r="AX73" s="28">
        <f t="shared" si="54"/>
        <v>0</v>
      </c>
      <c r="AY73" s="30" t="s">
        <v>562</v>
      </c>
      <c r="AZ73" s="30" t="s">
        <v>985</v>
      </c>
      <c r="BA73" s="21" t="s">
        <v>316</v>
      </c>
      <c r="BC73" s="28">
        <f t="shared" si="55"/>
        <v>0</v>
      </c>
      <c r="BD73" s="28">
        <f t="shared" si="56"/>
        <v>0</v>
      </c>
      <c r="BE73" s="28">
        <v>0</v>
      </c>
      <c r="BF73" s="28">
        <f>73</f>
        <v>73</v>
      </c>
      <c r="BH73" s="28">
        <f t="shared" si="57"/>
        <v>0</v>
      </c>
      <c r="BI73" s="28">
        <f t="shared" si="58"/>
        <v>0</v>
      </c>
      <c r="BJ73" s="28">
        <f t="shared" si="59"/>
        <v>0</v>
      </c>
      <c r="BK73" s="28"/>
      <c r="BL73" s="28">
        <v>722</v>
      </c>
      <c r="BW73" s="28">
        <v>21</v>
      </c>
    </row>
    <row r="74" spans="1:75" ht="13.5" customHeight="1">
      <c r="A74" s="38" t="s">
        <v>722</v>
      </c>
      <c r="B74" s="39" t="s">
        <v>508</v>
      </c>
      <c r="C74" s="39" t="s">
        <v>474</v>
      </c>
      <c r="D74" s="50" t="s">
        <v>1040</v>
      </c>
      <c r="E74" s="51"/>
      <c r="F74" s="39" t="s">
        <v>228</v>
      </c>
      <c r="G74" s="28">
        <v>2</v>
      </c>
      <c r="H74" s="120">
        <v>0</v>
      </c>
      <c r="I74" s="120">
        <f t="shared" si="40"/>
        <v>0</v>
      </c>
      <c r="K74" s="8"/>
      <c r="Z74" s="28">
        <f t="shared" si="41"/>
        <v>0</v>
      </c>
      <c r="AB74" s="28">
        <f t="shared" si="42"/>
        <v>0</v>
      </c>
      <c r="AC74" s="28">
        <f t="shared" si="43"/>
        <v>0</v>
      </c>
      <c r="AD74" s="28">
        <f t="shared" si="44"/>
        <v>0</v>
      </c>
      <c r="AE74" s="28">
        <f t="shared" si="45"/>
        <v>0</v>
      </c>
      <c r="AF74" s="28">
        <f t="shared" si="46"/>
        <v>0</v>
      </c>
      <c r="AG74" s="28">
        <f t="shared" si="47"/>
        <v>0</v>
      </c>
      <c r="AH74" s="28">
        <f t="shared" si="48"/>
        <v>0</v>
      </c>
      <c r="AI74" s="21" t="s">
        <v>508</v>
      </c>
      <c r="AJ74" s="28">
        <f t="shared" si="49"/>
        <v>0</v>
      </c>
      <c r="AK74" s="28">
        <f t="shared" si="50"/>
        <v>0</v>
      </c>
      <c r="AL74" s="28">
        <f t="shared" si="51"/>
        <v>0</v>
      </c>
      <c r="AN74" s="28">
        <v>21</v>
      </c>
      <c r="AO74" s="28">
        <f>H74*0.676952908587258</f>
        <v>0</v>
      </c>
      <c r="AP74" s="28">
        <f>H74*(1-0.676952908587258)</f>
        <v>0</v>
      </c>
      <c r="AQ74" s="30" t="s">
        <v>900</v>
      </c>
      <c r="AV74" s="28">
        <f t="shared" si="52"/>
        <v>0</v>
      </c>
      <c r="AW74" s="28">
        <f t="shared" si="53"/>
        <v>0</v>
      </c>
      <c r="AX74" s="28">
        <f t="shared" si="54"/>
        <v>0</v>
      </c>
      <c r="AY74" s="30" t="s">
        <v>562</v>
      </c>
      <c r="AZ74" s="30" t="s">
        <v>985</v>
      </c>
      <c r="BA74" s="21" t="s">
        <v>316</v>
      </c>
      <c r="BC74" s="28">
        <f t="shared" si="55"/>
        <v>0</v>
      </c>
      <c r="BD74" s="28">
        <f t="shared" si="56"/>
        <v>0</v>
      </c>
      <c r="BE74" s="28">
        <v>0</v>
      </c>
      <c r="BF74" s="28">
        <f>74</f>
        <v>74</v>
      </c>
      <c r="BH74" s="28">
        <f t="shared" si="57"/>
        <v>0</v>
      </c>
      <c r="BI74" s="28">
        <f t="shared" si="58"/>
        <v>0</v>
      </c>
      <c r="BJ74" s="28">
        <f t="shared" si="59"/>
        <v>0</v>
      </c>
      <c r="BK74" s="28"/>
      <c r="BL74" s="28">
        <v>722</v>
      </c>
      <c r="BW74" s="28">
        <v>21</v>
      </c>
    </row>
    <row r="75" spans="1:75" ht="13.5" customHeight="1">
      <c r="A75" s="38" t="s">
        <v>927</v>
      </c>
      <c r="B75" s="39" t="s">
        <v>508</v>
      </c>
      <c r="C75" s="39" t="s">
        <v>258</v>
      </c>
      <c r="D75" s="50" t="s">
        <v>1041</v>
      </c>
      <c r="E75" s="51"/>
      <c r="F75" s="39" t="s">
        <v>228</v>
      </c>
      <c r="G75" s="28">
        <v>1</v>
      </c>
      <c r="H75" s="120">
        <v>0</v>
      </c>
      <c r="I75" s="120">
        <f t="shared" si="40"/>
        <v>0</v>
      </c>
      <c r="K75" s="8"/>
      <c r="Z75" s="28">
        <f t="shared" si="41"/>
        <v>0</v>
      </c>
      <c r="AB75" s="28">
        <f t="shared" si="42"/>
        <v>0</v>
      </c>
      <c r="AC75" s="28">
        <f t="shared" si="43"/>
        <v>0</v>
      </c>
      <c r="AD75" s="28">
        <f t="shared" si="44"/>
        <v>0</v>
      </c>
      <c r="AE75" s="28">
        <f t="shared" si="45"/>
        <v>0</v>
      </c>
      <c r="AF75" s="28">
        <f t="shared" si="46"/>
        <v>0</v>
      </c>
      <c r="AG75" s="28">
        <f t="shared" si="47"/>
        <v>0</v>
      </c>
      <c r="AH75" s="28">
        <f t="shared" si="48"/>
        <v>0</v>
      </c>
      <c r="AI75" s="21" t="s">
        <v>508</v>
      </c>
      <c r="AJ75" s="28">
        <f t="shared" si="49"/>
        <v>0</v>
      </c>
      <c r="AK75" s="28">
        <f t="shared" si="50"/>
        <v>0</v>
      </c>
      <c r="AL75" s="28">
        <f t="shared" si="51"/>
        <v>0</v>
      </c>
      <c r="AN75" s="28">
        <v>21</v>
      </c>
      <c r="AO75" s="28">
        <f>H75*0.815175292153589</f>
        <v>0</v>
      </c>
      <c r="AP75" s="28">
        <f>H75*(1-0.815175292153589)</f>
        <v>0</v>
      </c>
      <c r="AQ75" s="30" t="s">
        <v>900</v>
      </c>
      <c r="AV75" s="28">
        <f t="shared" si="52"/>
        <v>0</v>
      </c>
      <c r="AW75" s="28">
        <f t="shared" si="53"/>
        <v>0</v>
      </c>
      <c r="AX75" s="28">
        <f t="shared" si="54"/>
        <v>0</v>
      </c>
      <c r="AY75" s="30" t="s">
        <v>562</v>
      </c>
      <c r="AZ75" s="30" t="s">
        <v>985</v>
      </c>
      <c r="BA75" s="21" t="s">
        <v>316</v>
      </c>
      <c r="BC75" s="28">
        <f t="shared" si="55"/>
        <v>0</v>
      </c>
      <c r="BD75" s="28">
        <f t="shared" si="56"/>
        <v>0</v>
      </c>
      <c r="BE75" s="28">
        <v>0</v>
      </c>
      <c r="BF75" s="28">
        <f>75</f>
        <v>75</v>
      </c>
      <c r="BH75" s="28">
        <f t="shared" si="57"/>
        <v>0</v>
      </c>
      <c r="BI75" s="28">
        <f t="shared" si="58"/>
        <v>0</v>
      </c>
      <c r="BJ75" s="28">
        <f t="shared" si="59"/>
        <v>0</v>
      </c>
      <c r="BK75" s="28"/>
      <c r="BL75" s="28">
        <v>722</v>
      </c>
      <c r="BW75" s="28">
        <v>21</v>
      </c>
    </row>
    <row r="76" spans="1:75" ht="13.5" customHeight="1">
      <c r="A76" s="38" t="s">
        <v>69</v>
      </c>
      <c r="B76" s="39" t="s">
        <v>508</v>
      </c>
      <c r="C76" s="39" t="s">
        <v>901</v>
      </c>
      <c r="D76" s="50" t="s">
        <v>1042</v>
      </c>
      <c r="E76" s="51"/>
      <c r="F76" s="39" t="s">
        <v>228</v>
      </c>
      <c r="G76" s="28">
        <v>1</v>
      </c>
      <c r="H76" s="120">
        <v>0</v>
      </c>
      <c r="I76" s="120">
        <f t="shared" si="40"/>
        <v>0</v>
      </c>
      <c r="K76" s="8"/>
      <c r="Z76" s="28">
        <f t="shared" si="41"/>
        <v>0</v>
      </c>
      <c r="AB76" s="28">
        <f t="shared" si="42"/>
        <v>0</v>
      </c>
      <c r="AC76" s="28">
        <f t="shared" si="43"/>
        <v>0</v>
      </c>
      <c r="AD76" s="28">
        <f t="shared" si="44"/>
        <v>0</v>
      </c>
      <c r="AE76" s="28">
        <f t="shared" si="45"/>
        <v>0</v>
      </c>
      <c r="AF76" s="28">
        <f t="shared" si="46"/>
        <v>0</v>
      </c>
      <c r="AG76" s="28">
        <f t="shared" si="47"/>
        <v>0</v>
      </c>
      <c r="AH76" s="28">
        <f t="shared" si="48"/>
        <v>0</v>
      </c>
      <c r="AI76" s="21" t="s">
        <v>508</v>
      </c>
      <c r="AJ76" s="28">
        <f t="shared" si="49"/>
        <v>0</v>
      </c>
      <c r="AK76" s="28">
        <f t="shared" si="50"/>
        <v>0</v>
      </c>
      <c r="AL76" s="28">
        <f t="shared" si="51"/>
        <v>0</v>
      </c>
      <c r="AN76" s="28">
        <v>21</v>
      </c>
      <c r="AO76" s="28">
        <f>H76*0.901698693312836</f>
        <v>0</v>
      </c>
      <c r="AP76" s="28">
        <f>H76*(1-0.901698693312836)</f>
        <v>0</v>
      </c>
      <c r="AQ76" s="30" t="s">
        <v>900</v>
      </c>
      <c r="AV76" s="28">
        <f t="shared" si="52"/>
        <v>0</v>
      </c>
      <c r="AW76" s="28">
        <f t="shared" si="53"/>
        <v>0</v>
      </c>
      <c r="AX76" s="28">
        <f t="shared" si="54"/>
        <v>0</v>
      </c>
      <c r="AY76" s="30" t="s">
        <v>562</v>
      </c>
      <c r="AZ76" s="30" t="s">
        <v>985</v>
      </c>
      <c r="BA76" s="21" t="s">
        <v>316</v>
      </c>
      <c r="BC76" s="28">
        <f t="shared" si="55"/>
        <v>0</v>
      </c>
      <c r="BD76" s="28">
        <f t="shared" si="56"/>
        <v>0</v>
      </c>
      <c r="BE76" s="28">
        <v>0</v>
      </c>
      <c r="BF76" s="28">
        <f>76</f>
        <v>76</v>
      </c>
      <c r="BH76" s="28">
        <f t="shared" si="57"/>
        <v>0</v>
      </c>
      <c r="BI76" s="28">
        <f t="shared" si="58"/>
        <v>0</v>
      </c>
      <c r="BJ76" s="28">
        <f t="shared" si="59"/>
        <v>0</v>
      </c>
      <c r="BK76" s="28"/>
      <c r="BL76" s="28">
        <v>722</v>
      </c>
      <c r="BW76" s="28">
        <v>21</v>
      </c>
    </row>
    <row r="77" spans="1:75" ht="13.5" customHeight="1">
      <c r="A77" s="38" t="s">
        <v>695</v>
      </c>
      <c r="B77" s="39" t="s">
        <v>508</v>
      </c>
      <c r="C77" s="39" t="s">
        <v>702</v>
      </c>
      <c r="D77" s="50" t="s">
        <v>1043</v>
      </c>
      <c r="E77" s="51"/>
      <c r="F77" s="39" t="s">
        <v>228</v>
      </c>
      <c r="G77" s="28">
        <v>1</v>
      </c>
      <c r="H77" s="120">
        <v>0</v>
      </c>
      <c r="I77" s="120">
        <f t="shared" si="40"/>
        <v>0</v>
      </c>
      <c r="K77" s="8"/>
      <c r="Z77" s="28">
        <f t="shared" si="41"/>
        <v>0</v>
      </c>
      <c r="AB77" s="28">
        <f t="shared" si="42"/>
        <v>0</v>
      </c>
      <c r="AC77" s="28">
        <f t="shared" si="43"/>
        <v>0</v>
      </c>
      <c r="AD77" s="28">
        <f t="shared" si="44"/>
        <v>0</v>
      </c>
      <c r="AE77" s="28">
        <f t="shared" si="45"/>
        <v>0</v>
      </c>
      <c r="AF77" s="28">
        <f t="shared" si="46"/>
        <v>0</v>
      </c>
      <c r="AG77" s="28">
        <f t="shared" si="47"/>
        <v>0</v>
      </c>
      <c r="AH77" s="28">
        <f t="shared" si="48"/>
        <v>0</v>
      </c>
      <c r="AI77" s="21" t="s">
        <v>508</v>
      </c>
      <c r="AJ77" s="28">
        <f t="shared" si="49"/>
        <v>0</v>
      </c>
      <c r="AK77" s="28">
        <f t="shared" si="50"/>
        <v>0</v>
      </c>
      <c r="AL77" s="28">
        <f t="shared" si="51"/>
        <v>0</v>
      </c>
      <c r="AN77" s="28">
        <v>21</v>
      </c>
      <c r="AO77" s="28">
        <f>H77*0.874331896551724</f>
        <v>0</v>
      </c>
      <c r="AP77" s="28">
        <f>H77*(1-0.874331896551724)</f>
        <v>0</v>
      </c>
      <c r="AQ77" s="30" t="s">
        <v>900</v>
      </c>
      <c r="AV77" s="28">
        <f t="shared" si="52"/>
        <v>0</v>
      </c>
      <c r="AW77" s="28">
        <f t="shared" si="53"/>
        <v>0</v>
      </c>
      <c r="AX77" s="28">
        <f t="shared" si="54"/>
        <v>0</v>
      </c>
      <c r="AY77" s="30" t="s">
        <v>562</v>
      </c>
      <c r="AZ77" s="30" t="s">
        <v>985</v>
      </c>
      <c r="BA77" s="21" t="s">
        <v>316</v>
      </c>
      <c r="BC77" s="28">
        <f t="shared" si="55"/>
        <v>0</v>
      </c>
      <c r="BD77" s="28">
        <f t="shared" si="56"/>
        <v>0</v>
      </c>
      <c r="BE77" s="28">
        <v>0</v>
      </c>
      <c r="BF77" s="28">
        <f>77</f>
        <v>77</v>
      </c>
      <c r="BH77" s="28">
        <f t="shared" si="57"/>
        <v>0</v>
      </c>
      <c r="BI77" s="28">
        <f t="shared" si="58"/>
        <v>0</v>
      </c>
      <c r="BJ77" s="28">
        <f t="shared" si="59"/>
        <v>0</v>
      </c>
      <c r="BK77" s="28"/>
      <c r="BL77" s="28">
        <v>722</v>
      </c>
      <c r="BW77" s="28">
        <v>21</v>
      </c>
    </row>
    <row r="78" spans="1:75" ht="13.5" customHeight="1">
      <c r="A78" s="38" t="s">
        <v>736</v>
      </c>
      <c r="B78" s="39" t="s">
        <v>508</v>
      </c>
      <c r="C78" s="39" t="s">
        <v>242</v>
      </c>
      <c r="D78" s="50" t="s">
        <v>1044</v>
      </c>
      <c r="E78" s="51"/>
      <c r="F78" s="39" t="s">
        <v>228</v>
      </c>
      <c r="G78" s="28">
        <v>1</v>
      </c>
      <c r="H78" s="120">
        <v>0</v>
      </c>
      <c r="I78" s="120">
        <f t="shared" si="40"/>
        <v>0</v>
      </c>
      <c r="K78" s="8"/>
      <c r="Z78" s="28">
        <f t="shared" si="41"/>
        <v>0</v>
      </c>
      <c r="AB78" s="28">
        <f t="shared" si="42"/>
        <v>0</v>
      </c>
      <c r="AC78" s="28">
        <f t="shared" si="43"/>
        <v>0</v>
      </c>
      <c r="AD78" s="28">
        <f t="shared" si="44"/>
        <v>0</v>
      </c>
      <c r="AE78" s="28">
        <f t="shared" si="45"/>
        <v>0</v>
      </c>
      <c r="AF78" s="28">
        <f t="shared" si="46"/>
        <v>0</v>
      </c>
      <c r="AG78" s="28">
        <f t="shared" si="47"/>
        <v>0</v>
      </c>
      <c r="AH78" s="28">
        <f t="shared" si="48"/>
        <v>0</v>
      </c>
      <c r="AI78" s="21" t="s">
        <v>508</v>
      </c>
      <c r="AJ78" s="28">
        <f t="shared" si="49"/>
        <v>0</v>
      </c>
      <c r="AK78" s="28">
        <f t="shared" si="50"/>
        <v>0</v>
      </c>
      <c r="AL78" s="28">
        <f t="shared" si="51"/>
        <v>0</v>
      </c>
      <c r="AN78" s="28">
        <v>21</v>
      </c>
      <c r="AO78" s="28">
        <f>H78*0.737637795275591</f>
        <v>0</v>
      </c>
      <c r="AP78" s="28">
        <f>H78*(1-0.737637795275591)</f>
        <v>0</v>
      </c>
      <c r="AQ78" s="30" t="s">
        <v>900</v>
      </c>
      <c r="AV78" s="28">
        <f t="shared" si="52"/>
        <v>0</v>
      </c>
      <c r="AW78" s="28">
        <f t="shared" si="53"/>
        <v>0</v>
      </c>
      <c r="AX78" s="28">
        <f t="shared" si="54"/>
        <v>0</v>
      </c>
      <c r="AY78" s="30" t="s">
        <v>562</v>
      </c>
      <c r="AZ78" s="30" t="s">
        <v>985</v>
      </c>
      <c r="BA78" s="21" t="s">
        <v>316</v>
      </c>
      <c r="BC78" s="28">
        <f t="shared" si="55"/>
        <v>0</v>
      </c>
      <c r="BD78" s="28">
        <f t="shared" si="56"/>
        <v>0</v>
      </c>
      <c r="BE78" s="28">
        <v>0</v>
      </c>
      <c r="BF78" s="28">
        <f>78</f>
        <v>78</v>
      </c>
      <c r="BH78" s="28">
        <f t="shared" si="57"/>
        <v>0</v>
      </c>
      <c r="BI78" s="28">
        <f t="shared" si="58"/>
        <v>0</v>
      </c>
      <c r="BJ78" s="28">
        <f t="shared" si="59"/>
        <v>0</v>
      </c>
      <c r="BK78" s="28"/>
      <c r="BL78" s="28">
        <v>722</v>
      </c>
      <c r="BW78" s="28">
        <v>21</v>
      </c>
    </row>
    <row r="79" spans="1:75" ht="13.5" customHeight="1">
      <c r="A79" s="38" t="s">
        <v>371</v>
      </c>
      <c r="B79" s="39" t="s">
        <v>508</v>
      </c>
      <c r="C79" s="39" t="s">
        <v>456</v>
      </c>
      <c r="D79" s="50" t="s">
        <v>1045</v>
      </c>
      <c r="E79" s="51"/>
      <c r="F79" s="39" t="s">
        <v>228</v>
      </c>
      <c r="G79" s="28">
        <v>1</v>
      </c>
      <c r="H79" s="120">
        <v>0</v>
      </c>
      <c r="I79" s="120">
        <f t="shared" si="40"/>
        <v>0</v>
      </c>
      <c r="K79" s="8"/>
      <c r="Z79" s="28">
        <f t="shared" si="41"/>
        <v>0</v>
      </c>
      <c r="AB79" s="28">
        <f t="shared" si="42"/>
        <v>0</v>
      </c>
      <c r="AC79" s="28">
        <f t="shared" si="43"/>
        <v>0</v>
      </c>
      <c r="AD79" s="28">
        <f t="shared" si="44"/>
        <v>0</v>
      </c>
      <c r="AE79" s="28">
        <f t="shared" si="45"/>
        <v>0</v>
      </c>
      <c r="AF79" s="28">
        <f t="shared" si="46"/>
        <v>0</v>
      </c>
      <c r="AG79" s="28">
        <f t="shared" si="47"/>
        <v>0</v>
      </c>
      <c r="AH79" s="28">
        <f t="shared" si="48"/>
        <v>0</v>
      </c>
      <c r="AI79" s="21" t="s">
        <v>508</v>
      </c>
      <c r="AJ79" s="28">
        <f t="shared" si="49"/>
        <v>0</v>
      </c>
      <c r="AK79" s="28">
        <f t="shared" si="50"/>
        <v>0</v>
      </c>
      <c r="AL79" s="28">
        <f t="shared" si="51"/>
        <v>0</v>
      </c>
      <c r="AN79" s="28">
        <v>21</v>
      </c>
      <c r="AO79" s="28">
        <f>H79*0.893113342898135</f>
        <v>0</v>
      </c>
      <c r="AP79" s="28">
        <f>H79*(1-0.893113342898135)</f>
        <v>0</v>
      </c>
      <c r="AQ79" s="30" t="s">
        <v>900</v>
      </c>
      <c r="AV79" s="28">
        <f t="shared" si="52"/>
        <v>0</v>
      </c>
      <c r="AW79" s="28">
        <f t="shared" si="53"/>
        <v>0</v>
      </c>
      <c r="AX79" s="28">
        <f t="shared" si="54"/>
        <v>0</v>
      </c>
      <c r="AY79" s="30" t="s">
        <v>562</v>
      </c>
      <c r="AZ79" s="30" t="s">
        <v>985</v>
      </c>
      <c r="BA79" s="21" t="s">
        <v>316</v>
      </c>
      <c r="BC79" s="28">
        <f t="shared" si="55"/>
        <v>0</v>
      </c>
      <c r="BD79" s="28">
        <f t="shared" si="56"/>
        <v>0</v>
      </c>
      <c r="BE79" s="28">
        <v>0</v>
      </c>
      <c r="BF79" s="28">
        <f>79</f>
        <v>79</v>
      </c>
      <c r="BH79" s="28">
        <f t="shared" si="57"/>
        <v>0</v>
      </c>
      <c r="BI79" s="28">
        <f t="shared" si="58"/>
        <v>0</v>
      </c>
      <c r="BJ79" s="28">
        <f t="shared" si="59"/>
        <v>0</v>
      </c>
      <c r="BK79" s="28"/>
      <c r="BL79" s="28">
        <v>722</v>
      </c>
      <c r="BW79" s="28">
        <v>21</v>
      </c>
    </row>
    <row r="80" spans="1:75" ht="13.5" customHeight="1">
      <c r="A80" s="38" t="s">
        <v>367</v>
      </c>
      <c r="B80" s="39" t="s">
        <v>508</v>
      </c>
      <c r="C80" s="39" t="s">
        <v>259</v>
      </c>
      <c r="D80" s="50" t="s">
        <v>1046</v>
      </c>
      <c r="E80" s="51"/>
      <c r="F80" s="39" t="s">
        <v>228</v>
      </c>
      <c r="G80" s="28">
        <v>2</v>
      </c>
      <c r="H80" s="120">
        <v>0</v>
      </c>
      <c r="I80" s="120">
        <f t="shared" si="40"/>
        <v>0</v>
      </c>
      <c r="K80" s="8"/>
      <c r="Z80" s="28">
        <f t="shared" si="41"/>
        <v>0</v>
      </c>
      <c r="AB80" s="28">
        <f t="shared" si="42"/>
        <v>0</v>
      </c>
      <c r="AC80" s="28">
        <f t="shared" si="43"/>
        <v>0</v>
      </c>
      <c r="AD80" s="28">
        <f t="shared" si="44"/>
        <v>0</v>
      </c>
      <c r="AE80" s="28">
        <f t="shared" si="45"/>
        <v>0</v>
      </c>
      <c r="AF80" s="28">
        <f t="shared" si="46"/>
        <v>0</v>
      </c>
      <c r="AG80" s="28">
        <f t="shared" si="47"/>
        <v>0</v>
      </c>
      <c r="AH80" s="28">
        <f t="shared" si="48"/>
        <v>0</v>
      </c>
      <c r="AI80" s="21" t="s">
        <v>508</v>
      </c>
      <c r="AJ80" s="28">
        <f t="shared" si="49"/>
        <v>0</v>
      </c>
      <c r="AK80" s="28">
        <f t="shared" si="50"/>
        <v>0</v>
      </c>
      <c r="AL80" s="28">
        <f t="shared" si="51"/>
        <v>0</v>
      </c>
      <c r="AN80" s="28">
        <v>21</v>
      </c>
      <c r="AO80" s="28">
        <f>H80*0.679597014925373</f>
        <v>0</v>
      </c>
      <c r="AP80" s="28">
        <f>H80*(1-0.679597014925373)</f>
        <v>0</v>
      </c>
      <c r="AQ80" s="30" t="s">
        <v>900</v>
      </c>
      <c r="AV80" s="28">
        <f t="shared" si="52"/>
        <v>0</v>
      </c>
      <c r="AW80" s="28">
        <f t="shared" si="53"/>
        <v>0</v>
      </c>
      <c r="AX80" s="28">
        <f t="shared" si="54"/>
        <v>0</v>
      </c>
      <c r="AY80" s="30" t="s">
        <v>562</v>
      </c>
      <c r="AZ80" s="30" t="s">
        <v>985</v>
      </c>
      <c r="BA80" s="21" t="s">
        <v>316</v>
      </c>
      <c r="BC80" s="28">
        <f t="shared" si="55"/>
        <v>0</v>
      </c>
      <c r="BD80" s="28">
        <f t="shared" si="56"/>
        <v>0</v>
      </c>
      <c r="BE80" s="28">
        <v>0</v>
      </c>
      <c r="BF80" s="28">
        <f>80</f>
        <v>80</v>
      </c>
      <c r="BH80" s="28">
        <f t="shared" si="57"/>
        <v>0</v>
      </c>
      <c r="BI80" s="28">
        <f t="shared" si="58"/>
        <v>0</v>
      </c>
      <c r="BJ80" s="28">
        <f t="shared" si="59"/>
        <v>0</v>
      </c>
      <c r="BK80" s="28"/>
      <c r="BL80" s="28">
        <v>722</v>
      </c>
      <c r="BW80" s="28">
        <v>21</v>
      </c>
    </row>
    <row r="81" spans="1:75" ht="13.5" customHeight="1">
      <c r="A81" s="38" t="s">
        <v>404</v>
      </c>
      <c r="B81" s="39" t="s">
        <v>508</v>
      </c>
      <c r="C81" s="39" t="s">
        <v>682</v>
      </c>
      <c r="D81" s="50" t="s">
        <v>772</v>
      </c>
      <c r="E81" s="51"/>
      <c r="F81" s="39" t="s">
        <v>228</v>
      </c>
      <c r="G81" s="28">
        <v>1</v>
      </c>
      <c r="H81" s="120">
        <v>0</v>
      </c>
      <c r="I81" s="120">
        <f t="shared" si="40"/>
        <v>0</v>
      </c>
      <c r="K81" s="8"/>
      <c r="Z81" s="28">
        <f t="shared" si="41"/>
        <v>0</v>
      </c>
      <c r="AB81" s="28">
        <f t="shared" si="42"/>
        <v>0</v>
      </c>
      <c r="AC81" s="28">
        <f t="shared" si="43"/>
        <v>0</v>
      </c>
      <c r="AD81" s="28">
        <f t="shared" si="44"/>
        <v>0</v>
      </c>
      <c r="AE81" s="28">
        <f t="shared" si="45"/>
        <v>0</v>
      </c>
      <c r="AF81" s="28">
        <f t="shared" si="46"/>
        <v>0</v>
      </c>
      <c r="AG81" s="28">
        <f t="shared" si="47"/>
        <v>0</v>
      </c>
      <c r="AH81" s="28">
        <f t="shared" si="48"/>
        <v>0</v>
      </c>
      <c r="AI81" s="21" t="s">
        <v>508</v>
      </c>
      <c r="AJ81" s="28">
        <f t="shared" si="49"/>
        <v>0</v>
      </c>
      <c r="AK81" s="28">
        <f t="shared" si="50"/>
        <v>0</v>
      </c>
      <c r="AL81" s="28">
        <f t="shared" si="51"/>
        <v>0</v>
      </c>
      <c r="AN81" s="28">
        <v>21</v>
      </c>
      <c r="AO81" s="28">
        <f>H81*0.959786206896552</f>
        <v>0</v>
      </c>
      <c r="AP81" s="28">
        <f>H81*(1-0.959786206896552)</f>
        <v>0</v>
      </c>
      <c r="AQ81" s="30" t="s">
        <v>900</v>
      </c>
      <c r="AV81" s="28">
        <f t="shared" si="52"/>
        <v>0</v>
      </c>
      <c r="AW81" s="28">
        <f t="shared" si="53"/>
        <v>0</v>
      </c>
      <c r="AX81" s="28">
        <f t="shared" si="54"/>
        <v>0</v>
      </c>
      <c r="AY81" s="30" t="s">
        <v>562</v>
      </c>
      <c r="AZ81" s="30" t="s">
        <v>985</v>
      </c>
      <c r="BA81" s="21" t="s">
        <v>316</v>
      </c>
      <c r="BC81" s="28">
        <f t="shared" si="55"/>
        <v>0</v>
      </c>
      <c r="BD81" s="28">
        <f t="shared" si="56"/>
        <v>0</v>
      </c>
      <c r="BE81" s="28">
        <v>0</v>
      </c>
      <c r="BF81" s="28">
        <f>81</f>
        <v>81</v>
      </c>
      <c r="BH81" s="28">
        <f t="shared" si="57"/>
        <v>0</v>
      </c>
      <c r="BI81" s="28">
        <f t="shared" si="58"/>
        <v>0</v>
      </c>
      <c r="BJ81" s="28">
        <f t="shared" si="59"/>
        <v>0</v>
      </c>
      <c r="BK81" s="28"/>
      <c r="BL81" s="28">
        <v>722</v>
      </c>
      <c r="BW81" s="28">
        <v>21</v>
      </c>
    </row>
    <row r="82" spans="1:75" ht="13.5" customHeight="1">
      <c r="A82" s="38" t="s">
        <v>832</v>
      </c>
      <c r="B82" s="39" t="s">
        <v>508</v>
      </c>
      <c r="C82" s="39" t="s">
        <v>461</v>
      </c>
      <c r="D82" s="50" t="s">
        <v>981</v>
      </c>
      <c r="E82" s="51"/>
      <c r="F82" s="39" t="s">
        <v>228</v>
      </c>
      <c r="G82" s="28">
        <v>1</v>
      </c>
      <c r="H82" s="120">
        <v>0</v>
      </c>
      <c r="I82" s="120">
        <f t="shared" si="40"/>
        <v>0</v>
      </c>
      <c r="K82" s="8"/>
      <c r="Z82" s="28">
        <f t="shared" si="41"/>
        <v>0</v>
      </c>
      <c r="AB82" s="28">
        <f t="shared" si="42"/>
        <v>0</v>
      </c>
      <c r="AC82" s="28">
        <f t="shared" si="43"/>
        <v>0</v>
      </c>
      <c r="AD82" s="28">
        <f t="shared" si="44"/>
        <v>0</v>
      </c>
      <c r="AE82" s="28">
        <f t="shared" si="45"/>
        <v>0</v>
      </c>
      <c r="AF82" s="28">
        <f t="shared" si="46"/>
        <v>0</v>
      </c>
      <c r="AG82" s="28">
        <f t="shared" si="47"/>
        <v>0</v>
      </c>
      <c r="AH82" s="28">
        <f t="shared" si="48"/>
        <v>0</v>
      </c>
      <c r="AI82" s="21" t="s">
        <v>508</v>
      </c>
      <c r="AJ82" s="28">
        <f t="shared" si="49"/>
        <v>0</v>
      </c>
      <c r="AK82" s="28">
        <f t="shared" si="50"/>
        <v>0</v>
      </c>
      <c r="AL82" s="28">
        <f t="shared" si="51"/>
        <v>0</v>
      </c>
      <c r="AN82" s="28">
        <v>21</v>
      </c>
      <c r="AO82" s="28">
        <f>H82*0.867256637168142</f>
        <v>0</v>
      </c>
      <c r="AP82" s="28">
        <f>H82*(1-0.867256637168142)</f>
        <v>0</v>
      </c>
      <c r="AQ82" s="30" t="s">
        <v>900</v>
      </c>
      <c r="AV82" s="28">
        <f t="shared" si="52"/>
        <v>0</v>
      </c>
      <c r="AW82" s="28">
        <f t="shared" si="53"/>
        <v>0</v>
      </c>
      <c r="AX82" s="28">
        <f t="shared" si="54"/>
        <v>0</v>
      </c>
      <c r="AY82" s="30" t="s">
        <v>562</v>
      </c>
      <c r="AZ82" s="30" t="s">
        <v>985</v>
      </c>
      <c r="BA82" s="21" t="s">
        <v>316</v>
      </c>
      <c r="BC82" s="28">
        <f t="shared" si="55"/>
        <v>0</v>
      </c>
      <c r="BD82" s="28">
        <f t="shared" si="56"/>
        <v>0</v>
      </c>
      <c r="BE82" s="28">
        <v>0</v>
      </c>
      <c r="BF82" s="28">
        <f>82</f>
        <v>82</v>
      </c>
      <c r="BH82" s="28">
        <f t="shared" si="57"/>
        <v>0</v>
      </c>
      <c r="BI82" s="28">
        <f t="shared" si="58"/>
        <v>0</v>
      </c>
      <c r="BJ82" s="28">
        <f t="shared" si="59"/>
        <v>0</v>
      </c>
      <c r="BK82" s="28"/>
      <c r="BL82" s="28">
        <v>722</v>
      </c>
      <c r="BW82" s="28">
        <v>21</v>
      </c>
    </row>
    <row r="83" spans="1:75" ht="13.5" customHeight="1">
      <c r="A83" s="38" t="s">
        <v>590</v>
      </c>
      <c r="B83" s="39" t="s">
        <v>508</v>
      </c>
      <c r="C83" s="39" t="s">
        <v>746</v>
      </c>
      <c r="D83" s="50" t="s">
        <v>429</v>
      </c>
      <c r="E83" s="51"/>
      <c r="F83" s="39" t="s">
        <v>311</v>
      </c>
      <c r="G83" s="28">
        <v>1</v>
      </c>
      <c r="H83" s="120">
        <v>0</v>
      </c>
      <c r="I83" s="120">
        <f t="shared" si="40"/>
        <v>0</v>
      </c>
      <c r="K83" s="8"/>
      <c r="Z83" s="28">
        <f t="shared" si="41"/>
        <v>0</v>
      </c>
      <c r="AB83" s="28">
        <f t="shared" si="42"/>
        <v>0</v>
      </c>
      <c r="AC83" s="28">
        <f t="shared" si="43"/>
        <v>0</v>
      </c>
      <c r="AD83" s="28">
        <f t="shared" si="44"/>
        <v>0</v>
      </c>
      <c r="AE83" s="28">
        <f t="shared" si="45"/>
        <v>0</v>
      </c>
      <c r="AF83" s="28">
        <f t="shared" si="46"/>
        <v>0</v>
      </c>
      <c r="AG83" s="28">
        <f t="shared" si="47"/>
        <v>0</v>
      </c>
      <c r="AH83" s="28">
        <f t="shared" si="48"/>
        <v>0</v>
      </c>
      <c r="AI83" s="21" t="s">
        <v>508</v>
      </c>
      <c r="AJ83" s="28">
        <f t="shared" si="49"/>
        <v>0</v>
      </c>
      <c r="AK83" s="28">
        <f t="shared" si="50"/>
        <v>0</v>
      </c>
      <c r="AL83" s="28">
        <f t="shared" si="51"/>
        <v>0</v>
      </c>
      <c r="AN83" s="28">
        <v>21</v>
      </c>
      <c r="AO83" s="28">
        <f>H83*0.536677631578947</f>
        <v>0</v>
      </c>
      <c r="AP83" s="28">
        <f>H83*(1-0.536677631578947)</f>
        <v>0</v>
      </c>
      <c r="AQ83" s="30" t="s">
        <v>900</v>
      </c>
      <c r="AV83" s="28">
        <f t="shared" si="52"/>
        <v>0</v>
      </c>
      <c r="AW83" s="28">
        <f t="shared" si="53"/>
        <v>0</v>
      </c>
      <c r="AX83" s="28">
        <f t="shared" si="54"/>
        <v>0</v>
      </c>
      <c r="AY83" s="30" t="s">
        <v>562</v>
      </c>
      <c r="AZ83" s="30" t="s">
        <v>985</v>
      </c>
      <c r="BA83" s="21" t="s">
        <v>316</v>
      </c>
      <c r="BC83" s="28">
        <f t="shared" si="55"/>
        <v>0</v>
      </c>
      <c r="BD83" s="28">
        <f t="shared" si="56"/>
        <v>0</v>
      </c>
      <c r="BE83" s="28">
        <v>0</v>
      </c>
      <c r="BF83" s="28">
        <f>83</f>
        <v>83</v>
      </c>
      <c r="BH83" s="28">
        <f t="shared" si="57"/>
        <v>0</v>
      </c>
      <c r="BI83" s="28">
        <f t="shared" si="58"/>
        <v>0</v>
      </c>
      <c r="BJ83" s="28">
        <f t="shared" si="59"/>
        <v>0</v>
      </c>
      <c r="BK83" s="28"/>
      <c r="BL83" s="28">
        <v>722</v>
      </c>
      <c r="BW83" s="28">
        <v>21</v>
      </c>
    </row>
    <row r="84" spans="1:75" ht="13.5" customHeight="1">
      <c r="A84" s="38" t="s">
        <v>561</v>
      </c>
      <c r="B84" s="39" t="s">
        <v>508</v>
      </c>
      <c r="C84" s="39" t="s">
        <v>430</v>
      </c>
      <c r="D84" s="50" t="s">
        <v>1047</v>
      </c>
      <c r="E84" s="51"/>
      <c r="F84" s="39" t="s">
        <v>228</v>
      </c>
      <c r="G84" s="28">
        <v>1</v>
      </c>
      <c r="H84" s="120">
        <v>0</v>
      </c>
      <c r="I84" s="120">
        <f t="shared" si="40"/>
        <v>0</v>
      </c>
      <c r="K84" s="8"/>
      <c r="Z84" s="28">
        <f t="shared" si="41"/>
        <v>0</v>
      </c>
      <c r="AB84" s="28">
        <f t="shared" si="42"/>
        <v>0</v>
      </c>
      <c r="AC84" s="28">
        <f t="shared" si="43"/>
        <v>0</v>
      </c>
      <c r="AD84" s="28">
        <f t="shared" si="44"/>
        <v>0</v>
      </c>
      <c r="AE84" s="28">
        <f t="shared" si="45"/>
        <v>0</v>
      </c>
      <c r="AF84" s="28">
        <f t="shared" si="46"/>
        <v>0</v>
      </c>
      <c r="AG84" s="28">
        <f t="shared" si="47"/>
        <v>0</v>
      </c>
      <c r="AH84" s="28">
        <f t="shared" si="48"/>
        <v>0</v>
      </c>
      <c r="AI84" s="21" t="s">
        <v>508</v>
      </c>
      <c r="AJ84" s="28">
        <f t="shared" si="49"/>
        <v>0</v>
      </c>
      <c r="AK84" s="28">
        <f t="shared" si="50"/>
        <v>0</v>
      </c>
      <c r="AL84" s="28">
        <f t="shared" si="51"/>
        <v>0</v>
      </c>
      <c r="AN84" s="28">
        <v>21</v>
      </c>
      <c r="AO84" s="28">
        <f>H84*1</f>
        <v>0</v>
      </c>
      <c r="AP84" s="28">
        <f>H84*(1-1)</f>
        <v>0</v>
      </c>
      <c r="AQ84" s="30" t="s">
        <v>900</v>
      </c>
      <c r="AV84" s="28">
        <f t="shared" si="52"/>
        <v>0</v>
      </c>
      <c r="AW84" s="28">
        <f t="shared" si="53"/>
        <v>0</v>
      </c>
      <c r="AX84" s="28">
        <f t="shared" si="54"/>
        <v>0</v>
      </c>
      <c r="AY84" s="30" t="s">
        <v>562</v>
      </c>
      <c r="AZ84" s="30" t="s">
        <v>985</v>
      </c>
      <c r="BA84" s="21" t="s">
        <v>316</v>
      </c>
      <c r="BC84" s="28">
        <f t="shared" si="55"/>
        <v>0</v>
      </c>
      <c r="BD84" s="28">
        <f t="shared" si="56"/>
        <v>0</v>
      </c>
      <c r="BE84" s="28">
        <v>0</v>
      </c>
      <c r="BF84" s="28">
        <f>84</f>
        <v>84</v>
      </c>
      <c r="BH84" s="28">
        <f t="shared" si="57"/>
        <v>0</v>
      </c>
      <c r="BI84" s="28">
        <f t="shared" si="58"/>
        <v>0</v>
      </c>
      <c r="BJ84" s="28">
        <f t="shared" si="59"/>
        <v>0</v>
      </c>
      <c r="BK84" s="28"/>
      <c r="BL84" s="28">
        <v>722</v>
      </c>
      <c r="BW84" s="28">
        <v>21</v>
      </c>
    </row>
    <row r="85" spans="1:47" ht="15" customHeight="1">
      <c r="A85" s="3" t="s">
        <v>626</v>
      </c>
      <c r="B85" s="43" t="s">
        <v>508</v>
      </c>
      <c r="C85" s="43" t="s">
        <v>870</v>
      </c>
      <c r="D85" s="103" t="s">
        <v>527</v>
      </c>
      <c r="E85" s="104"/>
      <c r="F85" s="37" t="s">
        <v>836</v>
      </c>
      <c r="G85" s="37" t="s">
        <v>836</v>
      </c>
      <c r="H85" s="118" t="s">
        <v>836</v>
      </c>
      <c r="I85" s="119">
        <f>SUM(I86:I86)</f>
        <v>0</v>
      </c>
      <c r="K85" s="8"/>
      <c r="AI85" s="21" t="s">
        <v>508</v>
      </c>
      <c r="AS85" s="31">
        <f>SUM(AJ86:AJ86)</f>
        <v>0</v>
      </c>
      <c r="AT85" s="31">
        <f>SUM(AK86:AK86)</f>
        <v>0</v>
      </c>
      <c r="AU85" s="31">
        <f>SUM(AL86:AL86)</f>
        <v>0</v>
      </c>
    </row>
    <row r="86" spans="1:75" ht="13.5" customHeight="1">
      <c r="A86" s="38" t="s">
        <v>856</v>
      </c>
      <c r="B86" s="39" t="s">
        <v>508</v>
      </c>
      <c r="C86" s="39" t="s">
        <v>808</v>
      </c>
      <c r="D86" s="50" t="s">
        <v>1048</v>
      </c>
      <c r="E86" s="51"/>
      <c r="F86" s="39" t="s">
        <v>311</v>
      </c>
      <c r="G86" s="28">
        <v>1</v>
      </c>
      <c r="H86" s="120">
        <v>0</v>
      </c>
      <c r="I86" s="120">
        <f>G86*H86</f>
        <v>0</v>
      </c>
      <c r="K86" s="8"/>
      <c r="Z86" s="28">
        <f>IF(AQ86="5",BJ86,0)</f>
        <v>0</v>
      </c>
      <c r="AB86" s="28">
        <f>IF(AQ86="1",BH86,0)</f>
        <v>0</v>
      </c>
      <c r="AC86" s="28">
        <f>IF(AQ86="1",BI86,0)</f>
        <v>0</v>
      </c>
      <c r="AD86" s="28">
        <f>IF(AQ86="7",BH86,0)</f>
        <v>0</v>
      </c>
      <c r="AE86" s="28">
        <f>IF(AQ86="7",BI86,0)</f>
        <v>0</v>
      </c>
      <c r="AF86" s="28">
        <f>IF(AQ86="2",BH86,0)</f>
        <v>0</v>
      </c>
      <c r="AG86" s="28">
        <f>IF(AQ86="2",BI86,0)</f>
        <v>0</v>
      </c>
      <c r="AH86" s="28">
        <f>IF(AQ86="0",BJ86,0)</f>
        <v>0</v>
      </c>
      <c r="AI86" s="21" t="s">
        <v>508</v>
      </c>
      <c r="AJ86" s="28">
        <f>IF(AN86=0,I86,0)</f>
        <v>0</v>
      </c>
      <c r="AK86" s="28">
        <f>IF(AN86=12,I86,0)</f>
        <v>0</v>
      </c>
      <c r="AL86" s="28">
        <f>IF(AN86=21,I86,0)</f>
        <v>0</v>
      </c>
      <c r="AN86" s="28">
        <v>21</v>
      </c>
      <c r="AO86" s="28">
        <f>H86*0.903662177840775</f>
        <v>0</v>
      </c>
      <c r="AP86" s="28">
        <f>H86*(1-0.903662177840775)</f>
        <v>0</v>
      </c>
      <c r="AQ86" s="30" t="s">
        <v>900</v>
      </c>
      <c r="AV86" s="28">
        <f>AW86+AX86</f>
        <v>0</v>
      </c>
      <c r="AW86" s="28">
        <f>G86*AO86</f>
        <v>0</v>
      </c>
      <c r="AX86" s="28">
        <f>G86*AP86</f>
        <v>0</v>
      </c>
      <c r="AY86" s="30" t="s">
        <v>388</v>
      </c>
      <c r="AZ86" s="30" t="s">
        <v>985</v>
      </c>
      <c r="BA86" s="21" t="s">
        <v>316</v>
      </c>
      <c r="BC86" s="28">
        <f>AW86+AX86</f>
        <v>0</v>
      </c>
      <c r="BD86" s="28">
        <f>H86/(100-BE86)*100</f>
        <v>0</v>
      </c>
      <c r="BE86" s="28">
        <v>0</v>
      </c>
      <c r="BF86" s="28">
        <f>86</f>
        <v>86</v>
      </c>
      <c r="BH86" s="28">
        <f>G86*AO86</f>
        <v>0</v>
      </c>
      <c r="BI86" s="28">
        <f>G86*AP86</f>
        <v>0</v>
      </c>
      <c r="BJ86" s="28">
        <f>G86*H86</f>
        <v>0</v>
      </c>
      <c r="BK86" s="28"/>
      <c r="BL86" s="28">
        <v>725</v>
      </c>
      <c r="BW86" s="28">
        <v>21</v>
      </c>
    </row>
    <row r="87" spans="1:47" ht="15" customHeight="1">
      <c r="A87" s="3" t="s">
        <v>626</v>
      </c>
      <c r="B87" s="43" t="s">
        <v>508</v>
      </c>
      <c r="C87" s="43" t="s">
        <v>595</v>
      </c>
      <c r="D87" s="103" t="s">
        <v>898</v>
      </c>
      <c r="E87" s="104"/>
      <c r="F87" s="37" t="s">
        <v>836</v>
      </c>
      <c r="G87" s="37" t="s">
        <v>836</v>
      </c>
      <c r="H87" s="118" t="s">
        <v>836</v>
      </c>
      <c r="I87" s="119">
        <f>SUM(I88:I89)</f>
        <v>0</v>
      </c>
      <c r="K87" s="8"/>
      <c r="AI87" s="21" t="s">
        <v>508</v>
      </c>
      <c r="AS87" s="31">
        <f>SUM(AJ88:AJ89)</f>
        <v>0</v>
      </c>
      <c r="AT87" s="31">
        <f>SUM(AK88:AK89)</f>
        <v>0</v>
      </c>
      <c r="AU87" s="31">
        <f>SUM(AL88:AL89)</f>
        <v>0</v>
      </c>
    </row>
    <row r="88" spans="1:75" ht="13.5" customHeight="1">
      <c r="A88" s="38" t="s">
        <v>510</v>
      </c>
      <c r="B88" s="39" t="s">
        <v>508</v>
      </c>
      <c r="C88" s="39" t="s">
        <v>949</v>
      </c>
      <c r="D88" s="50" t="s">
        <v>1049</v>
      </c>
      <c r="E88" s="51"/>
      <c r="F88" s="39" t="s">
        <v>626</v>
      </c>
      <c r="G88" s="28">
        <v>1</v>
      </c>
      <c r="H88" s="120">
        <v>0</v>
      </c>
      <c r="I88" s="120">
        <f>G88*H88</f>
        <v>0</v>
      </c>
      <c r="K88" s="8"/>
      <c r="Z88" s="28">
        <f>IF(AQ88="5",BJ88,0)</f>
        <v>0</v>
      </c>
      <c r="AB88" s="28">
        <f>IF(AQ88="1",BH88,0)</f>
        <v>0</v>
      </c>
      <c r="AC88" s="28">
        <f>IF(AQ88="1",BI88,0)</f>
        <v>0</v>
      </c>
      <c r="AD88" s="28">
        <f>IF(AQ88="7",BH88,0)</f>
        <v>0</v>
      </c>
      <c r="AE88" s="28">
        <f>IF(AQ88="7",BI88,0)</f>
        <v>0</v>
      </c>
      <c r="AF88" s="28">
        <f>IF(AQ88="2",BH88,0)</f>
        <v>0</v>
      </c>
      <c r="AG88" s="28">
        <f>IF(AQ88="2",BI88,0)</f>
        <v>0</v>
      </c>
      <c r="AH88" s="28">
        <f>IF(AQ88="0",BJ88,0)</f>
        <v>0</v>
      </c>
      <c r="AI88" s="21" t="s">
        <v>508</v>
      </c>
      <c r="AJ88" s="28">
        <f>IF(AN88=0,I88,0)</f>
        <v>0</v>
      </c>
      <c r="AK88" s="28">
        <f>IF(AN88=12,I88,0)</f>
        <v>0</v>
      </c>
      <c r="AL88" s="28">
        <f>IF(AN88=21,I88,0)</f>
        <v>0</v>
      </c>
      <c r="AN88" s="28">
        <v>21</v>
      </c>
      <c r="AO88" s="28">
        <f>H88*0.979850316637881</f>
        <v>0</v>
      </c>
      <c r="AP88" s="28">
        <f>H88*(1-0.979850316637881)</f>
        <v>0</v>
      </c>
      <c r="AQ88" s="30" t="s">
        <v>900</v>
      </c>
      <c r="AV88" s="28">
        <f>AW88+AX88</f>
        <v>0</v>
      </c>
      <c r="AW88" s="28">
        <f>G88*AO88</f>
        <v>0</v>
      </c>
      <c r="AX88" s="28">
        <f>G88*AP88</f>
        <v>0</v>
      </c>
      <c r="AY88" s="30" t="s">
        <v>399</v>
      </c>
      <c r="AZ88" s="30" t="s">
        <v>773</v>
      </c>
      <c r="BA88" s="21" t="s">
        <v>316</v>
      </c>
      <c r="BC88" s="28">
        <f>AW88+AX88</f>
        <v>0</v>
      </c>
      <c r="BD88" s="28">
        <f>H88/(100-BE88)*100</f>
        <v>0</v>
      </c>
      <c r="BE88" s="28">
        <v>0</v>
      </c>
      <c r="BF88" s="28">
        <f>88</f>
        <v>88</v>
      </c>
      <c r="BH88" s="28">
        <f>G88*AO88</f>
        <v>0</v>
      </c>
      <c r="BI88" s="28">
        <f>G88*AP88</f>
        <v>0</v>
      </c>
      <c r="BJ88" s="28">
        <f>G88*H88</f>
        <v>0</v>
      </c>
      <c r="BK88" s="28"/>
      <c r="BL88" s="28">
        <v>732</v>
      </c>
      <c r="BW88" s="28">
        <v>21</v>
      </c>
    </row>
    <row r="89" spans="1:75" ht="13.5" customHeight="1">
      <c r="A89" s="38" t="s">
        <v>392</v>
      </c>
      <c r="B89" s="39" t="s">
        <v>508</v>
      </c>
      <c r="C89" s="39" t="s">
        <v>446</v>
      </c>
      <c r="D89" s="50" t="s">
        <v>1050</v>
      </c>
      <c r="E89" s="51"/>
      <c r="F89" s="39" t="s">
        <v>311</v>
      </c>
      <c r="G89" s="28">
        <v>1</v>
      </c>
      <c r="H89" s="120">
        <v>0</v>
      </c>
      <c r="I89" s="120">
        <f>G89*H89</f>
        <v>0</v>
      </c>
      <c r="K89" s="8"/>
      <c r="Z89" s="28">
        <f>IF(AQ89="5",BJ89,0)</f>
        <v>0</v>
      </c>
      <c r="AB89" s="28">
        <f>IF(AQ89="1",BH89,0)</f>
        <v>0</v>
      </c>
      <c r="AC89" s="28">
        <f>IF(AQ89="1",BI89,0)</f>
        <v>0</v>
      </c>
      <c r="AD89" s="28">
        <f>IF(AQ89="7",BH89,0)</f>
        <v>0</v>
      </c>
      <c r="AE89" s="28">
        <f>IF(AQ89="7",BI89,0)</f>
        <v>0</v>
      </c>
      <c r="AF89" s="28">
        <f>IF(AQ89="2",BH89,0)</f>
        <v>0</v>
      </c>
      <c r="AG89" s="28">
        <f>IF(AQ89="2",BI89,0)</f>
        <v>0</v>
      </c>
      <c r="AH89" s="28">
        <f>IF(AQ89="0",BJ89,0)</f>
        <v>0</v>
      </c>
      <c r="AI89" s="21" t="s">
        <v>508</v>
      </c>
      <c r="AJ89" s="28">
        <f>IF(AN89=0,I89,0)</f>
        <v>0</v>
      </c>
      <c r="AK89" s="28">
        <f>IF(AN89=12,I89,0)</f>
        <v>0</v>
      </c>
      <c r="AL89" s="28">
        <f>IF(AN89=21,I89,0)</f>
        <v>0</v>
      </c>
      <c r="AN89" s="28">
        <v>21</v>
      </c>
      <c r="AO89" s="28">
        <f>H89*0.967563106796116</f>
        <v>0</v>
      </c>
      <c r="AP89" s="28">
        <f>H89*(1-0.967563106796116)</f>
        <v>0</v>
      </c>
      <c r="AQ89" s="30" t="s">
        <v>900</v>
      </c>
      <c r="AV89" s="28">
        <f>AW89+AX89</f>
        <v>0</v>
      </c>
      <c r="AW89" s="28">
        <f>G89*AO89</f>
        <v>0</v>
      </c>
      <c r="AX89" s="28">
        <f>G89*AP89</f>
        <v>0</v>
      </c>
      <c r="AY89" s="30" t="s">
        <v>399</v>
      </c>
      <c r="AZ89" s="30" t="s">
        <v>773</v>
      </c>
      <c r="BA89" s="21" t="s">
        <v>316</v>
      </c>
      <c r="BC89" s="28">
        <f>AW89+AX89</f>
        <v>0</v>
      </c>
      <c r="BD89" s="28">
        <f>H89/(100-BE89)*100</f>
        <v>0</v>
      </c>
      <c r="BE89" s="28">
        <v>0</v>
      </c>
      <c r="BF89" s="28">
        <f>89</f>
        <v>89</v>
      </c>
      <c r="BH89" s="28">
        <f>G89*AO89</f>
        <v>0</v>
      </c>
      <c r="BI89" s="28">
        <f>G89*AP89</f>
        <v>0</v>
      </c>
      <c r="BJ89" s="28">
        <f>G89*H89</f>
        <v>0</v>
      </c>
      <c r="BK89" s="28"/>
      <c r="BL89" s="28">
        <v>732</v>
      </c>
      <c r="BW89" s="28">
        <v>21</v>
      </c>
    </row>
    <row r="90" spans="1:47" ht="15" customHeight="1">
      <c r="A90" s="3" t="s">
        <v>626</v>
      </c>
      <c r="B90" s="43" t="s">
        <v>508</v>
      </c>
      <c r="C90" s="43" t="s">
        <v>922</v>
      </c>
      <c r="D90" s="103" t="s">
        <v>754</v>
      </c>
      <c r="E90" s="104"/>
      <c r="F90" s="37" t="s">
        <v>836</v>
      </c>
      <c r="G90" s="37" t="s">
        <v>836</v>
      </c>
      <c r="H90" s="118" t="s">
        <v>836</v>
      </c>
      <c r="I90" s="119">
        <f>SUM(I91:I96)</f>
        <v>0</v>
      </c>
      <c r="K90" s="8"/>
      <c r="AI90" s="21" t="s">
        <v>508</v>
      </c>
      <c r="AS90" s="31">
        <f>SUM(AJ91:AJ96)</f>
        <v>0</v>
      </c>
      <c r="AT90" s="31">
        <f>SUM(AK91:AK96)</f>
        <v>0</v>
      </c>
      <c r="AU90" s="31">
        <f>SUM(AL91:AL96)</f>
        <v>0</v>
      </c>
    </row>
    <row r="91" spans="1:75" ht="13.5" customHeight="1">
      <c r="A91" s="38" t="s">
        <v>110</v>
      </c>
      <c r="B91" s="39" t="s">
        <v>508</v>
      </c>
      <c r="C91" s="39" t="s">
        <v>177</v>
      </c>
      <c r="D91" s="50" t="s">
        <v>427</v>
      </c>
      <c r="E91" s="51"/>
      <c r="F91" s="39" t="s">
        <v>228</v>
      </c>
      <c r="G91" s="28">
        <v>2</v>
      </c>
      <c r="H91" s="120">
        <v>0</v>
      </c>
      <c r="I91" s="120">
        <f aca="true" t="shared" si="60" ref="I91:I96">G91*H91</f>
        <v>0</v>
      </c>
      <c r="K91" s="8"/>
      <c r="Z91" s="28">
        <f aca="true" t="shared" si="61" ref="Z91:Z96">IF(AQ91="5",BJ91,0)</f>
        <v>0</v>
      </c>
      <c r="AB91" s="28">
        <f aca="true" t="shared" si="62" ref="AB91:AB96">IF(AQ91="1",BH91,0)</f>
        <v>0</v>
      </c>
      <c r="AC91" s="28">
        <f aca="true" t="shared" si="63" ref="AC91:AC96">IF(AQ91="1",BI91,0)</f>
        <v>0</v>
      </c>
      <c r="AD91" s="28">
        <f aca="true" t="shared" si="64" ref="AD91:AD96">IF(AQ91="7",BH91,0)</f>
        <v>0</v>
      </c>
      <c r="AE91" s="28">
        <f aca="true" t="shared" si="65" ref="AE91:AE96">IF(AQ91="7",BI91,0)</f>
        <v>0</v>
      </c>
      <c r="AF91" s="28">
        <f aca="true" t="shared" si="66" ref="AF91:AF96">IF(AQ91="2",BH91,0)</f>
        <v>0</v>
      </c>
      <c r="AG91" s="28">
        <f aca="true" t="shared" si="67" ref="AG91:AG96">IF(AQ91="2",BI91,0)</f>
        <v>0</v>
      </c>
      <c r="AH91" s="28">
        <f aca="true" t="shared" si="68" ref="AH91:AH96">IF(AQ91="0",BJ91,0)</f>
        <v>0</v>
      </c>
      <c r="AI91" s="21" t="s">
        <v>508</v>
      </c>
      <c r="AJ91" s="28">
        <f aca="true" t="shared" si="69" ref="AJ91:AJ96">IF(AN91=0,I91,0)</f>
        <v>0</v>
      </c>
      <c r="AK91" s="28">
        <f aca="true" t="shared" si="70" ref="AK91:AK96">IF(AN91=12,I91,0)</f>
        <v>0</v>
      </c>
      <c r="AL91" s="28">
        <f aca="true" t="shared" si="71" ref="AL91:AL96">IF(AN91=21,I91,0)</f>
        <v>0</v>
      </c>
      <c r="AN91" s="28">
        <v>21</v>
      </c>
      <c r="AO91" s="28">
        <f>H91*0.277834101382488</f>
        <v>0</v>
      </c>
      <c r="AP91" s="28">
        <f>H91*(1-0.277834101382488)</f>
        <v>0</v>
      </c>
      <c r="AQ91" s="30" t="s">
        <v>900</v>
      </c>
      <c r="AV91" s="28">
        <f aca="true" t="shared" si="72" ref="AV91:AV96">AW91+AX91</f>
        <v>0</v>
      </c>
      <c r="AW91" s="28">
        <f aca="true" t="shared" si="73" ref="AW91:AW96">G91*AO91</f>
        <v>0</v>
      </c>
      <c r="AX91" s="28">
        <f aca="true" t="shared" si="74" ref="AX91:AX96">G91*AP91</f>
        <v>0</v>
      </c>
      <c r="AY91" s="30" t="s">
        <v>92</v>
      </c>
      <c r="AZ91" s="30" t="s">
        <v>773</v>
      </c>
      <c r="BA91" s="21" t="s">
        <v>316</v>
      </c>
      <c r="BC91" s="28">
        <f aca="true" t="shared" si="75" ref="BC91:BC96">AW91+AX91</f>
        <v>0</v>
      </c>
      <c r="BD91" s="28">
        <f aca="true" t="shared" si="76" ref="BD91:BD96">H91/(100-BE91)*100</f>
        <v>0</v>
      </c>
      <c r="BE91" s="28">
        <v>0</v>
      </c>
      <c r="BF91" s="28">
        <f>91</f>
        <v>91</v>
      </c>
      <c r="BH91" s="28">
        <f aca="true" t="shared" si="77" ref="BH91:BH96">G91*AO91</f>
        <v>0</v>
      </c>
      <c r="BI91" s="28">
        <f aca="true" t="shared" si="78" ref="BI91:BI96">G91*AP91</f>
        <v>0</v>
      </c>
      <c r="BJ91" s="28">
        <f aca="true" t="shared" si="79" ref="BJ91:BJ96">G91*H91</f>
        <v>0</v>
      </c>
      <c r="BK91" s="28"/>
      <c r="BL91" s="28">
        <v>733</v>
      </c>
      <c r="BW91" s="28">
        <v>21</v>
      </c>
    </row>
    <row r="92" spans="1:75" ht="13.5" customHeight="1">
      <c r="A92" s="38" t="s">
        <v>647</v>
      </c>
      <c r="B92" s="39" t="s">
        <v>508</v>
      </c>
      <c r="C92" s="39" t="s">
        <v>472</v>
      </c>
      <c r="D92" s="50" t="s">
        <v>950</v>
      </c>
      <c r="E92" s="51"/>
      <c r="F92" s="39" t="s">
        <v>228</v>
      </c>
      <c r="G92" s="28">
        <v>6</v>
      </c>
      <c r="H92" s="120">
        <v>0</v>
      </c>
      <c r="I92" s="120">
        <f t="shared" si="60"/>
        <v>0</v>
      </c>
      <c r="K92" s="8"/>
      <c r="Z92" s="28">
        <f t="shared" si="61"/>
        <v>0</v>
      </c>
      <c r="AB92" s="28">
        <f t="shared" si="62"/>
        <v>0</v>
      </c>
      <c r="AC92" s="28">
        <f t="shared" si="63"/>
        <v>0</v>
      </c>
      <c r="AD92" s="28">
        <f t="shared" si="64"/>
        <v>0</v>
      </c>
      <c r="AE92" s="28">
        <f t="shared" si="65"/>
        <v>0</v>
      </c>
      <c r="AF92" s="28">
        <f t="shared" si="66"/>
        <v>0</v>
      </c>
      <c r="AG92" s="28">
        <f t="shared" si="67"/>
        <v>0</v>
      </c>
      <c r="AH92" s="28">
        <f t="shared" si="68"/>
        <v>0</v>
      </c>
      <c r="AI92" s="21" t="s">
        <v>508</v>
      </c>
      <c r="AJ92" s="28">
        <f t="shared" si="69"/>
        <v>0</v>
      </c>
      <c r="AK92" s="28">
        <f t="shared" si="70"/>
        <v>0</v>
      </c>
      <c r="AL92" s="28">
        <f t="shared" si="71"/>
        <v>0</v>
      </c>
      <c r="AN92" s="28">
        <v>21</v>
      </c>
      <c r="AO92" s="28">
        <f>H92*0.541785026397107</f>
        <v>0</v>
      </c>
      <c r="AP92" s="28">
        <f>H92*(1-0.541785026397107)</f>
        <v>0</v>
      </c>
      <c r="AQ92" s="30" t="s">
        <v>900</v>
      </c>
      <c r="AV92" s="28">
        <f t="shared" si="72"/>
        <v>0</v>
      </c>
      <c r="AW92" s="28">
        <f t="shared" si="73"/>
        <v>0</v>
      </c>
      <c r="AX92" s="28">
        <f t="shared" si="74"/>
        <v>0</v>
      </c>
      <c r="AY92" s="30" t="s">
        <v>92</v>
      </c>
      <c r="AZ92" s="30" t="s">
        <v>773</v>
      </c>
      <c r="BA92" s="21" t="s">
        <v>316</v>
      </c>
      <c r="BC92" s="28">
        <f t="shared" si="75"/>
        <v>0</v>
      </c>
      <c r="BD92" s="28">
        <f t="shared" si="76"/>
        <v>0</v>
      </c>
      <c r="BE92" s="28">
        <v>0</v>
      </c>
      <c r="BF92" s="28">
        <f>92</f>
        <v>92</v>
      </c>
      <c r="BH92" s="28">
        <f t="shared" si="77"/>
        <v>0</v>
      </c>
      <c r="BI92" s="28">
        <f t="shared" si="78"/>
        <v>0</v>
      </c>
      <c r="BJ92" s="28">
        <f t="shared" si="79"/>
        <v>0</v>
      </c>
      <c r="BK92" s="28"/>
      <c r="BL92" s="28">
        <v>733</v>
      </c>
      <c r="BW92" s="28">
        <v>21</v>
      </c>
    </row>
    <row r="93" spans="1:75" ht="13.5" customHeight="1">
      <c r="A93" s="38" t="s">
        <v>1010</v>
      </c>
      <c r="B93" s="39" t="s">
        <v>508</v>
      </c>
      <c r="C93" s="39" t="s">
        <v>858</v>
      </c>
      <c r="D93" s="50" t="s">
        <v>554</v>
      </c>
      <c r="E93" s="51"/>
      <c r="F93" s="39" t="s">
        <v>741</v>
      </c>
      <c r="G93" s="28">
        <v>16</v>
      </c>
      <c r="H93" s="120">
        <v>0</v>
      </c>
      <c r="I93" s="120">
        <f t="shared" si="60"/>
        <v>0</v>
      </c>
      <c r="K93" s="8"/>
      <c r="Z93" s="28">
        <f t="shared" si="61"/>
        <v>0</v>
      </c>
      <c r="AB93" s="28">
        <f t="shared" si="62"/>
        <v>0</v>
      </c>
      <c r="AC93" s="28">
        <f t="shared" si="63"/>
        <v>0</v>
      </c>
      <c r="AD93" s="28">
        <f t="shared" si="64"/>
        <v>0</v>
      </c>
      <c r="AE93" s="28">
        <f t="shared" si="65"/>
        <v>0</v>
      </c>
      <c r="AF93" s="28">
        <f t="shared" si="66"/>
        <v>0</v>
      </c>
      <c r="AG93" s="28">
        <f t="shared" si="67"/>
        <v>0</v>
      </c>
      <c r="AH93" s="28">
        <f t="shared" si="68"/>
        <v>0</v>
      </c>
      <c r="AI93" s="21" t="s">
        <v>508</v>
      </c>
      <c r="AJ93" s="28">
        <f t="shared" si="69"/>
        <v>0</v>
      </c>
      <c r="AK93" s="28">
        <f t="shared" si="70"/>
        <v>0</v>
      </c>
      <c r="AL93" s="28">
        <f t="shared" si="71"/>
        <v>0</v>
      </c>
      <c r="AN93" s="28">
        <v>21</v>
      </c>
      <c r="AO93" s="28">
        <f>H93*0.583793884484711</f>
        <v>0</v>
      </c>
      <c r="AP93" s="28">
        <f>H93*(1-0.583793884484711)</f>
        <v>0</v>
      </c>
      <c r="AQ93" s="30" t="s">
        <v>900</v>
      </c>
      <c r="AV93" s="28">
        <f t="shared" si="72"/>
        <v>0</v>
      </c>
      <c r="AW93" s="28">
        <f t="shared" si="73"/>
        <v>0</v>
      </c>
      <c r="AX93" s="28">
        <f t="shared" si="74"/>
        <v>0</v>
      </c>
      <c r="AY93" s="30" t="s">
        <v>92</v>
      </c>
      <c r="AZ93" s="30" t="s">
        <v>773</v>
      </c>
      <c r="BA93" s="21" t="s">
        <v>316</v>
      </c>
      <c r="BC93" s="28">
        <f t="shared" si="75"/>
        <v>0</v>
      </c>
      <c r="BD93" s="28">
        <f t="shared" si="76"/>
        <v>0</v>
      </c>
      <c r="BE93" s="28">
        <v>0</v>
      </c>
      <c r="BF93" s="28">
        <f>93</f>
        <v>93</v>
      </c>
      <c r="BH93" s="28">
        <f t="shared" si="77"/>
        <v>0</v>
      </c>
      <c r="BI93" s="28">
        <f t="shared" si="78"/>
        <v>0</v>
      </c>
      <c r="BJ93" s="28">
        <f t="shared" si="79"/>
        <v>0</v>
      </c>
      <c r="BK93" s="28"/>
      <c r="BL93" s="28">
        <v>733</v>
      </c>
      <c r="BW93" s="28">
        <v>21</v>
      </c>
    </row>
    <row r="94" spans="1:75" ht="13.5" customHeight="1">
      <c r="A94" s="38" t="s">
        <v>210</v>
      </c>
      <c r="B94" s="39" t="s">
        <v>508</v>
      </c>
      <c r="C94" s="39" t="s">
        <v>151</v>
      </c>
      <c r="D94" s="50" t="s">
        <v>307</v>
      </c>
      <c r="E94" s="51"/>
      <c r="F94" s="39" t="s">
        <v>741</v>
      </c>
      <c r="G94" s="28">
        <v>12</v>
      </c>
      <c r="H94" s="120">
        <v>0</v>
      </c>
      <c r="I94" s="120">
        <f t="shared" si="60"/>
        <v>0</v>
      </c>
      <c r="K94" s="8"/>
      <c r="Z94" s="28">
        <f t="shared" si="61"/>
        <v>0</v>
      </c>
      <c r="AB94" s="28">
        <f t="shared" si="62"/>
        <v>0</v>
      </c>
      <c r="AC94" s="28">
        <f t="shared" si="63"/>
        <v>0</v>
      </c>
      <c r="AD94" s="28">
        <f t="shared" si="64"/>
        <v>0</v>
      </c>
      <c r="AE94" s="28">
        <f t="shared" si="65"/>
        <v>0</v>
      </c>
      <c r="AF94" s="28">
        <f t="shared" si="66"/>
        <v>0</v>
      </c>
      <c r="AG94" s="28">
        <f t="shared" si="67"/>
        <v>0</v>
      </c>
      <c r="AH94" s="28">
        <f t="shared" si="68"/>
        <v>0</v>
      </c>
      <c r="AI94" s="21" t="s">
        <v>508</v>
      </c>
      <c r="AJ94" s="28">
        <f t="shared" si="69"/>
        <v>0</v>
      </c>
      <c r="AK94" s="28">
        <f t="shared" si="70"/>
        <v>0</v>
      </c>
      <c r="AL94" s="28">
        <f t="shared" si="71"/>
        <v>0</v>
      </c>
      <c r="AN94" s="28">
        <v>21</v>
      </c>
      <c r="AO94" s="28">
        <f>H94*0.588</f>
        <v>0</v>
      </c>
      <c r="AP94" s="28">
        <f>H94*(1-0.588)</f>
        <v>0</v>
      </c>
      <c r="AQ94" s="30" t="s">
        <v>900</v>
      </c>
      <c r="AV94" s="28">
        <f t="shared" si="72"/>
        <v>0</v>
      </c>
      <c r="AW94" s="28">
        <f t="shared" si="73"/>
        <v>0</v>
      </c>
      <c r="AX94" s="28">
        <f t="shared" si="74"/>
        <v>0</v>
      </c>
      <c r="AY94" s="30" t="s">
        <v>92</v>
      </c>
      <c r="AZ94" s="30" t="s">
        <v>773</v>
      </c>
      <c r="BA94" s="21" t="s">
        <v>316</v>
      </c>
      <c r="BC94" s="28">
        <f t="shared" si="75"/>
        <v>0</v>
      </c>
      <c r="BD94" s="28">
        <f t="shared" si="76"/>
        <v>0</v>
      </c>
      <c r="BE94" s="28">
        <v>0</v>
      </c>
      <c r="BF94" s="28">
        <f>94</f>
        <v>94</v>
      </c>
      <c r="BH94" s="28">
        <f t="shared" si="77"/>
        <v>0</v>
      </c>
      <c r="BI94" s="28">
        <f t="shared" si="78"/>
        <v>0</v>
      </c>
      <c r="BJ94" s="28">
        <f t="shared" si="79"/>
        <v>0</v>
      </c>
      <c r="BK94" s="28"/>
      <c r="BL94" s="28">
        <v>733</v>
      </c>
      <c r="BW94" s="28">
        <v>21</v>
      </c>
    </row>
    <row r="95" spans="1:75" ht="13.5" customHeight="1">
      <c r="A95" s="38" t="s">
        <v>424</v>
      </c>
      <c r="B95" s="39" t="s">
        <v>508</v>
      </c>
      <c r="C95" s="39" t="s">
        <v>260</v>
      </c>
      <c r="D95" s="50" t="s">
        <v>287</v>
      </c>
      <c r="E95" s="51"/>
      <c r="F95" s="39" t="s">
        <v>741</v>
      </c>
      <c r="G95" s="28">
        <v>28</v>
      </c>
      <c r="H95" s="120">
        <v>0</v>
      </c>
      <c r="I95" s="120">
        <f t="shared" si="60"/>
        <v>0</v>
      </c>
      <c r="K95" s="8"/>
      <c r="Z95" s="28">
        <f t="shared" si="61"/>
        <v>0</v>
      </c>
      <c r="AB95" s="28">
        <f t="shared" si="62"/>
        <v>0</v>
      </c>
      <c r="AC95" s="28">
        <f t="shared" si="63"/>
        <v>0</v>
      </c>
      <c r="AD95" s="28">
        <f t="shared" si="64"/>
        <v>0</v>
      </c>
      <c r="AE95" s="28">
        <f t="shared" si="65"/>
        <v>0</v>
      </c>
      <c r="AF95" s="28">
        <f t="shared" si="66"/>
        <v>0</v>
      </c>
      <c r="AG95" s="28">
        <f t="shared" si="67"/>
        <v>0</v>
      </c>
      <c r="AH95" s="28">
        <f t="shared" si="68"/>
        <v>0</v>
      </c>
      <c r="AI95" s="21" t="s">
        <v>508</v>
      </c>
      <c r="AJ95" s="28">
        <f t="shared" si="69"/>
        <v>0</v>
      </c>
      <c r="AK95" s="28">
        <f t="shared" si="70"/>
        <v>0</v>
      </c>
      <c r="AL95" s="28">
        <f t="shared" si="71"/>
        <v>0</v>
      </c>
      <c r="AN95" s="28">
        <v>21</v>
      </c>
      <c r="AO95" s="28">
        <f>H95*0</f>
        <v>0</v>
      </c>
      <c r="AP95" s="28">
        <f>H95*(1-0)</f>
        <v>0</v>
      </c>
      <c r="AQ95" s="30" t="s">
        <v>900</v>
      </c>
      <c r="AV95" s="28">
        <f t="shared" si="72"/>
        <v>0</v>
      </c>
      <c r="AW95" s="28">
        <f t="shared" si="73"/>
        <v>0</v>
      </c>
      <c r="AX95" s="28">
        <f t="shared" si="74"/>
        <v>0</v>
      </c>
      <c r="AY95" s="30" t="s">
        <v>92</v>
      </c>
      <c r="AZ95" s="30" t="s">
        <v>773</v>
      </c>
      <c r="BA95" s="21" t="s">
        <v>316</v>
      </c>
      <c r="BC95" s="28">
        <f t="shared" si="75"/>
        <v>0</v>
      </c>
      <c r="BD95" s="28">
        <f t="shared" si="76"/>
        <v>0</v>
      </c>
      <c r="BE95" s="28">
        <v>0</v>
      </c>
      <c r="BF95" s="28">
        <f>95</f>
        <v>95</v>
      </c>
      <c r="BH95" s="28">
        <f t="shared" si="77"/>
        <v>0</v>
      </c>
      <c r="BI95" s="28">
        <f t="shared" si="78"/>
        <v>0</v>
      </c>
      <c r="BJ95" s="28">
        <f t="shared" si="79"/>
        <v>0</v>
      </c>
      <c r="BK95" s="28"/>
      <c r="BL95" s="28">
        <v>733</v>
      </c>
      <c r="BW95" s="28">
        <v>21</v>
      </c>
    </row>
    <row r="96" spans="1:75" ht="13.5" customHeight="1">
      <c r="A96" s="38" t="s">
        <v>1001</v>
      </c>
      <c r="B96" s="39" t="s">
        <v>508</v>
      </c>
      <c r="C96" s="39" t="s">
        <v>296</v>
      </c>
      <c r="D96" s="50" t="s">
        <v>1051</v>
      </c>
      <c r="E96" s="51"/>
      <c r="F96" s="39" t="s">
        <v>741</v>
      </c>
      <c r="G96" s="28">
        <v>28</v>
      </c>
      <c r="H96" s="120">
        <v>0</v>
      </c>
      <c r="I96" s="120">
        <f t="shared" si="60"/>
        <v>0</v>
      </c>
      <c r="K96" s="8"/>
      <c r="Z96" s="28">
        <f t="shared" si="61"/>
        <v>0</v>
      </c>
      <c r="AB96" s="28">
        <f t="shared" si="62"/>
        <v>0</v>
      </c>
      <c r="AC96" s="28">
        <f t="shared" si="63"/>
        <v>0</v>
      </c>
      <c r="AD96" s="28">
        <f t="shared" si="64"/>
        <v>0</v>
      </c>
      <c r="AE96" s="28">
        <f t="shared" si="65"/>
        <v>0</v>
      </c>
      <c r="AF96" s="28">
        <f t="shared" si="66"/>
        <v>0</v>
      </c>
      <c r="AG96" s="28">
        <f t="shared" si="67"/>
        <v>0</v>
      </c>
      <c r="AH96" s="28">
        <f t="shared" si="68"/>
        <v>0</v>
      </c>
      <c r="AI96" s="21" t="s">
        <v>508</v>
      </c>
      <c r="AJ96" s="28">
        <f t="shared" si="69"/>
        <v>0</v>
      </c>
      <c r="AK96" s="28">
        <f t="shared" si="70"/>
        <v>0</v>
      </c>
      <c r="AL96" s="28">
        <f t="shared" si="71"/>
        <v>0</v>
      </c>
      <c r="AN96" s="28">
        <v>21</v>
      </c>
      <c r="AO96" s="28">
        <f>H96*1</f>
        <v>0</v>
      </c>
      <c r="AP96" s="28">
        <f>H96*(1-1)</f>
        <v>0</v>
      </c>
      <c r="AQ96" s="30" t="s">
        <v>900</v>
      </c>
      <c r="AV96" s="28">
        <f t="shared" si="72"/>
        <v>0</v>
      </c>
      <c r="AW96" s="28">
        <f t="shared" si="73"/>
        <v>0</v>
      </c>
      <c r="AX96" s="28">
        <f t="shared" si="74"/>
        <v>0</v>
      </c>
      <c r="AY96" s="30" t="s">
        <v>92</v>
      </c>
      <c r="AZ96" s="30" t="s">
        <v>773</v>
      </c>
      <c r="BA96" s="21" t="s">
        <v>316</v>
      </c>
      <c r="BC96" s="28">
        <f t="shared" si="75"/>
        <v>0</v>
      </c>
      <c r="BD96" s="28">
        <f t="shared" si="76"/>
        <v>0</v>
      </c>
      <c r="BE96" s="28">
        <v>0</v>
      </c>
      <c r="BF96" s="28">
        <f>96</f>
        <v>96</v>
      </c>
      <c r="BH96" s="28">
        <f t="shared" si="77"/>
        <v>0</v>
      </c>
      <c r="BI96" s="28">
        <f t="shared" si="78"/>
        <v>0</v>
      </c>
      <c r="BJ96" s="28">
        <f t="shared" si="79"/>
        <v>0</v>
      </c>
      <c r="BK96" s="28"/>
      <c r="BL96" s="28">
        <v>733</v>
      </c>
      <c r="BW96" s="28">
        <v>21</v>
      </c>
    </row>
    <row r="97" spans="1:47" ht="15" customHeight="1">
      <c r="A97" s="3" t="s">
        <v>626</v>
      </c>
      <c r="B97" s="43" t="s">
        <v>508</v>
      </c>
      <c r="C97" s="43" t="s">
        <v>761</v>
      </c>
      <c r="D97" s="103" t="s">
        <v>589</v>
      </c>
      <c r="E97" s="104"/>
      <c r="F97" s="37" t="s">
        <v>836</v>
      </c>
      <c r="G97" s="37" t="s">
        <v>836</v>
      </c>
      <c r="H97" s="118" t="s">
        <v>836</v>
      </c>
      <c r="I97" s="119">
        <f>SUM(I98:I117)</f>
        <v>0</v>
      </c>
      <c r="K97" s="8"/>
      <c r="AI97" s="21" t="s">
        <v>508</v>
      </c>
      <c r="AS97" s="31">
        <f>SUM(AJ98:AJ117)</f>
        <v>0</v>
      </c>
      <c r="AT97" s="31">
        <f>SUM(AK98:AK117)</f>
        <v>0</v>
      </c>
      <c r="AU97" s="31">
        <f>SUM(AL98:AL117)</f>
        <v>0</v>
      </c>
    </row>
    <row r="98" spans="1:75" ht="13.5" customHeight="1">
      <c r="A98" s="38" t="s">
        <v>941</v>
      </c>
      <c r="B98" s="39" t="s">
        <v>508</v>
      </c>
      <c r="C98" s="39" t="s">
        <v>341</v>
      </c>
      <c r="D98" s="50" t="s">
        <v>482</v>
      </c>
      <c r="E98" s="51"/>
      <c r="F98" s="39" t="s">
        <v>311</v>
      </c>
      <c r="G98" s="28">
        <v>3</v>
      </c>
      <c r="H98" s="120">
        <v>0</v>
      </c>
      <c r="I98" s="120">
        <f aca="true" t="shared" si="80" ref="I98:I117">G98*H98</f>
        <v>0</v>
      </c>
      <c r="K98" s="8"/>
      <c r="Z98" s="28">
        <f aca="true" t="shared" si="81" ref="Z98:Z117">IF(AQ98="5",BJ98,0)</f>
        <v>0</v>
      </c>
      <c r="AB98" s="28">
        <f aca="true" t="shared" si="82" ref="AB98:AB117">IF(AQ98="1",BH98,0)</f>
        <v>0</v>
      </c>
      <c r="AC98" s="28">
        <f aca="true" t="shared" si="83" ref="AC98:AC117">IF(AQ98="1",BI98,0)</f>
        <v>0</v>
      </c>
      <c r="AD98" s="28">
        <f aca="true" t="shared" si="84" ref="AD98:AD117">IF(AQ98="7",BH98,0)</f>
        <v>0</v>
      </c>
      <c r="AE98" s="28">
        <f aca="true" t="shared" si="85" ref="AE98:AE117">IF(AQ98="7",BI98,0)</f>
        <v>0</v>
      </c>
      <c r="AF98" s="28">
        <f aca="true" t="shared" si="86" ref="AF98:AF117">IF(AQ98="2",BH98,0)</f>
        <v>0</v>
      </c>
      <c r="AG98" s="28">
        <f aca="true" t="shared" si="87" ref="AG98:AG117">IF(AQ98="2",BI98,0)</f>
        <v>0</v>
      </c>
      <c r="AH98" s="28">
        <f aca="true" t="shared" si="88" ref="AH98:AH117">IF(AQ98="0",BJ98,0)</f>
        <v>0</v>
      </c>
      <c r="AI98" s="21" t="s">
        <v>508</v>
      </c>
      <c r="AJ98" s="28">
        <f aca="true" t="shared" si="89" ref="AJ98:AJ117">IF(AN98=0,I98,0)</f>
        <v>0</v>
      </c>
      <c r="AK98" s="28">
        <f aca="true" t="shared" si="90" ref="AK98:AK117">IF(AN98=12,I98,0)</f>
        <v>0</v>
      </c>
      <c r="AL98" s="28">
        <f aca="true" t="shared" si="91" ref="AL98:AL117">IF(AN98=21,I98,0)</f>
        <v>0</v>
      </c>
      <c r="AN98" s="28">
        <v>21</v>
      </c>
      <c r="AO98" s="28">
        <f>H98*0.486221089768718</f>
        <v>0</v>
      </c>
      <c r="AP98" s="28">
        <f>H98*(1-0.486221089768718)</f>
        <v>0</v>
      </c>
      <c r="AQ98" s="30" t="s">
        <v>900</v>
      </c>
      <c r="AV98" s="28">
        <f aca="true" t="shared" si="92" ref="AV98:AV117">AW98+AX98</f>
        <v>0</v>
      </c>
      <c r="AW98" s="28">
        <f aca="true" t="shared" si="93" ref="AW98:AW117">G98*AO98</f>
        <v>0</v>
      </c>
      <c r="AX98" s="28">
        <f aca="true" t="shared" si="94" ref="AX98:AX117">G98*AP98</f>
        <v>0</v>
      </c>
      <c r="AY98" s="30" t="s">
        <v>178</v>
      </c>
      <c r="AZ98" s="30" t="s">
        <v>773</v>
      </c>
      <c r="BA98" s="21" t="s">
        <v>316</v>
      </c>
      <c r="BC98" s="28">
        <f aca="true" t="shared" si="95" ref="BC98:BC117">AW98+AX98</f>
        <v>0</v>
      </c>
      <c r="BD98" s="28">
        <f aca="true" t="shared" si="96" ref="BD98:BD117">H98/(100-BE98)*100</f>
        <v>0</v>
      </c>
      <c r="BE98" s="28">
        <v>0</v>
      </c>
      <c r="BF98" s="28">
        <f>98</f>
        <v>98</v>
      </c>
      <c r="BH98" s="28">
        <f aca="true" t="shared" si="97" ref="BH98:BH117">G98*AO98</f>
        <v>0</v>
      </c>
      <c r="BI98" s="28">
        <f aca="true" t="shared" si="98" ref="BI98:BI117">G98*AP98</f>
        <v>0</v>
      </c>
      <c r="BJ98" s="28">
        <f aca="true" t="shared" si="99" ref="BJ98:BJ117">G98*H98</f>
        <v>0</v>
      </c>
      <c r="BK98" s="28"/>
      <c r="BL98" s="28">
        <v>734</v>
      </c>
      <c r="BW98" s="28">
        <v>21</v>
      </c>
    </row>
    <row r="99" spans="1:75" ht="13.5" customHeight="1">
      <c r="A99" s="38" t="s">
        <v>15</v>
      </c>
      <c r="B99" s="39" t="s">
        <v>508</v>
      </c>
      <c r="C99" s="39" t="s">
        <v>926</v>
      </c>
      <c r="D99" s="50" t="s">
        <v>639</v>
      </c>
      <c r="E99" s="51"/>
      <c r="F99" s="39" t="s">
        <v>228</v>
      </c>
      <c r="G99" s="28">
        <v>1</v>
      </c>
      <c r="H99" s="120">
        <v>0</v>
      </c>
      <c r="I99" s="120">
        <f t="shared" si="80"/>
        <v>0</v>
      </c>
      <c r="K99" s="8"/>
      <c r="Z99" s="28">
        <f t="shared" si="81"/>
        <v>0</v>
      </c>
      <c r="AB99" s="28">
        <f t="shared" si="82"/>
        <v>0</v>
      </c>
      <c r="AC99" s="28">
        <f t="shared" si="83"/>
        <v>0</v>
      </c>
      <c r="AD99" s="28">
        <f t="shared" si="84"/>
        <v>0</v>
      </c>
      <c r="AE99" s="28">
        <f t="shared" si="85"/>
        <v>0</v>
      </c>
      <c r="AF99" s="28">
        <f t="shared" si="86"/>
        <v>0</v>
      </c>
      <c r="AG99" s="28">
        <f t="shared" si="87"/>
        <v>0</v>
      </c>
      <c r="AH99" s="28">
        <f t="shared" si="88"/>
        <v>0</v>
      </c>
      <c r="AI99" s="21" t="s">
        <v>508</v>
      </c>
      <c r="AJ99" s="28">
        <f t="shared" si="89"/>
        <v>0</v>
      </c>
      <c r="AK99" s="28">
        <f t="shared" si="90"/>
        <v>0</v>
      </c>
      <c r="AL99" s="28">
        <f t="shared" si="91"/>
        <v>0</v>
      </c>
      <c r="AN99" s="28">
        <v>21</v>
      </c>
      <c r="AO99" s="28">
        <f>H99*1</f>
        <v>0</v>
      </c>
      <c r="AP99" s="28">
        <f>H99*(1-1)</f>
        <v>0</v>
      </c>
      <c r="AQ99" s="30" t="s">
        <v>900</v>
      </c>
      <c r="AV99" s="28">
        <f t="shared" si="92"/>
        <v>0</v>
      </c>
      <c r="AW99" s="28">
        <f t="shared" si="93"/>
        <v>0</v>
      </c>
      <c r="AX99" s="28">
        <f t="shared" si="94"/>
        <v>0</v>
      </c>
      <c r="AY99" s="30" t="s">
        <v>178</v>
      </c>
      <c r="AZ99" s="30" t="s">
        <v>773</v>
      </c>
      <c r="BA99" s="21" t="s">
        <v>316</v>
      </c>
      <c r="BC99" s="28">
        <f t="shared" si="95"/>
        <v>0</v>
      </c>
      <c r="BD99" s="28">
        <f t="shared" si="96"/>
        <v>0</v>
      </c>
      <c r="BE99" s="28">
        <v>0</v>
      </c>
      <c r="BF99" s="28">
        <f>99</f>
        <v>99</v>
      </c>
      <c r="BH99" s="28">
        <f t="shared" si="97"/>
        <v>0</v>
      </c>
      <c r="BI99" s="28">
        <f t="shared" si="98"/>
        <v>0</v>
      </c>
      <c r="BJ99" s="28">
        <f t="shared" si="99"/>
        <v>0</v>
      </c>
      <c r="BK99" s="28"/>
      <c r="BL99" s="28">
        <v>734</v>
      </c>
      <c r="BW99" s="28">
        <v>21</v>
      </c>
    </row>
    <row r="100" spans="1:75" ht="13.5" customHeight="1">
      <c r="A100" s="38" t="s">
        <v>157</v>
      </c>
      <c r="B100" s="39" t="s">
        <v>508</v>
      </c>
      <c r="C100" s="39" t="s">
        <v>382</v>
      </c>
      <c r="D100" s="50" t="s">
        <v>688</v>
      </c>
      <c r="E100" s="51"/>
      <c r="F100" s="39" t="s">
        <v>228</v>
      </c>
      <c r="G100" s="28">
        <v>2</v>
      </c>
      <c r="H100" s="120">
        <v>0</v>
      </c>
      <c r="I100" s="120">
        <f t="shared" si="80"/>
        <v>0</v>
      </c>
      <c r="K100" s="8"/>
      <c r="Z100" s="28">
        <f t="shared" si="81"/>
        <v>0</v>
      </c>
      <c r="AB100" s="28">
        <f t="shared" si="82"/>
        <v>0</v>
      </c>
      <c r="AC100" s="28">
        <f t="shared" si="83"/>
        <v>0</v>
      </c>
      <c r="AD100" s="28">
        <f t="shared" si="84"/>
        <v>0</v>
      </c>
      <c r="AE100" s="28">
        <f t="shared" si="85"/>
        <v>0</v>
      </c>
      <c r="AF100" s="28">
        <f t="shared" si="86"/>
        <v>0</v>
      </c>
      <c r="AG100" s="28">
        <f t="shared" si="87"/>
        <v>0</v>
      </c>
      <c r="AH100" s="28">
        <f t="shared" si="88"/>
        <v>0</v>
      </c>
      <c r="AI100" s="21" t="s">
        <v>508</v>
      </c>
      <c r="AJ100" s="28">
        <f t="shared" si="89"/>
        <v>0</v>
      </c>
      <c r="AK100" s="28">
        <f t="shared" si="90"/>
        <v>0</v>
      </c>
      <c r="AL100" s="28">
        <f t="shared" si="91"/>
        <v>0</v>
      </c>
      <c r="AN100" s="28">
        <v>21</v>
      </c>
      <c r="AO100" s="28">
        <f>H100*1</f>
        <v>0</v>
      </c>
      <c r="AP100" s="28">
        <f>H100*(1-1)</f>
        <v>0</v>
      </c>
      <c r="AQ100" s="30" t="s">
        <v>900</v>
      </c>
      <c r="AV100" s="28">
        <f t="shared" si="92"/>
        <v>0</v>
      </c>
      <c r="AW100" s="28">
        <f t="shared" si="93"/>
        <v>0</v>
      </c>
      <c r="AX100" s="28">
        <f t="shared" si="94"/>
        <v>0</v>
      </c>
      <c r="AY100" s="30" t="s">
        <v>178</v>
      </c>
      <c r="AZ100" s="30" t="s">
        <v>773</v>
      </c>
      <c r="BA100" s="21" t="s">
        <v>316</v>
      </c>
      <c r="BC100" s="28">
        <f t="shared" si="95"/>
        <v>0</v>
      </c>
      <c r="BD100" s="28">
        <f t="shared" si="96"/>
        <v>0</v>
      </c>
      <c r="BE100" s="28">
        <v>0</v>
      </c>
      <c r="BF100" s="28">
        <f>100</f>
        <v>100</v>
      </c>
      <c r="BH100" s="28">
        <f t="shared" si="97"/>
        <v>0</v>
      </c>
      <c r="BI100" s="28">
        <f t="shared" si="98"/>
        <v>0</v>
      </c>
      <c r="BJ100" s="28">
        <f t="shared" si="99"/>
        <v>0</v>
      </c>
      <c r="BK100" s="28"/>
      <c r="BL100" s="28">
        <v>734</v>
      </c>
      <c r="BW100" s="28">
        <v>21</v>
      </c>
    </row>
    <row r="101" spans="1:75" ht="13.5" customHeight="1">
      <c r="A101" s="38" t="s">
        <v>191</v>
      </c>
      <c r="B101" s="39" t="s">
        <v>508</v>
      </c>
      <c r="C101" s="39" t="s">
        <v>908</v>
      </c>
      <c r="D101" s="50" t="s">
        <v>1052</v>
      </c>
      <c r="E101" s="51"/>
      <c r="F101" s="39" t="s">
        <v>228</v>
      </c>
      <c r="G101" s="28">
        <v>3</v>
      </c>
      <c r="H101" s="120">
        <v>0</v>
      </c>
      <c r="I101" s="120">
        <f t="shared" si="80"/>
        <v>0</v>
      </c>
      <c r="K101" s="8"/>
      <c r="Z101" s="28">
        <f t="shared" si="81"/>
        <v>0</v>
      </c>
      <c r="AB101" s="28">
        <f t="shared" si="82"/>
        <v>0</v>
      </c>
      <c r="AC101" s="28">
        <f t="shared" si="83"/>
        <v>0</v>
      </c>
      <c r="AD101" s="28">
        <f t="shared" si="84"/>
        <v>0</v>
      </c>
      <c r="AE101" s="28">
        <f t="shared" si="85"/>
        <v>0</v>
      </c>
      <c r="AF101" s="28">
        <f t="shared" si="86"/>
        <v>0</v>
      </c>
      <c r="AG101" s="28">
        <f t="shared" si="87"/>
        <v>0</v>
      </c>
      <c r="AH101" s="28">
        <f t="shared" si="88"/>
        <v>0</v>
      </c>
      <c r="AI101" s="21" t="s">
        <v>508</v>
      </c>
      <c r="AJ101" s="28">
        <f t="shared" si="89"/>
        <v>0</v>
      </c>
      <c r="AK101" s="28">
        <f t="shared" si="90"/>
        <v>0</v>
      </c>
      <c r="AL101" s="28">
        <f t="shared" si="91"/>
        <v>0</v>
      </c>
      <c r="AN101" s="28">
        <v>21</v>
      </c>
      <c r="AO101" s="28">
        <f>H101*0.913976928622927</f>
        <v>0</v>
      </c>
      <c r="AP101" s="28">
        <f>H101*(1-0.913976928622927)</f>
        <v>0</v>
      </c>
      <c r="AQ101" s="30" t="s">
        <v>900</v>
      </c>
      <c r="AV101" s="28">
        <f t="shared" si="92"/>
        <v>0</v>
      </c>
      <c r="AW101" s="28">
        <f t="shared" si="93"/>
        <v>0</v>
      </c>
      <c r="AX101" s="28">
        <f t="shared" si="94"/>
        <v>0</v>
      </c>
      <c r="AY101" s="30" t="s">
        <v>178</v>
      </c>
      <c r="AZ101" s="30" t="s">
        <v>773</v>
      </c>
      <c r="BA101" s="21" t="s">
        <v>316</v>
      </c>
      <c r="BC101" s="28">
        <f t="shared" si="95"/>
        <v>0</v>
      </c>
      <c r="BD101" s="28">
        <f t="shared" si="96"/>
        <v>0</v>
      </c>
      <c r="BE101" s="28">
        <v>0</v>
      </c>
      <c r="BF101" s="28">
        <f>101</f>
        <v>101</v>
      </c>
      <c r="BH101" s="28">
        <f t="shared" si="97"/>
        <v>0</v>
      </c>
      <c r="BI101" s="28">
        <f t="shared" si="98"/>
        <v>0</v>
      </c>
      <c r="BJ101" s="28">
        <f t="shared" si="99"/>
        <v>0</v>
      </c>
      <c r="BK101" s="28"/>
      <c r="BL101" s="28">
        <v>734</v>
      </c>
      <c r="BW101" s="28">
        <v>21</v>
      </c>
    </row>
    <row r="102" spans="1:75" ht="13.5" customHeight="1">
      <c r="A102" s="38" t="s">
        <v>709</v>
      </c>
      <c r="B102" s="39" t="s">
        <v>508</v>
      </c>
      <c r="C102" s="39" t="s">
        <v>555</v>
      </c>
      <c r="D102" s="50" t="s">
        <v>24</v>
      </c>
      <c r="E102" s="51"/>
      <c r="F102" s="39" t="s">
        <v>311</v>
      </c>
      <c r="G102" s="28">
        <v>1</v>
      </c>
      <c r="H102" s="120">
        <v>0</v>
      </c>
      <c r="I102" s="120">
        <f t="shared" si="80"/>
        <v>0</v>
      </c>
      <c r="K102" s="8"/>
      <c r="Z102" s="28">
        <f t="shared" si="81"/>
        <v>0</v>
      </c>
      <c r="AB102" s="28">
        <f t="shared" si="82"/>
        <v>0</v>
      </c>
      <c r="AC102" s="28">
        <f t="shared" si="83"/>
        <v>0</v>
      </c>
      <c r="AD102" s="28">
        <f t="shared" si="84"/>
        <v>0</v>
      </c>
      <c r="AE102" s="28">
        <f t="shared" si="85"/>
        <v>0</v>
      </c>
      <c r="AF102" s="28">
        <f t="shared" si="86"/>
        <v>0</v>
      </c>
      <c r="AG102" s="28">
        <f t="shared" si="87"/>
        <v>0</v>
      </c>
      <c r="AH102" s="28">
        <f t="shared" si="88"/>
        <v>0</v>
      </c>
      <c r="AI102" s="21" t="s">
        <v>508</v>
      </c>
      <c r="AJ102" s="28">
        <f t="shared" si="89"/>
        <v>0</v>
      </c>
      <c r="AK102" s="28">
        <f t="shared" si="90"/>
        <v>0</v>
      </c>
      <c r="AL102" s="28">
        <f t="shared" si="91"/>
        <v>0</v>
      </c>
      <c r="AN102" s="28">
        <v>21</v>
      </c>
      <c r="AO102" s="28">
        <f>H102*0.97878850174216</f>
        <v>0</v>
      </c>
      <c r="AP102" s="28">
        <f>H102*(1-0.97878850174216)</f>
        <v>0</v>
      </c>
      <c r="AQ102" s="30" t="s">
        <v>900</v>
      </c>
      <c r="AV102" s="28">
        <f t="shared" si="92"/>
        <v>0</v>
      </c>
      <c r="AW102" s="28">
        <f t="shared" si="93"/>
        <v>0</v>
      </c>
      <c r="AX102" s="28">
        <f t="shared" si="94"/>
        <v>0</v>
      </c>
      <c r="AY102" s="30" t="s">
        <v>178</v>
      </c>
      <c r="AZ102" s="30" t="s">
        <v>773</v>
      </c>
      <c r="BA102" s="21" t="s">
        <v>316</v>
      </c>
      <c r="BC102" s="28">
        <f t="shared" si="95"/>
        <v>0</v>
      </c>
      <c r="BD102" s="28">
        <f t="shared" si="96"/>
        <v>0</v>
      </c>
      <c r="BE102" s="28">
        <v>0</v>
      </c>
      <c r="BF102" s="28">
        <f>102</f>
        <v>102</v>
      </c>
      <c r="BH102" s="28">
        <f t="shared" si="97"/>
        <v>0</v>
      </c>
      <c r="BI102" s="28">
        <f t="shared" si="98"/>
        <v>0</v>
      </c>
      <c r="BJ102" s="28">
        <f t="shared" si="99"/>
        <v>0</v>
      </c>
      <c r="BK102" s="28"/>
      <c r="BL102" s="28">
        <v>734</v>
      </c>
      <c r="BW102" s="28">
        <v>21</v>
      </c>
    </row>
    <row r="103" spans="1:75" ht="13.5" customHeight="1">
      <c r="A103" s="38" t="s">
        <v>80</v>
      </c>
      <c r="B103" s="39" t="s">
        <v>508</v>
      </c>
      <c r="C103" s="39" t="s">
        <v>190</v>
      </c>
      <c r="D103" s="50" t="s">
        <v>492</v>
      </c>
      <c r="E103" s="51"/>
      <c r="F103" s="39" t="s">
        <v>311</v>
      </c>
      <c r="G103" s="28">
        <v>2</v>
      </c>
      <c r="H103" s="120">
        <v>0</v>
      </c>
      <c r="I103" s="120">
        <f t="shared" si="80"/>
        <v>0</v>
      </c>
      <c r="K103" s="8"/>
      <c r="Z103" s="28">
        <f t="shared" si="81"/>
        <v>0</v>
      </c>
      <c r="AB103" s="28">
        <f t="shared" si="82"/>
        <v>0</v>
      </c>
      <c r="AC103" s="28">
        <f t="shared" si="83"/>
        <v>0</v>
      </c>
      <c r="AD103" s="28">
        <f t="shared" si="84"/>
        <v>0</v>
      </c>
      <c r="AE103" s="28">
        <f t="shared" si="85"/>
        <v>0</v>
      </c>
      <c r="AF103" s="28">
        <f t="shared" si="86"/>
        <v>0</v>
      </c>
      <c r="AG103" s="28">
        <f t="shared" si="87"/>
        <v>0</v>
      </c>
      <c r="AH103" s="28">
        <f t="shared" si="88"/>
        <v>0</v>
      </c>
      <c r="AI103" s="21" t="s">
        <v>508</v>
      </c>
      <c r="AJ103" s="28">
        <f t="shared" si="89"/>
        <v>0</v>
      </c>
      <c r="AK103" s="28">
        <f t="shared" si="90"/>
        <v>0</v>
      </c>
      <c r="AL103" s="28">
        <f t="shared" si="91"/>
        <v>0</v>
      </c>
      <c r="AN103" s="28">
        <v>21</v>
      </c>
      <c r="AO103" s="28">
        <f>H103*0.885501984126984</f>
        <v>0</v>
      </c>
      <c r="AP103" s="28">
        <f>H103*(1-0.885501984126984)</f>
        <v>0</v>
      </c>
      <c r="AQ103" s="30" t="s">
        <v>900</v>
      </c>
      <c r="AV103" s="28">
        <f t="shared" si="92"/>
        <v>0</v>
      </c>
      <c r="AW103" s="28">
        <f t="shared" si="93"/>
        <v>0</v>
      </c>
      <c r="AX103" s="28">
        <f t="shared" si="94"/>
        <v>0</v>
      </c>
      <c r="AY103" s="30" t="s">
        <v>178</v>
      </c>
      <c r="AZ103" s="30" t="s">
        <v>773</v>
      </c>
      <c r="BA103" s="21" t="s">
        <v>316</v>
      </c>
      <c r="BC103" s="28">
        <f t="shared" si="95"/>
        <v>0</v>
      </c>
      <c r="BD103" s="28">
        <f t="shared" si="96"/>
        <v>0</v>
      </c>
      <c r="BE103" s="28">
        <v>0</v>
      </c>
      <c r="BF103" s="28">
        <f>103</f>
        <v>103</v>
      </c>
      <c r="BH103" s="28">
        <f t="shared" si="97"/>
        <v>0</v>
      </c>
      <c r="BI103" s="28">
        <f t="shared" si="98"/>
        <v>0</v>
      </c>
      <c r="BJ103" s="28">
        <f t="shared" si="99"/>
        <v>0</v>
      </c>
      <c r="BK103" s="28"/>
      <c r="BL103" s="28">
        <v>734</v>
      </c>
      <c r="BW103" s="28">
        <v>21</v>
      </c>
    </row>
    <row r="104" spans="1:75" ht="13.5" customHeight="1">
      <c r="A104" s="38" t="s">
        <v>696</v>
      </c>
      <c r="B104" s="39" t="s">
        <v>508</v>
      </c>
      <c r="C104" s="39" t="s">
        <v>344</v>
      </c>
      <c r="D104" s="50" t="s">
        <v>940</v>
      </c>
      <c r="E104" s="51"/>
      <c r="F104" s="39" t="s">
        <v>228</v>
      </c>
      <c r="G104" s="28">
        <v>5</v>
      </c>
      <c r="H104" s="120">
        <v>0</v>
      </c>
      <c r="I104" s="120">
        <f t="shared" si="80"/>
        <v>0</v>
      </c>
      <c r="K104" s="8"/>
      <c r="Z104" s="28">
        <f t="shared" si="81"/>
        <v>0</v>
      </c>
      <c r="AB104" s="28">
        <f t="shared" si="82"/>
        <v>0</v>
      </c>
      <c r="AC104" s="28">
        <f t="shared" si="83"/>
        <v>0</v>
      </c>
      <c r="AD104" s="28">
        <f t="shared" si="84"/>
        <v>0</v>
      </c>
      <c r="AE104" s="28">
        <f t="shared" si="85"/>
        <v>0</v>
      </c>
      <c r="AF104" s="28">
        <f t="shared" si="86"/>
        <v>0</v>
      </c>
      <c r="AG104" s="28">
        <f t="shared" si="87"/>
        <v>0</v>
      </c>
      <c r="AH104" s="28">
        <f t="shared" si="88"/>
        <v>0</v>
      </c>
      <c r="AI104" s="21" t="s">
        <v>508</v>
      </c>
      <c r="AJ104" s="28">
        <f t="shared" si="89"/>
        <v>0</v>
      </c>
      <c r="AK104" s="28">
        <f t="shared" si="90"/>
        <v>0</v>
      </c>
      <c r="AL104" s="28">
        <f t="shared" si="91"/>
        <v>0</v>
      </c>
      <c r="AN104" s="28">
        <v>21</v>
      </c>
      <c r="AO104" s="28">
        <f>H104*0.772354188759279</f>
        <v>0</v>
      </c>
      <c r="AP104" s="28">
        <f>H104*(1-0.772354188759279)</f>
        <v>0</v>
      </c>
      <c r="AQ104" s="30" t="s">
        <v>900</v>
      </c>
      <c r="AV104" s="28">
        <f t="shared" si="92"/>
        <v>0</v>
      </c>
      <c r="AW104" s="28">
        <f t="shared" si="93"/>
        <v>0</v>
      </c>
      <c r="AX104" s="28">
        <f t="shared" si="94"/>
        <v>0</v>
      </c>
      <c r="AY104" s="30" t="s">
        <v>178</v>
      </c>
      <c r="AZ104" s="30" t="s">
        <v>773</v>
      </c>
      <c r="BA104" s="21" t="s">
        <v>316</v>
      </c>
      <c r="BC104" s="28">
        <f t="shared" si="95"/>
        <v>0</v>
      </c>
      <c r="BD104" s="28">
        <f t="shared" si="96"/>
        <v>0</v>
      </c>
      <c r="BE104" s="28">
        <v>0</v>
      </c>
      <c r="BF104" s="28">
        <f>104</f>
        <v>104</v>
      </c>
      <c r="BH104" s="28">
        <f t="shared" si="97"/>
        <v>0</v>
      </c>
      <c r="BI104" s="28">
        <f t="shared" si="98"/>
        <v>0</v>
      </c>
      <c r="BJ104" s="28">
        <f t="shared" si="99"/>
        <v>0</v>
      </c>
      <c r="BK104" s="28"/>
      <c r="BL104" s="28">
        <v>734</v>
      </c>
      <c r="BW104" s="28">
        <v>21</v>
      </c>
    </row>
    <row r="105" spans="1:75" ht="13.5" customHeight="1">
      <c r="A105" s="38" t="s">
        <v>550</v>
      </c>
      <c r="B105" s="39" t="s">
        <v>508</v>
      </c>
      <c r="C105" s="39" t="s">
        <v>172</v>
      </c>
      <c r="D105" s="50" t="s">
        <v>979</v>
      </c>
      <c r="E105" s="51"/>
      <c r="F105" s="39" t="s">
        <v>228</v>
      </c>
      <c r="G105" s="28">
        <v>2</v>
      </c>
      <c r="H105" s="120">
        <v>0</v>
      </c>
      <c r="I105" s="120">
        <f t="shared" si="80"/>
        <v>0</v>
      </c>
      <c r="K105" s="8"/>
      <c r="Z105" s="28">
        <f t="shared" si="81"/>
        <v>0</v>
      </c>
      <c r="AB105" s="28">
        <f t="shared" si="82"/>
        <v>0</v>
      </c>
      <c r="AC105" s="28">
        <f t="shared" si="83"/>
        <v>0</v>
      </c>
      <c r="AD105" s="28">
        <f t="shared" si="84"/>
        <v>0</v>
      </c>
      <c r="AE105" s="28">
        <f t="shared" si="85"/>
        <v>0</v>
      </c>
      <c r="AF105" s="28">
        <f t="shared" si="86"/>
        <v>0</v>
      </c>
      <c r="AG105" s="28">
        <f t="shared" si="87"/>
        <v>0</v>
      </c>
      <c r="AH105" s="28">
        <f t="shared" si="88"/>
        <v>0</v>
      </c>
      <c r="AI105" s="21" t="s">
        <v>508</v>
      </c>
      <c r="AJ105" s="28">
        <f t="shared" si="89"/>
        <v>0</v>
      </c>
      <c r="AK105" s="28">
        <f t="shared" si="90"/>
        <v>0</v>
      </c>
      <c r="AL105" s="28">
        <f t="shared" si="91"/>
        <v>0</v>
      </c>
      <c r="AN105" s="28">
        <v>21</v>
      </c>
      <c r="AO105" s="28">
        <f>H105*0.908970149253731</f>
        <v>0</v>
      </c>
      <c r="AP105" s="28">
        <f>H105*(1-0.908970149253731)</f>
        <v>0</v>
      </c>
      <c r="AQ105" s="30" t="s">
        <v>900</v>
      </c>
      <c r="AV105" s="28">
        <f t="shared" si="92"/>
        <v>0</v>
      </c>
      <c r="AW105" s="28">
        <f t="shared" si="93"/>
        <v>0</v>
      </c>
      <c r="AX105" s="28">
        <f t="shared" si="94"/>
        <v>0</v>
      </c>
      <c r="AY105" s="30" t="s">
        <v>178</v>
      </c>
      <c r="AZ105" s="30" t="s">
        <v>773</v>
      </c>
      <c r="BA105" s="21" t="s">
        <v>316</v>
      </c>
      <c r="BC105" s="28">
        <f t="shared" si="95"/>
        <v>0</v>
      </c>
      <c r="BD105" s="28">
        <f t="shared" si="96"/>
        <v>0</v>
      </c>
      <c r="BE105" s="28">
        <v>0</v>
      </c>
      <c r="BF105" s="28">
        <f>105</f>
        <v>105</v>
      </c>
      <c r="BH105" s="28">
        <f t="shared" si="97"/>
        <v>0</v>
      </c>
      <c r="BI105" s="28">
        <f t="shared" si="98"/>
        <v>0</v>
      </c>
      <c r="BJ105" s="28">
        <f t="shared" si="99"/>
        <v>0</v>
      </c>
      <c r="BK105" s="28"/>
      <c r="BL105" s="28">
        <v>734</v>
      </c>
      <c r="BW105" s="28">
        <v>21</v>
      </c>
    </row>
    <row r="106" spans="1:75" ht="13.5" customHeight="1">
      <c r="A106" s="38" t="s">
        <v>909</v>
      </c>
      <c r="B106" s="39" t="s">
        <v>508</v>
      </c>
      <c r="C106" s="39" t="s">
        <v>104</v>
      </c>
      <c r="D106" s="50" t="s">
        <v>233</v>
      </c>
      <c r="E106" s="51"/>
      <c r="F106" s="39" t="s">
        <v>228</v>
      </c>
      <c r="G106" s="28">
        <v>1</v>
      </c>
      <c r="H106" s="120">
        <v>0</v>
      </c>
      <c r="I106" s="120">
        <f t="shared" si="80"/>
        <v>0</v>
      </c>
      <c r="K106" s="8"/>
      <c r="Z106" s="28">
        <f t="shared" si="81"/>
        <v>0</v>
      </c>
      <c r="AB106" s="28">
        <f t="shared" si="82"/>
        <v>0</v>
      </c>
      <c r="AC106" s="28">
        <f t="shared" si="83"/>
        <v>0</v>
      </c>
      <c r="AD106" s="28">
        <f t="shared" si="84"/>
        <v>0</v>
      </c>
      <c r="AE106" s="28">
        <f t="shared" si="85"/>
        <v>0</v>
      </c>
      <c r="AF106" s="28">
        <f t="shared" si="86"/>
        <v>0</v>
      </c>
      <c r="AG106" s="28">
        <f t="shared" si="87"/>
        <v>0</v>
      </c>
      <c r="AH106" s="28">
        <f t="shared" si="88"/>
        <v>0</v>
      </c>
      <c r="AI106" s="21" t="s">
        <v>508</v>
      </c>
      <c r="AJ106" s="28">
        <f t="shared" si="89"/>
        <v>0</v>
      </c>
      <c r="AK106" s="28">
        <f t="shared" si="90"/>
        <v>0</v>
      </c>
      <c r="AL106" s="28">
        <f t="shared" si="91"/>
        <v>0</v>
      </c>
      <c r="AN106" s="28">
        <v>21</v>
      </c>
      <c r="AO106" s="28">
        <f>H106*0.905755342667649</f>
        <v>0</v>
      </c>
      <c r="AP106" s="28">
        <f>H106*(1-0.905755342667649)</f>
        <v>0</v>
      </c>
      <c r="AQ106" s="30" t="s">
        <v>900</v>
      </c>
      <c r="AV106" s="28">
        <f t="shared" si="92"/>
        <v>0</v>
      </c>
      <c r="AW106" s="28">
        <f t="shared" si="93"/>
        <v>0</v>
      </c>
      <c r="AX106" s="28">
        <f t="shared" si="94"/>
        <v>0</v>
      </c>
      <c r="AY106" s="30" t="s">
        <v>178</v>
      </c>
      <c r="AZ106" s="30" t="s">
        <v>773</v>
      </c>
      <c r="BA106" s="21" t="s">
        <v>316</v>
      </c>
      <c r="BC106" s="28">
        <f t="shared" si="95"/>
        <v>0</v>
      </c>
      <c r="BD106" s="28">
        <f t="shared" si="96"/>
        <v>0</v>
      </c>
      <c r="BE106" s="28">
        <v>0</v>
      </c>
      <c r="BF106" s="28">
        <f>106</f>
        <v>106</v>
      </c>
      <c r="BH106" s="28">
        <f t="shared" si="97"/>
        <v>0</v>
      </c>
      <c r="BI106" s="28">
        <f t="shared" si="98"/>
        <v>0</v>
      </c>
      <c r="BJ106" s="28">
        <f t="shared" si="99"/>
        <v>0</v>
      </c>
      <c r="BK106" s="28"/>
      <c r="BL106" s="28">
        <v>734</v>
      </c>
      <c r="BW106" s="28">
        <v>21</v>
      </c>
    </row>
    <row r="107" spans="1:75" ht="13.5" customHeight="1">
      <c r="A107" s="38" t="s">
        <v>828</v>
      </c>
      <c r="B107" s="39" t="s">
        <v>508</v>
      </c>
      <c r="C107" s="39" t="s">
        <v>1005</v>
      </c>
      <c r="D107" s="50" t="s">
        <v>485</v>
      </c>
      <c r="E107" s="51"/>
      <c r="F107" s="39" t="s">
        <v>228</v>
      </c>
      <c r="G107" s="28">
        <v>2</v>
      </c>
      <c r="H107" s="120">
        <v>0</v>
      </c>
      <c r="I107" s="120">
        <f t="shared" si="80"/>
        <v>0</v>
      </c>
      <c r="K107" s="8"/>
      <c r="Z107" s="28">
        <f t="shared" si="81"/>
        <v>0</v>
      </c>
      <c r="AB107" s="28">
        <f t="shared" si="82"/>
        <v>0</v>
      </c>
      <c r="AC107" s="28">
        <f t="shared" si="83"/>
        <v>0</v>
      </c>
      <c r="AD107" s="28">
        <f t="shared" si="84"/>
        <v>0</v>
      </c>
      <c r="AE107" s="28">
        <f t="shared" si="85"/>
        <v>0</v>
      </c>
      <c r="AF107" s="28">
        <f t="shared" si="86"/>
        <v>0</v>
      </c>
      <c r="AG107" s="28">
        <f t="shared" si="87"/>
        <v>0</v>
      </c>
      <c r="AH107" s="28">
        <f t="shared" si="88"/>
        <v>0</v>
      </c>
      <c r="AI107" s="21" t="s">
        <v>508</v>
      </c>
      <c r="AJ107" s="28">
        <f t="shared" si="89"/>
        <v>0</v>
      </c>
      <c r="AK107" s="28">
        <f t="shared" si="90"/>
        <v>0</v>
      </c>
      <c r="AL107" s="28">
        <f t="shared" si="91"/>
        <v>0</v>
      </c>
      <c r="AN107" s="28">
        <v>21</v>
      </c>
      <c r="AO107" s="28">
        <f>H107*0.843035714285714</f>
        <v>0</v>
      </c>
      <c r="AP107" s="28">
        <f>H107*(1-0.843035714285714)</f>
        <v>0</v>
      </c>
      <c r="AQ107" s="30" t="s">
        <v>900</v>
      </c>
      <c r="AV107" s="28">
        <f t="shared" si="92"/>
        <v>0</v>
      </c>
      <c r="AW107" s="28">
        <f t="shared" si="93"/>
        <v>0</v>
      </c>
      <c r="AX107" s="28">
        <f t="shared" si="94"/>
        <v>0</v>
      </c>
      <c r="AY107" s="30" t="s">
        <v>178</v>
      </c>
      <c r="AZ107" s="30" t="s">
        <v>773</v>
      </c>
      <c r="BA107" s="21" t="s">
        <v>316</v>
      </c>
      <c r="BC107" s="28">
        <f t="shared" si="95"/>
        <v>0</v>
      </c>
      <c r="BD107" s="28">
        <f t="shared" si="96"/>
        <v>0</v>
      </c>
      <c r="BE107" s="28">
        <v>0</v>
      </c>
      <c r="BF107" s="28">
        <f>107</f>
        <v>107</v>
      </c>
      <c r="BH107" s="28">
        <f t="shared" si="97"/>
        <v>0</v>
      </c>
      <c r="BI107" s="28">
        <f t="shared" si="98"/>
        <v>0</v>
      </c>
      <c r="BJ107" s="28">
        <f t="shared" si="99"/>
        <v>0</v>
      </c>
      <c r="BK107" s="28"/>
      <c r="BL107" s="28">
        <v>734</v>
      </c>
      <c r="BW107" s="28">
        <v>21</v>
      </c>
    </row>
    <row r="108" spans="1:75" ht="13.5" customHeight="1">
      <c r="A108" s="38" t="s">
        <v>597</v>
      </c>
      <c r="B108" s="39" t="s">
        <v>508</v>
      </c>
      <c r="C108" s="39" t="s">
        <v>301</v>
      </c>
      <c r="D108" s="50" t="s">
        <v>1053</v>
      </c>
      <c r="E108" s="51"/>
      <c r="F108" s="39" t="s">
        <v>228</v>
      </c>
      <c r="G108" s="28">
        <v>2</v>
      </c>
      <c r="H108" s="120">
        <v>0</v>
      </c>
      <c r="I108" s="120">
        <f t="shared" si="80"/>
        <v>0</v>
      </c>
      <c r="K108" s="8"/>
      <c r="Z108" s="28">
        <f t="shared" si="81"/>
        <v>0</v>
      </c>
      <c r="AB108" s="28">
        <f t="shared" si="82"/>
        <v>0</v>
      </c>
      <c r="AC108" s="28">
        <f t="shared" si="83"/>
        <v>0</v>
      </c>
      <c r="AD108" s="28">
        <f t="shared" si="84"/>
        <v>0</v>
      </c>
      <c r="AE108" s="28">
        <f t="shared" si="85"/>
        <v>0</v>
      </c>
      <c r="AF108" s="28">
        <f t="shared" si="86"/>
        <v>0</v>
      </c>
      <c r="AG108" s="28">
        <f t="shared" si="87"/>
        <v>0</v>
      </c>
      <c r="AH108" s="28">
        <f t="shared" si="88"/>
        <v>0</v>
      </c>
      <c r="AI108" s="21" t="s">
        <v>508</v>
      </c>
      <c r="AJ108" s="28">
        <f t="shared" si="89"/>
        <v>0</v>
      </c>
      <c r="AK108" s="28">
        <f t="shared" si="90"/>
        <v>0</v>
      </c>
      <c r="AL108" s="28">
        <f t="shared" si="91"/>
        <v>0</v>
      </c>
      <c r="AN108" s="28">
        <v>21</v>
      </c>
      <c r="AO108" s="28">
        <f>H108*0.814731051344743</f>
        <v>0</v>
      </c>
      <c r="AP108" s="28">
        <f>H108*(1-0.814731051344743)</f>
        <v>0</v>
      </c>
      <c r="AQ108" s="30" t="s">
        <v>900</v>
      </c>
      <c r="AV108" s="28">
        <f t="shared" si="92"/>
        <v>0</v>
      </c>
      <c r="AW108" s="28">
        <f t="shared" si="93"/>
        <v>0</v>
      </c>
      <c r="AX108" s="28">
        <f t="shared" si="94"/>
        <v>0</v>
      </c>
      <c r="AY108" s="30" t="s">
        <v>178</v>
      </c>
      <c r="AZ108" s="30" t="s">
        <v>773</v>
      </c>
      <c r="BA108" s="21" t="s">
        <v>316</v>
      </c>
      <c r="BC108" s="28">
        <f t="shared" si="95"/>
        <v>0</v>
      </c>
      <c r="BD108" s="28">
        <f t="shared" si="96"/>
        <v>0</v>
      </c>
      <c r="BE108" s="28">
        <v>0</v>
      </c>
      <c r="BF108" s="28">
        <f>108</f>
        <v>108</v>
      </c>
      <c r="BH108" s="28">
        <f t="shared" si="97"/>
        <v>0</v>
      </c>
      <c r="BI108" s="28">
        <f t="shared" si="98"/>
        <v>0</v>
      </c>
      <c r="BJ108" s="28">
        <f t="shared" si="99"/>
        <v>0</v>
      </c>
      <c r="BK108" s="28"/>
      <c r="BL108" s="28">
        <v>734</v>
      </c>
      <c r="BW108" s="28">
        <v>21</v>
      </c>
    </row>
    <row r="109" spans="1:75" ht="13.5" customHeight="1">
      <c r="A109" s="38" t="s">
        <v>438</v>
      </c>
      <c r="B109" s="39" t="s">
        <v>508</v>
      </c>
      <c r="C109" s="39" t="s">
        <v>207</v>
      </c>
      <c r="D109" s="50" t="s">
        <v>1054</v>
      </c>
      <c r="E109" s="51"/>
      <c r="F109" s="39" t="s">
        <v>228</v>
      </c>
      <c r="G109" s="28">
        <v>4</v>
      </c>
      <c r="H109" s="120">
        <v>0</v>
      </c>
      <c r="I109" s="120">
        <f t="shared" si="80"/>
        <v>0</v>
      </c>
      <c r="K109" s="8"/>
      <c r="Z109" s="28">
        <f t="shared" si="81"/>
        <v>0</v>
      </c>
      <c r="AB109" s="28">
        <f t="shared" si="82"/>
        <v>0</v>
      </c>
      <c r="AC109" s="28">
        <f t="shared" si="83"/>
        <v>0</v>
      </c>
      <c r="AD109" s="28">
        <f t="shared" si="84"/>
        <v>0</v>
      </c>
      <c r="AE109" s="28">
        <f t="shared" si="85"/>
        <v>0</v>
      </c>
      <c r="AF109" s="28">
        <f t="shared" si="86"/>
        <v>0</v>
      </c>
      <c r="AG109" s="28">
        <f t="shared" si="87"/>
        <v>0</v>
      </c>
      <c r="AH109" s="28">
        <f t="shared" si="88"/>
        <v>0</v>
      </c>
      <c r="AI109" s="21" t="s">
        <v>508</v>
      </c>
      <c r="AJ109" s="28">
        <f t="shared" si="89"/>
        <v>0</v>
      </c>
      <c r="AK109" s="28">
        <f t="shared" si="90"/>
        <v>0</v>
      </c>
      <c r="AL109" s="28">
        <f t="shared" si="91"/>
        <v>0</v>
      </c>
      <c r="AN109" s="28">
        <v>21</v>
      </c>
      <c r="AO109" s="28">
        <f>H109*0.767472727272727</f>
        <v>0</v>
      </c>
      <c r="AP109" s="28">
        <f>H109*(1-0.767472727272727)</f>
        <v>0</v>
      </c>
      <c r="AQ109" s="30" t="s">
        <v>900</v>
      </c>
      <c r="AV109" s="28">
        <f t="shared" si="92"/>
        <v>0</v>
      </c>
      <c r="AW109" s="28">
        <f t="shared" si="93"/>
        <v>0</v>
      </c>
      <c r="AX109" s="28">
        <f t="shared" si="94"/>
        <v>0</v>
      </c>
      <c r="AY109" s="30" t="s">
        <v>178</v>
      </c>
      <c r="AZ109" s="30" t="s">
        <v>773</v>
      </c>
      <c r="BA109" s="21" t="s">
        <v>316</v>
      </c>
      <c r="BC109" s="28">
        <f t="shared" si="95"/>
        <v>0</v>
      </c>
      <c r="BD109" s="28">
        <f t="shared" si="96"/>
        <v>0</v>
      </c>
      <c r="BE109" s="28">
        <v>0</v>
      </c>
      <c r="BF109" s="28">
        <f>109</f>
        <v>109</v>
      </c>
      <c r="BH109" s="28">
        <f t="shared" si="97"/>
        <v>0</v>
      </c>
      <c r="BI109" s="28">
        <f t="shared" si="98"/>
        <v>0</v>
      </c>
      <c r="BJ109" s="28">
        <f t="shared" si="99"/>
        <v>0</v>
      </c>
      <c r="BK109" s="28"/>
      <c r="BL109" s="28">
        <v>734</v>
      </c>
      <c r="BW109" s="28">
        <v>21</v>
      </c>
    </row>
    <row r="110" spans="1:75" ht="13.5" customHeight="1">
      <c r="A110" s="38" t="s">
        <v>206</v>
      </c>
      <c r="B110" s="39" t="s">
        <v>508</v>
      </c>
      <c r="C110" s="39" t="s">
        <v>196</v>
      </c>
      <c r="D110" s="50" t="s">
        <v>1055</v>
      </c>
      <c r="E110" s="51"/>
      <c r="F110" s="39" t="s">
        <v>228</v>
      </c>
      <c r="G110" s="28">
        <v>2</v>
      </c>
      <c r="H110" s="120">
        <v>0</v>
      </c>
      <c r="I110" s="120">
        <f t="shared" si="80"/>
        <v>0</v>
      </c>
      <c r="K110" s="8"/>
      <c r="Z110" s="28">
        <f t="shared" si="81"/>
        <v>0</v>
      </c>
      <c r="AB110" s="28">
        <f t="shared" si="82"/>
        <v>0</v>
      </c>
      <c r="AC110" s="28">
        <f t="shared" si="83"/>
        <v>0</v>
      </c>
      <c r="AD110" s="28">
        <f t="shared" si="84"/>
        <v>0</v>
      </c>
      <c r="AE110" s="28">
        <f t="shared" si="85"/>
        <v>0</v>
      </c>
      <c r="AF110" s="28">
        <f t="shared" si="86"/>
        <v>0</v>
      </c>
      <c r="AG110" s="28">
        <f t="shared" si="87"/>
        <v>0</v>
      </c>
      <c r="AH110" s="28">
        <f t="shared" si="88"/>
        <v>0</v>
      </c>
      <c r="AI110" s="21" t="s">
        <v>508</v>
      </c>
      <c r="AJ110" s="28">
        <f t="shared" si="89"/>
        <v>0</v>
      </c>
      <c r="AK110" s="28">
        <f t="shared" si="90"/>
        <v>0</v>
      </c>
      <c r="AL110" s="28">
        <f t="shared" si="91"/>
        <v>0</v>
      </c>
      <c r="AN110" s="28">
        <v>21</v>
      </c>
      <c r="AO110" s="28">
        <f>H110*0.947349887133183</f>
        <v>0</v>
      </c>
      <c r="AP110" s="28">
        <f>H110*(1-0.947349887133183)</f>
        <v>0</v>
      </c>
      <c r="AQ110" s="30" t="s">
        <v>900</v>
      </c>
      <c r="AV110" s="28">
        <f t="shared" si="92"/>
        <v>0</v>
      </c>
      <c r="AW110" s="28">
        <f t="shared" si="93"/>
        <v>0</v>
      </c>
      <c r="AX110" s="28">
        <f t="shared" si="94"/>
        <v>0</v>
      </c>
      <c r="AY110" s="30" t="s">
        <v>178</v>
      </c>
      <c r="AZ110" s="30" t="s">
        <v>773</v>
      </c>
      <c r="BA110" s="21" t="s">
        <v>316</v>
      </c>
      <c r="BC110" s="28">
        <f t="shared" si="95"/>
        <v>0</v>
      </c>
      <c r="BD110" s="28">
        <f t="shared" si="96"/>
        <v>0</v>
      </c>
      <c r="BE110" s="28">
        <v>0</v>
      </c>
      <c r="BF110" s="28">
        <f>110</f>
        <v>110</v>
      </c>
      <c r="BH110" s="28">
        <f t="shared" si="97"/>
        <v>0</v>
      </c>
      <c r="BI110" s="28">
        <f t="shared" si="98"/>
        <v>0</v>
      </c>
      <c r="BJ110" s="28">
        <f t="shared" si="99"/>
        <v>0</v>
      </c>
      <c r="BK110" s="28"/>
      <c r="BL110" s="28">
        <v>734</v>
      </c>
      <c r="BW110" s="28">
        <v>21</v>
      </c>
    </row>
    <row r="111" spans="1:75" ht="13.5" customHeight="1">
      <c r="A111" s="38" t="s">
        <v>78</v>
      </c>
      <c r="B111" s="39" t="s">
        <v>508</v>
      </c>
      <c r="C111" s="39" t="s">
        <v>94</v>
      </c>
      <c r="D111" s="50" t="s">
        <v>490</v>
      </c>
      <c r="E111" s="51"/>
      <c r="F111" s="39" t="s">
        <v>228</v>
      </c>
      <c r="G111" s="28">
        <v>1</v>
      </c>
      <c r="H111" s="120">
        <v>0</v>
      </c>
      <c r="I111" s="120">
        <f t="shared" si="80"/>
        <v>0</v>
      </c>
      <c r="K111" s="8"/>
      <c r="Z111" s="28">
        <f t="shared" si="81"/>
        <v>0</v>
      </c>
      <c r="AB111" s="28">
        <f t="shared" si="82"/>
        <v>0</v>
      </c>
      <c r="AC111" s="28">
        <f t="shared" si="83"/>
        <v>0</v>
      </c>
      <c r="AD111" s="28">
        <f t="shared" si="84"/>
        <v>0</v>
      </c>
      <c r="AE111" s="28">
        <f t="shared" si="85"/>
        <v>0</v>
      </c>
      <c r="AF111" s="28">
        <f t="shared" si="86"/>
        <v>0</v>
      </c>
      <c r="AG111" s="28">
        <f t="shared" si="87"/>
        <v>0</v>
      </c>
      <c r="AH111" s="28">
        <f t="shared" si="88"/>
        <v>0</v>
      </c>
      <c r="AI111" s="21" t="s">
        <v>508</v>
      </c>
      <c r="AJ111" s="28">
        <f t="shared" si="89"/>
        <v>0</v>
      </c>
      <c r="AK111" s="28">
        <f t="shared" si="90"/>
        <v>0</v>
      </c>
      <c r="AL111" s="28">
        <f t="shared" si="91"/>
        <v>0</v>
      </c>
      <c r="AN111" s="28">
        <v>21</v>
      </c>
      <c r="AO111" s="28">
        <f>H111*0.290718562874251</f>
        <v>0</v>
      </c>
      <c r="AP111" s="28">
        <f>H111*(1-0.290718562874251)</f>
        <v>0</v>
      </c>
      <c r="AQ111" s="30" t="s">
        <v>900</v>
      </c>
      <c r="AV111" s="28">
        <f t="shared" si="92"/>
        <v>0</v>
      </c>
      <c r="AW111" s="28">
        <f t="shared" si="93"/>
        <v>0</v>
      </c>
      <c r="AX111" s="28">
        <f t="shared" si="94"/>
        <v>0</v>
      </c>
      <c r="AY111" s="30" t="s">
        <v>178</v>
      </c>
      <c r="AZ111" s="30" t="s">
        <v>773</v>
      </c>
      <c r="BA111" s="21" t="s">
        <v>316</v>
      </c>
      <c r="BC111" s="28">
        <f t="shared" si="95"/>
        <v>0</v>
      </c>
      <c r="BD111" s="28">
        <f t="shared" si="96"/>
        <v>0</v>
      </c>
      <c r="BE111" s="28">
        <v>0</v>
      </c>
      <c r="BF111" s="28">
        <f>111</f>
        <v>111</v>
      </c>
      <c r="BH111" s="28">
        <f t="shared" si="97"/>
        <v>0</v>
      </c>
      <c r="BI111" s="28">
        <f t="shared" si="98"/>
        <v>0</v>
      </c>
      <c r="BJ111" s="28">
        <f t="shared" si="99"/>
        <v>0</v>
      </c>
      <c r="BK111" s="28"/>
      <c r="BL111" s="28">
        <v>734</v>
      </c>
      <c r="BW111" s="28">
        <v>21</v>
      </c>
    </row>
    <row r="112" spans="1:75" ht="13.5" customHeight="1">
      <c r="A112" s="38" t="s">
        <v>881</v>
      </c>
      <c r="B112" s="39" t="s">
        <v>508</v>
      </c>
      <c r="C112" s="39" t="s">
        <v>293</v>
      </c>
      <c r="D112" s="50" t="s">
        <v>767</v>
      </c>
      <c r="E112" s="51"/>
      <c r="F112" s="39" t="s">
        <v>228</v>
      </c>
      <c r="G112" s="28">
        <v>1</v>
      </c>
      <c r="H112" s="120">
        <v>0</v>
      </c>
      <c r="I112" s="120">
        <f t="shared" si="80"/>
        <v>0</v>
      </c>
      <c r="K112" s="8"/>
      <c r="Z112" s="28">
        <f t="shared" si="81"/>
        <v>0</v>
      </c>
      <c r="AB112" s="28">
        <f t="shared" si="82"/>
        <v>0</v>
      </c>
      <c r="AC112" s="28">
        <f t="shared" si="83"/>
        <v>0</v>
      </c>
      <c r="AD112" s="28">
        <f t="shared" si="84"/>
        <v>0</v>
      </c>
      <c r="AE112" s="28">
        <f t="shared" si="85"/>
        <v>0</v>
      </c>
      <c r="AF112" s="28">
        <f t="shared" si="86"/>
        <v>0</v>
      </c>
      <c r="AG112" s="28">
        <f t="shared" si="87"/>
        <v>0</v>
      </c>
      <c r="AH112" s="28">
        <f t="shared" si="88"/>
        <v>0</v>
      </c>
      <c r="AI112" s="21" t="s">
        <v>508</v>
      </c>
      <c r="AJ112" s="28">
        <f t="shared" si="89"/>
        <v>0</v>
      </c>
      <c r="AK112" s="28">
        <f t="shared" si="90"/>
        <v>0</v>
      </c>
      <c r="AL112" s="28">
        <f t="shared" si="91"/>
        <v>0</v>
      </c>
      <c r="AN112" s="28">
        <v>21</v>
      </c>
      <c r="AO112" s="28">
        <f>H112*1</f>
        <v>0</v>
      </c>
      <c r="AP112" s="28">
        <f>H112*(1-1)</f>
        <v>0</v>
      </c>
      <c r="AQ112" s="30" t="s">
        <v>900</v>
      </c>
      <c r="AV112" s="28">
        <f t="shared" si="92"/>
        <v>0</v>
      </c>
      <c r="AW112" s="28">
        <f t="shared" si="93"/>
        <v>0</v>
      </c>
      <c r="AX112" s="28">
        <f t="shared" si="94"/>
        <v>0</v>
      </c>
      <c r="AY112" s="30" t="s">
        <v>178</v>
      </c>
      <c r="AZ112" s="30" t="s">
        <v>773</v>
      </c>
      <c r="BA112" s="21" t="s">
        <v>316</v>
      </c>
      <c r="BC112" s="28">
        <f t="shared" si="95"/>
        <v>0</v>
      </c>
      <c r="BD112" s="28">
        <f t="shared" si="96"/>
        <v>0</v>
      </c>
      <c r="BE112" s="28">
        <v>0</v>
      </c>
      <c r="BF112" s="28">
        <f>112</f>
        <v>112</v>
      </c>
      <c r="BH112" s="28">
        <f t="shared" si="97"/>
        <v>0</v>
      </c>
      <c r="BI112" s="28">
        <f t="shared" si="98"/>
        <v>0</v>
      </c>
      <c r="BJ112" s="28">
        <f t="shared" si="99"/>
        <v>0</v>
      </c>
      <c r="BK112" s="28"/>
      <c r="BL112" s="28">
        <v>734</v>
      </c>
      <c r="BW112" s="28">
        <v>21</v>
      </c>
    </row>
    <row r="113" spans="1:75" ht="13.5" customHeight="1">
      <c r="A113" s="38" t="s">
        <v>160</v>
      </c>
      <c r="B113" s="39" t="s">
        <v>508</v>
      </c>
      <c r="C113" s="39" t="s">
        <v>52</v>
      </c>
      <c r="D113" s="50" t="s">
        <v>1056</v>
      </c>
      <c r="E113" s="51"/>
      <c r="F113" s="39" t="s">
        <v>228</v>
      </c>
      <c r="G113" s="28">
        <v>1</v>
      </c>
      <c r="H113" s="120">
        <v>0</v>
      </c>
      <c r="I113" s="120">
        <f t="shared" si="80"/>
        <v>0</v>
      </c>
      <c r="K113" s="8"/>
      <c r="Z113" s="28">
        <f t="shared" si="81"/>
        <v>0</v>
      </c>
      <c r="AB113" s="28">
        <f t="shared" si="82"/>
        <v>0</v>
      </c>
      <c r="AC113" s="28">
        <f t="shared" si="83"/>
        <v>0</v>
      </c>
      <c r="AD113" s="28">
        <f t="shared" si="84"/>
        <v>0</v>
      </c>
      <c r="AE113" s="28">
        <f t="shared" si="85"/>
        <v>0</v>
      </c>
      <c r="AF113" s="28">
        <f t="shared" si="86"/>
        <v>0</v>
      </c>
      <c r="AG113" s="28">
        <f t="shared" si="87"/>
        <v>0</v>
      </c>
      <c r="AH113" s="28">
        <f t="shared" si="88"/>
        <v>0</v>
      </c>
      <c r="AI113" s="21" t="s">
        <v>508</v>
      </c>
      <c r="AJ113" s="28">
        <f t="shared" si="89"/>
        <v>0</v>
      </c>
      <c r="AK113" s="28">
        <f t="shared" si="90"/>
        <v>0</v>
      </c>
      <c r="AL113" s="28">
        <f t="shared" si="91"/>
        <v>0</v>
      </c>
      <c r="AN113" s="28">
        <v>21</v>
      </c>
      <c r="AO113" s="28">
        <f>H113*0.767894736842105</f>
        <v>0</v>
      </c>
      <c r="AP113" s="28">
        <f>H113*(1-0.767894736842105)</f>
        <v>0</v>
      </c>
      <c r="AQ113" s="30" t="s">
        <v>900</v>
      </c>
      <c r="AV113" s="28">
        <f t="shared" si="92"/>
        <v>0</v>
      </c>
      <c r="AW113" s="28">
        <f t="shared" si="93"/>
        <v>0</v>
      </c>
      <c r="AX113" s="28">
        <f t="shared" si="94"/>
        <v>0</v>
      </c>
      <c r="AY113" s="30" t="s">
        <v>178</v>
      </c>
      <c r="AZ113" s="30" t="s">
        <v>773</v>
      </c>
      <c r="BA113" s="21" t="s">
        <v>316</v>
      </c>
      <c r="BC113" s="28">
        <f t="shared" si="95"/>
        <v>0</v>
      </c>
      <c r="BD113" s="28">
        <f t="shared" si="96"/>
        <v>0</v>
      </c>
      <c r="BE113" s="28">
        <v>0</v>
      </c>
      <c r="BF113" s="28">
        <f>113</f>
        <v>113</v>
      </c>
      <c r="BH113" s="28">
        <f t="shared" si="97"/>
        <v>0</v>
      </c>
      <c r="BI113" s="28">
        <f t="shared" si="98"/>
        <v>0</v>
      </c>
      <c r="BJ113" s="28">
        <f t="shared" si="99"/>
        <v>0</v>
      </c>
      <c r="BK113" s="28"/>
      <c r="BL113" s="28">
        <v>734</v>
      </c>
      <c r="BW113" s="28">
        <v>21</v>
      </c>
    </row>
    <row r="114" spans="1:75" ht="13.5" customHeight="1">
      <c r="A114" s="38" t="s">
        <v>174</v>
      </c>
      <c r="B114" s="39" t="s">
        <v>508</v>
      </c>
      <c r="C114" s="39" t="s">
        <v>544</v>
      </c>
      <c r="D114" s="50" t="s">
        <v>1057</v>
      </c>
      <c r="E114" s="51"/>
      <c r="F114" s="39" t="s">
        <v>228</v>
      </c>
      <c r="G114" s="28">
        <v>1</v>
      </c>
      <c r="H114" s="120">
        <v>0</v>
      </c>
      <c r="I114" s="120">
        <f t="shared" si="80"/>
        <v>0</v>
      </c>
      <c r="K114" s="8"/>
      <c r="Z114" s="28">
        <f t="shared" si="81"/>
        <v>0</v>
      </c>
      <c r="AB114" s="28">
        <f t="shared" si="82"/>
        <v>0</v>
      </c>
      <c r="AC114" s="28">
        <f t="shared" si="83"/>
        <v>0</v>
      </c>
      <c r="AD114" s="28">
        <f t="shared" si="84"/>
        <v>0</v>
      </c>
      <c r="AE114" s="28">
        <f t="shared" si="85"/>
        <v>0</v>
      </c>
      <c r="AF114" s="28">
        <f t="shared" si="86"/>
        <v>0</v>
      </c>
      <c r="AG114" s="28">
        <f t="shared" si="87"/>
        <v>0</v>
      </c>
      <c r="AH114" s="28">
        <f t="shared" si="88"/>
        <v>0</v>
      </c>
      <c r="AI114" s="21" t="s">
        <v>508</v>
      </c>
      <c r="AJ114" s="28">
        <f t="shared" si="89"/>
        <v>0</v>
      </c>
      <c r="AK114" s="28">
        <f t="shared" si="90"/>
        <v>0</v>
      </c>
      <c r="AL114" s="28">
        <f t="shared" si="91"/>
        <v>0</v>
      </c>
      <c r="AN114" s="28">
        <v>21</v>
      </c>
      <c r="AO114" s="28">
        <f>H114*0.914419677171407</f>
        <v>0</v>
      </c>
      <c r="AP114" s="28">
        <f>H114*(1-0.914419677171407)</f>
        <v>0</v>
      </c>
      <c r="AQ114" s="30" t="s">
        <v>900</v>
      </c>
      <c r="AV114" s="28">
        <f t="shared" si="92"/>
        <v>0</v>
      </c>
      <c r="AW114" s="28">
        <f t="shared" si="93"/>
        <v>0</v>
      </c>
      <c r="AX114" s="28">
        <f t="shared" si="94"/>
        <v>0</v>
      </c>
      <c r="AY114" s="30" t="s">
        <v>178</v>
      </c>
      <c r="AZ114" s="30" t="s">
        <v>773</v>
      </c>
      <c r="BA114" s="21" t="s">
        <v>316</v>
      </c>
      <c r="BC114" s="28">
        <f t="shared" si="95"/>
        <v>0</v>
      </c>
      <c r="BD114" s="28">
        <f t="shared" si="96"/>
        <v>0</v>
      </c>
      <c r="BE114" s="28">
        <v>0</v>
      </c>
      <c r="BF114" s="28">
        <f>114</f>
        <v>114</v>
      </c>
      <c r="BH114" s="28">
        <f t="shared" si="97"/>
        <v>0</v>
      </c>
      <c r="BI114" s="28">
        <f t="shared" si="98"/>
        <v>0</v>
      </c>
      <c r="BJ114" s="28">
        <f t="shared" si="99"/>
        <v>0</v>
      </c>
      <c r="BK114" s="28"/>
      <c r="BL114" s="28">
        <v>734</v>
      </c>
      <c r="BW114" s="28">
        <v>21</v>
      </c>
    </row>
    <row r="115" spans="1:75" ht="13.5" customHeight="1">
      <c r="A115" s="38" t="s">
        <v>918</v>
      </c>
      <c r="B115" s="39" t="s">
        <v>508</v>
      </c>
      <c r="C115" s="39" t="s">
        <v>266</v>
      </c>
      <c r="D115" s="50" t="s">
        <v>1058</v>
      </c>
      <c r="E115" s="51"/>
      <c r="F115" s="39" t="s">
        <v>228</v>
      </c>
      <c r="G115" s="28">
        <v>1</v>
      </c>
      <c r="H115" s="120">
        <v>0</v>
      </c>
      <c r="I115" s="120">
        <f t="shared" si="80"/>
        <v>0</v>
      </c>
      <c r="K115" s="8"/>
      <c r="Z115" s="28">
        <f t="shared" si="81"/>
        <v>0</v>
      </c>
      <c r="AB115" s="28">
        <f t="shared" si="82"/>
        <v>0</v>
      </c>
      <c r="AC115" s="28">
        <f t="shared" si="83"/>
        <v>0</v>
      </c>
      <c r="AD115" s="28">
        <f t="shared" si="84"/>
        <v>0</v>
      </c>
      <c r="AE115" s="28">
        <f t="shared" si="85"/>
        <v>0</v>
      </c>
      <c r="AF115" s="28">
        <f t="shared" si="86"/>
        <v>0</v>
      </c>
      <c r="AG115" s="28">
        <f t="shared" si="87"/>
        <v>0</v>
      </c>
      <c r="AH115" s="28">
        <f t="shared" si="88"/>
        <v>0</v>
      </c>
      <c r="AI115" s="21" t="s">
        <v>508</v>
      </c>
      <c r="AJ115" s="28">
        <f t="shared" si="89"/>
        <v>0</v>
      </c>
      <c r="AK115" s="28">
        <f t="shared" si="90"/>
        <v>0</v>
      </c>
      <c r="AL115" s="28">
        <f t="shared" si="91"/>
        <v>0</v>
      </c>
      <c r="AN115" s="28">
        <v>21</v>
      </c>
      <c r="AO115" s="28">
        <f>H115*0.754529750479846</f>
        <v>0</v>
      </c>
      <c r="AP115" s="28">
        <f>H115*(1-0.754529750479846)</f>
        <v>0</v>
      </c>
      <c r="AQ115" s="30" t="s">
        <v>900</v>
      </c>
      <c r="AV115" s="28">
        <f t="shared" si="92"/>
        <v>0</v>
      </c>
      <c r="AW115" s="28">
        <f t="shared" si="93"/>
        <v>0</v>
      </c>
      <c r="AX115" s="28">
        <f t="shared" si="94"/>
        <v>0</v>
      </c>
      <c r="AY115" s="30" t="s">
        <v>178</v>
      </c>
      <c r="AZ115" s="30" t="s">
        <v>773</v>
      </c>
      <c r="BA115" s="21" t="s">
        <v>316</v>
      </c>
      <c r="BC115" s="28">
        <f t="shared" si="95"/>
        <v>0</v>
      </c>
      <c r="BD115" s="28">
        <f t="shared" si="96"/>
        <v>0</v>
      </c>
      <c r="BE115" s="28">
        <v>0</v>
      </c>
      <c r="BF115" s="28">
        <f>115</f>
        <v>115</v>
      </c>
      <c r="BH115" s="28">
        <f t="shared" si="97"/>
        <v>0</v>
      </c>
      <c r="BI115" s="28">
        <f t="shared" si="98"/>
        <v>0</v>
      </c>
      <c r="BJ115" s="28">
        <f t="shared" si="99"/>
        <v>0</v>
      </c>
      <c r="BK115" s="28"/>
      <c r="BL115" s="28">
        <v>734</v>
      </c>
      <c r="BW115" s="28">
        <v>21</v>
      </c>
    </row>
    <row r="116" spans="1:75" ht="13.5" customHeight="1">
      <c r="A116" s="38" t="s">
        <v>529</v>
      </c>
      <c r="B116" s="39" t="s">
        <v>508</v>
      </c>
      <c r="C116" s="39" t="s">
        <v>714</v>
      </c>
      <c r="D116" s="50" t="s">
        <v>1059</v>
      </c>
      <c r="E116" s="51"/>
      <c r="F116" s="39" t="s">
        <v>228</v>
      </c>
      <c r="G116" s="28">
        <v>2</v>
      </c>
      <c r="H116" s="120">
        <v>0</v>
      </c>
      <c r="I116" s="120">
        <f t="shared" si="80"/>
        <v>0</v>
      </c>
      <c r="K116" s="8"/>
      <c r="Z116" s="28">
        <f t="shared" si="81"/>
        <v>0</v>
      </c>
      <c r="AB116" s="28">
        <f t="shared" si="82"/>
        <v>0</v>
      </c>
      <c r="AC116" s="28">
        <f t="shared" si="83"/>
        <v>0</v>
      </c>
      <c r="AD116" s="28">
        <f t="shared" si="84"/>
        <v>0</v>
      </c>
      <c r="AE116" s="28">
        <f t="shared" si="85"/>
        <v>0</v>
      </c>
      <c r="AF116" s="28">
        <f t="shared" si="86"/>
        <v>0</v>
      </c>
      <c r="AG116" s="28">
        <f t="shared" si="87"/>
        <v>0</v>
      </c>
      <c r="AH116" s="28">
        <f t="shared" si="88"/>
        <v>0</v>
      </c>
      <c r="AI116" s="21" t="s">
        <v>508</v>
      </c>
      <c r="AJ116" s="28">
        <f t="shared" si="89"/>
        <v>0</v>
      </c>
      <c r="AK116" s="28">
        <f t="shared" si="90"/>
        <v>0</v>
      </c>
      <c r="AL116" s="28">
        <f t="shared" si="91"/>
        <v>0</v>
      </c>
      <c r="AN116" s="28">
        <v>21</v>
      </c>
      <c r="AO116" s="28">
        <f>H116*0.881593220338983</f>
        <v>0</v>
      </c>
      <c r="AP116" s="28">
        <f>H116*(1-0.881593220338983)</f>
        <v>0</v>
      </c>
      <c r="AQ116" s="30" t="s">
        <v>900</v>
      </c>
      <c r="AV116" s="28">
        <f t="shared" si="92"/>
        <v>0</v>
      </c>
      <c r="AW116" s="28">
        <f t="shared" si="93"/>
        <v>0</v>
      </c>
      <c r="AX116" s="28">
        <f t="shared" si="94"/>
        <v>0</v>
      </c>
      <c r="AY116" s="30" t="s">
        <v>178</v>
      </c>
      <c r="AZ116" s="30" t="s">
        <v>773</v>
      </c>
      <c r="BA116" s="21" t="s">
        <v>316</v>
      </c>
      <c r="BC116" s="28">
        <f t="shared" si="95"/>
        <v>0</v>
      </c>
      <c r="BD116" s="28">
        <f t="shared" si="96"/>
        <v>0</v>
      </c>
      <c r="BE116" s="28">
        <v>0</v>
      </c>
      <c r="BF116" s="28">
        <f>116</f>
        <v>116</v>
      </c>
      <c r="BH116" s="28">
        <f t="shared" si="97"/>
        <v>0</v>
      </c>
      <c r="BI116" s="28">
        <f t="shared" si="98"/>
        <v>0</v>
      </c>
      <c r="BJ116" s="28">
        <f t="shared" si="99"/>
        <v>0</v>
      </c>
      <c r="BK116" s="28"/>
      <c r="BL116" s="28">
        <v>734</v>
      </c>
      <c r="BW116" s="28">
        <v>21</v>
      </c>
    </row>
    <row r="117" spans="1:75" ht="13.5" customHeight="1">
      <c r="A117" s="38" t="s">
        <v>423</v>
      </c>
      <c r="B117" s="39" t="s">
        <v>508</v>
      </c>
      <c r="C117" s="39" t="s">
        <v>565</v>
      </c>
      <c r="D117" s="50" t="s">
        <v>1060</v>
      </c>
      <c r="E117" s="51"/>
      <c r="F117" s="39" t="s">
        <v>228</v>
      </c>
      <c r="G117" s="28">
        <v>2</v>
      </c>
      <c r="H117" s="120">
        <v>0</v>
      </c>
      <c r="I117" s="120">
        <f t="shared" si="80"/>
        <v>0</v>
      </c>
      <c r="K117" s="8"/>
      <c r="Z117" s="28">
        <f t="shared" si="81"/>
        <v>0</v>
      </c>
      <c r="AB117" s="28">
        <f t="shared" si="82"/>
        <v>0</v>
      </c>
      <c r="AC117" s="28">
        <f t="shared" si="83"/>
        <v>0</v>
      </c>
      <c r="AD117" s="28">
        <f t="shared" si="84"/>
        <v>0</v>
      </c>
      <c r="AE117" s="28">
        <f t="shared" si="85"/>
        <v>0</v>
      </c>
      <c r="AF117" s="28">
        <f t="shared" si="86"/>
        <v>0</v>
      </c>
      <c r="AG117" s="28">
        <f t="shared" si="87"/>
        <v>0</v>
      </c>
      <c r="AH117" s="28">
        <f t="shared" si="88"/>
        <v>0</v>
      </c>
      <c r="AI117" s="21" t="s">
        <v>508</v>
      </c>
      <c r="AJ117" s="28">
        <f t="shared" si="89"/>
        <v>0</v>
      </c>
      <c r="AK117" s="28">
        <f t="shared" si="90"/>
        <v>0</v>
      </c>
      <c r="AL117" s="28">
        <f t="shared" si="91"/>
        <v>0</v>
      </c>
      <c r="AN117" s="28">
        <v>21</v>
      </c>
      <c r="AO117" s="28">
        <f>H117*0.657605893186004</f>
        <v>0</v>
      </c>
      <c r="AP117" s="28">
        <f>H117*(1-0.657605893186004)</f>
        <v>0</v>
      </c>
      <c r="AQ117" s="30" t="s">
        <v>900</v>
      </c>
      <c r="AV117" s="28">
        <f t="shared" si="92"/>
        <v>0</v>
      </c>
      <c r="AW117" s="28">
        <f t="shared" si="93"/>
        <v>0</v>
      </c>
      <c r="AX117" s="28">
        <f t="shared" si="94"/>
        <v>0</v>
      </c>
      <c r="AY117" s="30" t="s">
        <v>178</v>
      </c>
      <c r="AZ117" s="30" t="s">
        <v>773</v>
      </c>
      <c r="BA117" s="21" t="s">
        <v>316</v>
      </c>
      <c r="BC117" s="28">
        <f t="shared" si="95"/>
        <v>0</v>
      </c>
      <c r="BD117" s="28">
        <f t="shared" si="96"/>
        <v>0</v>
      </c>
      <c r="BE117" s="28">
        <v>0</v>
      </c>
      <c r="BF117" s="28">
        <f>117</f>
        <v>117</v>
      </c>
      <c r="BH117" s="28">
        <f t="shared" si="97"/>
        <v>0</v>
      </c>
      <c r="BI117" s="28">
        <f t="shared" si="98"/>
        <v>0</v>
      </c>
      <c r="BJ117" s="28">
        <f t="shared" si="99"/>
        <v>0</v>
      </c>
      <c r="BK117" s="28"/>
      <c r="BL117" s="28">
        <v>734</v>
      </c>
      <c r="BW117" s="28">
        <v>21</v>
      </c>
    </row>
    <row r="118" spans="1:47" ht="15" customHeight="1">
      <c r="A118" s="3" t="s">
        <v>626</v>
      </c>
      <c r="B118" s="43" t="s">
        <v>508</v>
      </c>
      <c r="C118" s="43" t="s">
        <v>390</v>
      </c>
      <c r="D118" s="103" t="s">
        <v>274</v>
      </c>
      <c r="E118" s="104"/>
      <c r="F118" s="37" t="s">
        <v>836</v>
      </c>
      <c r="G118" s="37" t="s">
        <v>836</v>
      </c>
      <c r="H118" s="118" t="s">
        <v>836</v>
      </c>
      <c r="I118" s="119">
        <f>SUM(I119:I119)</f>
        <v>0</v>
      </c>
      <c r="K118" s="8"/>
      <c r="AI118" s="21" t="s">
        <v>508</v>
      </c>
      <c r="AS118" s="31">
        <f>SUM(AJ119:AJ119)</f>
        <v>0</v>
      </c>
      <c r="AT118" s="31">
        <f>SUM(AK119:AK119)</f>
        <v>0</v>
      </c>
      <c r="AU118" s="31">
        <f>SUM(AL119:AL119)</f>
        <v>0</v>
      </c>
    </row>
    <row r="119" spans="1:75" ht="13.5" customHeight="1">
      <c r="A119" s="38" t="s">
        <v>584</v>
      </c>
      <c r="B119" s="39" t="s">
        <v>508</v>
      </c>
      <c r="C119" s="39" t="s">
        <v>851</v>
      </c>
      <c r="D119" s="50" t="s">
        <v>494</v>
      </c>
      <c r="E119" s="51"/>
      <c r="F119" s="39" t="s">
        <v>853</v>
      </c>
      <c r="G119" s="28">
        <v>100</v>
      </c>
      <c r="H119" s="120">
        <v>0</v>
      </c>
      <c r="I119" s="120">
        <f>G119*H119</f>
        <v>0</v>
      </c>
      <c r="K119" s="8"/>
      <c r="Z119" s="28">
        <f>IF(AQ119="5",BJ119,0)</f>
        <v>0</v>
      </c>
      <c r="AB119" s="28">
        <f>IF(AQ119="1",BH119,0)</f>
        <v>0</v>
      </c>
      <c r="AC119" s="28">
        <f>IF(AQ119="1",BI119,0)</f>
        <v>0</v>
      </c>
      <c r="AD119" s="28">
        <f>IF(AQ119="7",BH119,0)</f>
        <v>0</v>
      </c>
      <c r="AE119" s="28">
        <f>IF(AQ119="7",BI119,0)</f>
        <v>0</v>
      </c>
      <c r="AF119" s="28">
        <f>IF(AQ119="2",BH119,0)</f>
        <v>0</v>
      </c>
      <c r="AG119" s="28">
        <f>IF(AQ119="2",BI119,0)</f>
        <v>0</v>
      </c>
      <c r="AH119" s="28">
        <f>IF(AQ119="0",BJ119,0)</f>
        <v>0</v>
      </c>
      <c r="AI119" s="21" t="s">
        <v>508</v>
      </c>
      <c r="AJ119" s="28">
        <f>IF(AN119=0,I119,0)</f>
        <v>0</v>
      </c>
      <c r="AK119" s="28">
        <f>IF(AN119=12,I119,0)</f>
        <v>0</v>
      </c>
      <c r="AL119" s="28">
        <f>IF(AN119=21,I119,0)</f>
        <v>0</v>
      </c>
      <c r="AN119" s="28">
        <v>21</v>
      </c>
      <c r="AO119" s="28">
        <f>H119*0.19094184251158</f>
        <v>0</v>
      </c>
      <c r="AP119" s="28">
        <f>H119*(1-0.19094184251158)</f>
        <v>0</v>
      </c>
      <c r="AQ119" s="30" t="s">
        <v>900</v>
      </c>
      <c r="AV119" s="28">
        <f>AW119+AX119</f>
        <v>0</v>
      </c>
      <c r="AW119" s="28">
        <f>G119*AO119</f>
        <v>0</v>
      </c>
      <c r="AX119" s="28">
        <f>G119*AP119</f>
        <v>0</v>
      </c>
      <c r="AY119" s="30" t="s">
        <v>250</v>
      </c>
      <c r="AZ119" s="30" t="s">
        <v>681</v>
      </c>
      <c r="BA119" s="21" t="s">
        <v>316</v>
      </c>
      <c r="BC119" s="28">
        <f>AW119+AX119</f>
        <v>0</v>
      </c>
      <c r="BD119" s="28">
        <f>H119/(100-BE119)*100</f>
        <v>0</v>
      </c>
      <c r="BE119" s="28">
        <v>0</v>
      </c>
      <c r="BF119" s="28">
        <f>119</f>
        <v>119</v>
      </c>
      <c r="BH119" s="28">
        <f>G119*AO119</f>
        <v>0</v>
      </c>
      <c r="BI119" s="28">
        <f>G119*AP119</f>
        <v>0</v>
      </c>
      <c r="BJ119" s="28">
        <f>G119*H119</f>
        <v>0</v>
      </c>
      <c r="BK119" s="28"/>
      <c r="BL119" s="28">
        <v>767</v>
      </c>
      <c r="BW119" s="28">
        <v>21</v>
      </c>
    </row>
    <row r="120" spans="1:11" ht="15" customHeight="1">
      <c r="A120" s="3" t="s">
        <v>626</v>
      </c>
      <c r="B120" s="43" t="s">
        <v>803</v>
      </c>
      <c r="C120" s="43" t="s">
        <v>626</v>
      </c>
      <c r="D120" s="103" t="s">
        <v>19</v>
      </c>
      <c r="E120" s="104"/>
      <c r="F120" s="37" t="s">
        <v>836</v>
      </c>
      <c r="G120" s="37" t="s">
        <v>836</v>
      </c>
      <c r="H120" s="118" t="s">
        <v>836</v>
      </c>
      <c r="I120" s="119">
        <f>I121+I127+I130+I134+I136+I138+I140+I156+I160+I166</f>
        <v>0</v>
      </c>
      <c r="K120" s="8"/>
    </row>
    <row r="121" spans="1:47" ht="15" customHeight="1">
      <c r="A121" s="3" t="s">
        <v>626</v>
      </c>
      <c r="B121" s="43" t="s">
        <v>803</v>
      </c>
      <c r="C121" s="43" t="s">
        <v>748</v>
      </c>
      <c r="D121" s="103" t="s">
        <v>468</v>
      </c>
      <c r="E121" s="104"/>
      <c r="F121" s="37" t="s">
        <v>836</v>
      </c>
      <c r="G121" s="37" t="s">
        <v>836</v>
      </c>
      <c r="H121" s="118" t="s">
        <v>836</v>
      </c>
      <c r="I121" s="119">
        <f>SUM(I122:I126)</f>
        <v>0</v>
      </c>
      <c r="K121" s="8"/>
      <c r="AI121" s="21" t="s">
        <v>803</v>
      </c>
      <c r="AS121" s="31">
        <f>SUM(AJ122:AJ126)</f>
        <v>0</v>
      </c>
      <c r="AT121" s="31">
        <f>SUM(AK122:AK126)</f>
        <v>0</v>
      </c>
      <c r="AU121" s="31">
        <f>SUM(AL122:AL126)</f>
        <v>0</v>
      </c>
    </row>
    <row r="122" spans="1:75" ht="13.5" customHeight="1">
      <c r="A122" s="38" t="s">
        <v>44</v>
      </c>
      <c r="B122" s="39" t="s">
        <v>803</v>
      </c>
      <c r="C122" s="39" t="s">
        <v>811</v>
      </c>
      <c r="D122" s="50" t="s">
        <v>984</v>
      </c>
      <c r="E122" s="51"/>
      <c r="F122" s="39" t="s">
        <v>882</v>
      </c>
      <c r="G122" s="28">
        <v>480</v>
      </c>
      <c r="H122" s="120">
        <v>0</v>
      </c>
      <c r="I122" s="120">
        <f>G122*H122</f>
        <v>0</v>
      </c>
      <c r="K122" s="8"/>
      <c r="Z122" s="28">
        <f>IF(AQ122="5",BJ122,0)</f>
        <v>0</v>
      </c>
      <c r="AB122" s="28">
        <f>IF(AQ122="1",BH122,0)</f>
        <v>0</v>
      </c>
      <c r="AC122" s="28">
        <f>IF(AQ122="1",BI122,0)</f>
        <v>0</v>
      </c>
      <c r="AD122" s="28">
        <f>IF(AQ122="7",BH122,0)</f>
        <v>0</v>
      </c>
      <c r="AE122" s="28">
        <f>IF(AQ122="7",BI122,0)</f>
        <v>0</v>
      </c>
      <c r="AF122" s="28">
        <f>IF(AQ122="2",BH122,0)</f>
        <v>0</v>
      </c>
      <c r="AG122" s="28">
        <f>IF(AQ122="2",BI122,0)</f>
        <v>0</v>
      </c>
      <c r="AH122" s="28">
        <f>IF(AQ122="0",BJ122,0)</f>
        <v>0</v>
      </c>
      <c r="AI122" s="21" t="s">
        <v>803</v>
      </c>
      <c r="AJ122" s="28">
        <f>IF(AN122=0,I122,0)</f>
        <v>0</v>
      </c>
      <c r="AK122" s="28">
        <f>IF(AN122=12,I122,0)</f>
        <v>0</v>
      </c>
      <c r="AL122" s="28">
        <f>IF(AN122=21,I122,0)</f>
        <v>0</v>
      </c>
      <c r="AN122" s="28">
        <v>21</v>
      </c>
      <c r="AO122" s="28">
        <f>H122*0</f>
        <v>0</v>
      </c>
      <c r="AP122" s="28">
        <f>H122*(1-0)</f>
        <v>0</v>
      </c>
      <c r="AQ122" s="30" t="s">
        <v>893</v>
      </c>
      <c r="AV122" s="28">
        <f>AW122+AX122</f>
        <v>0</v>
      </c>
      <c r="AW122" s="28">
        <f>G122*AO122</f>
        <v>0</v>
      </c>
      <c r="AX122" s="28">
        <f>G122*AP122</f>
        <v>0</v>
      </c>
      <c r="AY122" s="30" t="s">
        <v>99</v>
      </c>
      <c r="AZ122" s="30" t="s">
        <v>361</v>
      </c>
      <c r="BA122" s="21" t="s">
        <v>121</v>
      </c>
      <c r="BC122" s="28">
        <f>AW122+AX122</f>
        <v>0</v>
      </c>
      <c r="BD122" s="28">
        <f>H122/(100-BE122)*100</f>
        <v>0</v>
      </c>
      <c r="BE122" s="28">
        <v>0</v>
      </c>
      <c r="BF122" s="28">
        <f>122</f>
        <v>122</v>
      </c>
      <c r="BH122" s="28">
        <f>G122*AO122</f>
        <v>0</v>
      </c>
      <c r="BI122" s="28">
        <f>G122*AP122</f>
        <v>0</v>
      </c>
      <c r="BJ122" s="28">
        <f>G122*H122</f>
        <v>0</v>
      </c>
      <c r="BK122" s="28"/>
      <c r="BL122" s="28">
        <v>11</v>
      </c>
      <c r="BW122" s="28">
        <v>21</v>
      </c>
    </row>
    <row r="123" spans="1:75" ht="13.5" customHeight="1">
      <c r="A123" s="38" t="s">
        <v>971</v>
      </c>
      <c r="B123" s="39" t="s">
        <v>803</v>
      </c>
      <c r="C123" s="39" t="s">
        <v>677</v>
      </c>
      <c r="D123" s="50" t="s">
        <v>322</v>
      </c>
      <c r="E123" s="51"/>
      <c r="F123" s="39" t="s">
        <v>882</v>
      </c>
      <c r="G123" s="28">
        <v>128</v>
      </c>
      <c r="H123" s="120">
        <v>0</v>
      </c>
      <c r="I123" s="120">
        <f>G123*H123</f>
        <v>0</v>
      </c>
      <c r="K123" s="8"/>
      <c r="Z123" s="28">
        <f>IF(AQ123="5",BJ123,0)</f>
        <v>0</v>
      </c>
      <c r="AB123" s="28">
        <f>IF(AQ123="1",BH123,0)</f>
        <v>0</v>
      </c>
      <c r="AC123" s="28">
        <f>IF(AQ123="1",BI123,0)</f>
        <v>0</v>
      </c>
      <c r="AD123" s="28">
        <f>IF(AQ123="7",BH123,0)</f>
        <v>0</v>
      </c>
      <c r="AE123" s="28">
        <f>IF(AQ123="7",BI123,0)</f>
        <v>0</v>
      </c>
      <c r="AF123" s="28">
        <f>IF(AQ123="2",BH123,0)</f>
        <v>0</v>
      </c>
      <c r="AG123" s="28">
        <f>IF(AQ123="2",BI123,0)</f>
        <v>0</v>
      </c>
      <c r="AH123" s="28">
        <f>IF(AQ123="0",BJ123,0)</f>
        <v>0</v>
      </c>
      <c r="AI123" s="21" t="s">
        <v>803</v>
      </c>
      <c r="AJ123" s="28">
        <f>IF(AN123=0,I123,0)</f>
        <v>0</v>
      </c>
      <c r="AK123" s="28">
        <f>IF(AN123=12,I123,0)</f>
        <v>0</v>
      </c>
      <c r="AL123" s="28">
        <f>IF(AN123=21,I123,0)</f>
        <v>0</v>
      </c>
      <c r="AN123" s="28">
        <v>21</v>
      </c>
      <c r="AO123" s="28">
        <f>H123*0.00713722397476341</f>
        <v>0</v>
      </c>
      <c r="AP123" s="28">
        <f>H123*(1-0.00713722397476341)</f>
        <v>0</v>
      </c>
      <c r="AQ123" s="30" t="s">
        <v>893</v>
      </c>
      <c r="AV123" s="28">
        <f>AW123+AX123</f>
        <v>0</v>
      </c>
      <c r="AW123" s="28">
        <f>G123*AO123</f>
        <v>0</v>
      </c>
      <c r="AX123" s="28">
        <f>G123*AP123</f>
        <v>0</v>
      </c>
      <c r="AY123" s="30" t="s">
        <v>99</v>
      </c>
      <c r="AZ123" s="30" t="s">
        <v>361</v>
      </c>
      <c r="BA123" s="21" t="s">
        <v>121</v>
      </c>
      <c r="BC123" s="28">
        <f>AW123+AX123</f>
        <v>0</v>
      </c>
      <c r="BD123" s="28">
        <f>H123/(100-BE123)*100</f>
        <v>0</v>
      </c>
      <c r="BE123" s="28">
        <v>0</v>
      </c>
      <c r="BF123" s="28">
        <f>123</f>
        <v>123</v>
      </c>
      <c r="BH123" s="28">
        <f>G123*AO123</f>
        <v>0</v>
      </c>
      <c r="BI123" s="28">
        <f>G123*AP123</f>
        <v>0</v>
      </c>
      <c r="BJ123" s="28">
        <f>G123*H123</f>
        <v>0</v>
      </c>
      <c r="BK123" s="28"/>
      <c r="BL123" s="28">
        <v>11</v>
      </c>
      <c r="BW123" s="28">
        <v>21</v>
      </c>
    </row>
    <row r="124" spans="1:75" ht="13.5" customHeight="1">
      <c r="A124" s="38" t="s">
        <v>958</v>
      </c>
      <c r="B124" s="39" t="s">
        <v>803</v>
      </c>
      <c r="C124" s="39" t="s">
        <v>425</v>
      </c>
      <c r="D124" s="50" t="s">
        <v>613</v>
      </c>
      <c r="E124" s="51"/>
      <c r="F124" s="39" t="s">
        <v>741</v>
      </c>
      <c r="G124" s="28">
        <v>320</v>
      </c>
      <c r="H124" s="120">
        <v>0</v>
      </c>
      <c r="I124" s="120">
        <f>G124*H124</f>
        <v>0</v>
      </c>
      <c r="K124" s="8"/>
      <c r="Z124" s="28">
        <f>IF(AQ124="5",BJ124,0)</f>
        <v>0</v>
      </c>
      <c r="AB124" s="28">
        <f>IF(AQ124="1",BH124,0)</f>
        <v>0</v>
      </c>
      <c r="AC124" s="28">
        <f>IF(AQ124="1",BI124,0)</f>
        <v>0</v>
      </c>
      <c r="AD124" s="28">
        <f>IF(AQ124="7",BH124,0)</f>
        <v>0</v>
      </c>
      <c r="AE124" s="28">
        <f>IF(AQ124="7",BI124,0)</f>
        <v>0</v>
      </c>
      <c r="AF124" s="28">
        <f>IF(AQ124="2",BH124,0)</f>
        <v>0</v>
      </c>
      <c r="AG124" s="28">
        <f>IF(AQ124="2",BI124,0)</f>
        <v>0</v>
      </c>
      <c r="AH124" s="28">
        <f>IF(AQ124="0",BJ124,0)</f>
        <v>0</v>
      </c>
      <c r="AI124" s="21" t="s">
        <v>803</v>
      </c>
      <c r="AJ124" s="28">
        <f>IF(AN124=0,I124,0)</f>
        <v>0</v>
      </c>
      <c r="AK124" s="28">
        <f>IF(AN124=12,I124,0)</f>
        <v>0</v>
      </c>
      <c r="AL124" s="28">
        <f>IF(AN124=21,I124,0)</f>
        <v>0</v>
      </c>
      <c r="AN124" s="28">
        <v>21</v>
      </c>
      <c r="AO124" s="28">
        <f>H124*0</f>
        <v>0</v>
      </c>
      <c r="AP124" s="28">
        <f>H124*(1-0)</f>
        <v>0</v>
      </c>
      <c r="AQ124" s="30" t="s">
        <v>893</v>
      </c>
      <c r="AV124" s="28">
        <f>AW124+AX124</f>
        <v>0</v>
      </c>
      <c r="AW124" s="28">
        <f>G124*AO124</f>
        <v>0</v>
      </c>
      <c r="AX124" s="28">
        <f>G124*AP124</f>
        <v>0</v>
      </c>
      <c r="AY124" s="30" t="s">
        <v>99</v>
      </c>
      <c r="AZ124" s="30" t="s">
        <v>361</v>
      </c>
      <c r="BA124" s="21" t="s">
        <v>121</v>
      </c>
      <c r="BC124" s="28">
        <f>AW124+AX124</f>
        <v>0</v>
      </c>
      <c r="BD124" s="28">
        <f>H124/(100-BE124)*100</f>
        <v>0</v>
      </c>
      <c r="BE124" s="28">
        <v>0</v>
      </c>
      <c r="BF124" s="28">
        <f>124</f>
        <v>124</v>
      </c>
      <c r="BH124" s="28">
        <f>G124*AO124</f>
        <v>0</v>
      </c>
      <c r="BI124" s="28">
        <f>G124*AP124</f>
        <v>0</v>
      </c>
      <c r="BJ124" s="28">
        <f>G124*H124</f>
        <v>0</v>
      </c>
      <c r="BK124" s="28"/>
      <c r="BL124" s="28">
        <v>11</v>
      </c>
      <c r="BW124" s="28">
        <v>21</v>
      </c>
    </row>
    <row r="125" spans="1:75" ht="13.5" customHeight="1">
      <c r="A125" s="38" t="s">
        <v>956</v>
      </c>
      <c r="B125" s="39" t="s">
        <v>803</v>
      </c>
      <c r="C125" s="39" t="s">
        <v>989</v>
      </c>
      <c r="D125" s="50" t="s">
        <v>583</v>
      </c>
      <c r="E125" s="51"/>
      <c r="F125" s="39" t="s">
        <v>741</v>
      </c>
      <c r="G125" s="28">
        <v>12</v>
      </c>
      <c r="H125" s="120">
        <v>0</v>
      </c>
      <c r="I125" s="120">
        <f>G125*H125</f>
        <v>0</v>
      </c>
      <c r="K125" s="8"/>
      <c r="Z125" s="28">
        <f>IF(AQ125="5",BJ125,0)</f>
        <v>0</v>
      </c>
      <c r="AB125" s="28">
        <f>IF(AQ125="1",BH125,0)</f>
        <v>0</v>
      </c>
      <c r="AC125" s="28">
        <f>IF(AQ125="1",BI125,0)</f>
        <v>0</v>
      </c>
      <c r="AD125" s="28">
        <f>IF(AQ125="7",BH125,0)</f>
        <v>0</v>
      </c>
      <c r="AE125" s="28">
        <f>IF(AQ125="7",BI125,0)</f>
        <v>0</v>
      </c>
      <c r="AF125" s="28">
        <f>IF(AQ125="2",BH125,0)</f>
        <v>0</v>
      </c>
      <c r="AG125" s="28">
        <f>IF(AQ125="2",BI125,0)</f>
        <v>0</v>
      </c>
      <c r="AH125" s="28">
        <f>IF(AQ125="0",BJ125,0)</f>
        <v>0</v>
      </c>
      <c r="AI125" s="21" t="s">
        <v>803</v>
      </c>
      <c r="AJ125" s="28">
        <f>IF(AN125=0,I125,0)</f>
        <v>0</v>
      </c>
      <c r="AK125" s="28">
        <f>IF(AN125=12,I125,0)</f>
        <v>0</v>
      </c>
      <c r="AL125" s="28">
        <f>IF(AN125=21,I125,0)</f>
        <v>0</v>
      </c>
      <c r="AN125" s="28">
        <v>21</v>
      </c>
      <c r="AO125" s="28">
        <f>H125*0.0714104344161773</f>
        <v>0</v>
      </c>
      <c r="AP125" s="28">
        <f>H125*(1-0.0714104344161773)</f>
        <v>0</v>
      </c>
      <c r="AQ125" s="30" t="s">
        <v>893</v>
      </c>
      <c r="AV125" s="28">
        <f>AW125+AX125</f>
        <v>0</v>
      </c>
      <c r="AW125" s="28">
        <f>G125*AO125</f>
        <v>0</v>
      </c>
      <c r="AX125" s="28">
        <f>G125*AP125</f>
        <v>0</v>
      </c>
      <c r="AY125" s="30" t="s">
        <v>99</v>
      </c>
      <c r="AZ125" s="30" t="s">
        <v>361</v>
      </c>
      <c r="BA125" s="21" t="s">
        <v>121</v>
      </c>
      <c r="BC125" s="28">
        <f>AW125+AX125</f>
        <v>0</v>
      </c>
      <c r="BD125" s="28">
        <f>H125/(100-BE125)*100</f>
        <v>0</v>
      </c>
      <c r="BE125" s="28">
        <v>0</v>
      </c>
      <c r="BF125" s="28">
        <f>125</f>
        <v>125</v>
      </c>
      <c r="BH125" s="28">
        <f>G125*AO125</f>
        <v>0</v>
      </c>
      <c r="BI125" s="28">
        <f>G125*AP125</f>
        <v>0</v>
      </c>
      <c r="BJ125" s="28">
        <f>G125*H125</f>
        <v>0</v>
      </c>
      <c r="BK125" s="28"/>
      <c r="BL125" s="28">
        <v>11</v>
      </c>
      <c r="BW125" s="28">
        <v>21</v>
      </c>
    </row>
    <row r="126" spans="1:75" ht="13.5" customHeight="1">
      <c r="A126" s="38" t="s">
        <v>43</v>
      </c>
      <c r="B126" s="39" t="s">
        <v>803</v>
      </c>
      <c r="C126" s="39" t="s">
        <v>759</v>
      </c>
      <c r="D126" s="50" t="s">
        <v>780</v>
      </c>
      <c r="E126" s="51"/>
      <c r="F126" s="39" t="s">
        <v>311</v>
      </c>
      <c r="G126" s="28">
        <v>8</v>
      </c>
      <c r="H126" s="120">
        <v>0</v>
      </c>
      <c r="I126" s="120">
        <f>G126*H126</f>
        <v>0</v>
      </c>
      <c r="K126" s="8"/>
      <c r="Z126" s="28">
        <f>IF(AQ126="5",BJ126,0)</f>
        <v>0</v>
      </c>
      <c r="AB126" s="28">
        <f>IF(AQ126="1",BH126,0)</f>
        <v>0</v>
      </c>
      <c r="AC126" s="28">
        <f>IF(AQ126="1",BI126,0)</f>
        <v>0</v>
      </c>
      <c r="AD126" s="28">
        <f>IF(AQ126="7",BH126,0)</f>
        <v>0</v>
      </c>
      <c r="AE126" s="28">
        <f>IF(AQ126="7",BI126,0)</f>
        <v>0</v>
      </c>
      <c r="AF126" s="28">
        <f>IF(AQ126="2",BH126,0)</f>
        <v>0</v>
      </c>
      <c r="AG126" s="28">
        <f>IF(AQ126="2",BI126,0)</f>
        <v>0</v>
      </c>
      <c r="AH126" s="28">
        <f>IF(AQ126="0",BJ126,0)</f>
        <v>0</v>
      </c>
      <c r="AI126" s="21" t="s">
        <v>803</v>
      </c>
      <c r="AJ126" s="28">
        <f>IF(AN126=0,I126,0)</f>
        <v>0</v>
      </c>
      <c r="AK126" s="28">
        <f>IF(AN126=12,I126,0)</f>
        <v>0</v>
      </c>
      <c r="AL126" s="28">
        <f>IF(AN126=21,I126,0)</f>
        <v>0</v>
      </c>
      <c r="AN126" s="28">
        <v>21</v>
      </c>
      <c r="AO126" s="28">
        <f>H126*0.346020761245675</f>
        <v>0</v>
      </c>
      <c r="AP126" s="28">
        <f>H126*(1-0.346020761245675)</f>
        <v>0</v>
      </c>
      <c r="AQ126" s="30" t="s">
        <v>893</v>
      </c>
      <c r="AV126" s="28">
        <f>AW126+AX126</f>
        <v>0</v>
      </c>
      <c r="AW126" s="28">
        <f>G126*AO126</f>
        <v>0</v>
      </c>
      <c r="AX126" s="28">
        <f>G126*AP126</f>
        <v>0</v>
      </c>
      <c r="AY126" s="30" t="s">
        <v>99</v>
      </c>
      <c r="AZ126" s="30" t="s">
        <v>361</v>
      </c>
      <c r="BA126" s="21" t="s">
        <v>121</v>
      </c>
      <c r="BC126" s="28">
        <f>AW126+AX126</f>
        <v>0</v>
      </c>
      <c r="BD126" s="28">
        <f>H126/(100-BE126)*100</f>
        <v>0</v>
      </c>
      <c r="BE126" s="28">
        <v>0</v>
      </c>
      <c r="BF126" s="28">
        <f>126</f>
        <v>126</v>
      </c>
      <c r="BH126" s="28">
        <f>G126*AO126</f>
        <v>0</v>
      </c>
      <c r="BI126" s="28">
        <f>G126*AP126</f>
        <v>0</v>
      </c>
      <c r="BJ126" s="28">
        <f>G126*H126</f>
        <v>0</v>
      </c>
      <c r="BK126" s="28"/>
      <c r="BL126" s="28">
        <v>11</v>
      </c>
      <c r="BW126" s="28">
        <v>21</v>
      </c>
    </row>
    <row r="127" spans="1:47" ht="15" customHeight="1">
      <c r="A127" s="3" t="s">
        <v>626</v>
      </c>
      <c r="B127" s="43" t="s">
        <v>803</v>
      </c>
      <c r="C127" s="43" t="s">
        <v>659</v>
      </c>
      <c r="D127" s="103" t="s">
        <v>229</v>
      </c>
      <c r="E127" s="104"/>
      <c r="F127" s="37" t="s">
        <v>836</v>
      </c>
      <c r="G127" s="37" t="s">
        <v>836</v>
      </c>
      <c r="H127" s="118" t="s">
        <v>836</v>
      </c>
      <c r="I127" s="119">
        <f>SUM(I128:I129)</f>
        <v>0</v>
      </c>
      <c r="K127" s="8"/>
      <c r="AI127" s="21" t="s">
        <v>803</v>
      </c>
      <c r="AS127" s="31">
        <f>SUM(AJ128:AJ129)</f>
        <v>0</v>
      </c>
      <c r="AT127" s="31">
        <f>SUM(AK128:AK129)</f>
        <v>0</v>
      </c>
      <c r="AU127" s="31">
        <f>SUM(AL128:AL129)</f>
        <v>0</v>
      </c>
    </row>
    <row r="128" spans="1:75" ht="13.5" customHeight="1">
      <c r="A128" s="38" t="s">
        <v>1</v>
      </c>
      <c r="B128" s="39" t="s">
        <v>803</v>
      </c>
      <c r="C128" s="39" t="s">
        <v>824</v>
      </c>
      <c r="D128" s="50" t="s">
        <v>159</v>
      </c>
      <c r="E128" s="51"/>
      <c r="F128" s="39" t="s">
        <v>869</v>
      </c>
      <c r="G128" s="28">
        <v>255.504</v>
      </c>
      <c r="H128" s="120">
        <v>0</v>
      </c>
      <c r="I128" s="120">
        <f>G128*H128</f>
        <v>0</v>
      </c>
      <c r="K128" s="8"/>
      <c r="Z128" s="28">
        <f>IF(AQ128="5",BJ128,0)</f>
        <v>0</v>
      </c>
      <c r="AB128" s="28">
        <f>IF(AQ128="1",BH128,0)</f>
        <v>0</v>
      </c>
      <c r="AC128" s="28">
        <f>IF(AQ128="1",BI128,0)</f>
        <v>0</v>
      </c>
      <c r="AD128" s="28">
        <f>IF(AQ128="7",BH128,0)</f>
        <v>0</v>
      </c>
      <c r="AE128" s="28">
        <f>IF(AQ128="7",BI128,0)</f>
        <v>0</v>
      </c>
      <c r="AF128" s="28">
        <f>IF(AQ128="2",BH128,0)</f>
        <v>0</v>
      </c>
      <c r="AG128" s="28">
        <f>IF(AQ128="2",BI128,0)</f>
        <v>0</v>
      </c>
      <c r="AH128" s="28">
        <f>IF(AQ128="0",BJ128,0)</f>
        <v>0</v>
      </c>
      <c r="AI128" s="21" t="s">
        <v>803</v>
      </c>
      <c r="AJ128" s="28">
        <f>IF(AN128=0,I128,0)</f>
        <v>0</v>
      </c>
      <c r="AK128" s="28">
        <f>IF(AN128=12,I128,0)</f>
        <v>0</v>
      </c>
      <c r="AL128" s="28">
        <f>IF(AN128=21,I128,0)</f>
        <v>0</v>
      </c>
      <c r="AN128" s="28">
        <v>21</v>
      </c>
      <c r="AO128" s="28">
        <f>H128*0</f>
        <v>0</v>
      </c>
      <c r="AP128" s="28">
        <f>H128*(1-0)</f>
        <v>0</v>
      </c>
      <c r="AQ128" s="30" t="s">
        <v>893</v>
      </c>
      <c r="AV128" s="28">
        <f>AW128+AX128</f>
        <v>0</v>
      </c>
      <c r="AW128" s="28">
        <f>G128*AO128</f>
        <v>0</v>
      </c>
      <c r="AX128" s="28">
        <f>G128*AP128</f>
        <v>0</v>
      </c>
      <c r="AY128" s="30" t="s">
        <v>436</v>
      </c>
      <c r="AZ128" s="30" t="s">
        <v>361</v>
      </c>
      <c r="BA128" s="21" t="s">
        <v>121</v>
      </c>
      <c r="BC128" s="28">
        <f>AW128+AX128</f>
        <v>0</v>
      </c>
      <c r="BD128" s="28">
        <f>H128/(100-BE128)*100</f>
        <v>0</v>
      </c>
      <c r="BE128" s="28">
        <v>0</v>
      </c>
      <c r="BF128" s="28">
        <f>128</f>
        <v>128</v>
      </c>
      <c r="BH128" s="28">
        <f>G128*AO128</f>
        <v>0</v>
      </c>
      <c r="BI128" s="28">
        <f>G128*AP128</f>
        <v>0</v>
      </c>
      <c r="BJ128" s="28">
        <f>G128*H128</f>
        <v>0</v>
      </c>
      <c r="BK128" s="28"/>
      <c r="BL128" s="28">
        <v>12</v>
      </c>
      <c r="BW128" s="28">
        <v>21</v>
      </c>
    </row>
    <row r="129" spans="1:75" ht="13.5" customHeight="1">
      <c r="A129" s="38" t="s">
        <v>816</v>
      </c>
      <c r="B129" s="39" t="s">
        <v>803</v>
      </c>
      <c r="C129" s="39" t="s">
        <v>58</v>
      </c>
      <c r="D129" s="50" t="s">
        <v>798</v>
      </c>
      <c r="E129" s="51"/>
      <c r="F129" s="39" t="s">
        <v>396</v>
      </c>
      <c r="G129" s="28">
        <v>255.504</v>
      </c>
      <c r="H129" s="120">
        <v>0</v>
      </c>
      <c r="I129" s="120">
        <f>G129*H129</f>
        <v>0</v>
      </c>
      <c r="K129" s="8"/>
      <c r="Z129" s="28">
        <f>IF(AQ129="5",BJ129,0)</f>
        <v>0</v>
      </c>
      <c r="AB129" s="28">
        <f>IF(AQ129="1",BH129,0)</f>
        <v>0</v>
      </c>
      <c r="AC129" s="28">
        <f>IF(AQ129="1",BI129,0)</f>
        <v>0</v>
      </c>
      <c r="AD129" s="28">
        <f>IF(AQ129="7",BH129,0)</f>
        <v>0</v>
      </c>
      <c r="AE129" s="28">
        <f>IF(AQ129="7",BI129,0)</f>
        <v>0</v>
      </c>
      <c r="AF129" s="28">
        <f>IF(AQ129="2",BH129,0)</f>
        <v>0</v>
      </c>
      <c r="AG129" s="28">
        <f>IF(AQ129="2",BI129,0)</f>
        <v>0</v>
      </c>
      <c r="AH129" s="28">
        <f>IF(AQ129="0",BJ129,0)</f>
        <v>0</v>
      </c>
      <c r="AI129" s="21" t="s">
        <v>803</v>
      </c>
      <c r="AJ129" s="28">
        <f>IF(AN129=0,I129,0)</f>
        <v>0</v>
      </c>
      <c r="AK129" s="28">
        <f>IF(AN129=12,I129,0)</f>
        <v>0</v>
      </c>
      <c r="AL129" s="28">
        <f>IF(AN129=21,I129,0)</f>
        <v>0</v>
      </c>
      <c r="AN129" s="28">
        <v>21</v>
      </c>
      <c r="AO129" s="28">
        <f>H129*0</f>
        <v>0</v>
      </c>
      <c r="AP129" s="28">
        <f>H129*(1-0)</f>
        <v>0</v>
      </c>
      <c r="AQ129" s="30" t="s">
        <v>893</v>
      </c>
      <c r="AV129" s="28">
        <f>AW129+AX129</f>
        <v>0</v>
      </c>
      <c r="AW129" s="28">
        <f>G129*AO129</f>
        <v>0</v>
      </c>
      <c r="AX129" s="28">
        <f>G129*AP129</f>
        <v>0</v>
      </c>
      <c r="AY129" s="30" t="s">
        <v>436</v>
      </c>
      <c r="AZ129" s="30" t="s">
        <v>361</v>
      </c>
      <c r="BA129" s="21" t="s">
        <v>121</v>
      </c>
      <c r="BC129" s="28">
        <f>AW129+AX129</f>
        <v>0</v>
      </c>
      <c r="BD129" s="28">
        <f>H129/(100-BE129)*100</f>
        <v>0</v>
      </c>
      <c r="BE129" s="28">
        <v>0</v>
      </c>
      <c r="BF129" s="28">
        <f>129</f>
        <v>129</v>
      </c>
      <c r="BH129" s="28">
        <f>G129*AO129</f>
        <v>0</v>
      </c>
      <c r="BI129" s="28">
        <f>G129*AP129</f>
        <v>0</v>
      </c>
      <c r="BJ129" s="28">
        <f>G129*H129</f>
        <v>0</v>
      </c>
      <c r="BK129" s="28"/>
      <c r="BL129" s="28">
        <v>12</v>
      </c>
      <c r="BW129" s="28">
        <v>21</v>
      </c>
    </row>
    <row r="130" spans="1:47" ht="15" customHeight="1">
      <c r="A130" s="3" t="s">
        <v>626</v>
      </c>
      <c r="B130" s="43" t="s">
        <v>803</v>
      </c>
      <c r="C130" s="43" t="s">
        <v>630</v>
      </c>
      <c r="D130" s="103" t="s">
        <v>125</v>
      </c>
      <c r="E130" s="104"/>
      <c r="F130" s="37" t="s">
        <v>836</v>
      </c>
      <c r="G130" s="37" t="s">
        <v>836</v>
      </c>
      <c r="H130" s="118" t="s">
        <v>836</v>
      </c>
      <c r="I130" s="119">
        <f>SUM(I131:I133)</f>
        <v>0</v>
      </c>
      <c r="K130" s="8"/>
      <c r="AI130" s="21" t="s">
        <v>803</v>
      </c>
      <c r="AS130" s="31">
        <f>SUM(AJ131:AJ133)</f>
        <v>0</v>
      </c>
      <c r="AT130" s="31">
        <f>SUM(AK131:AK133)</f>
        <v>0</v>
      </c>
      <c r="AU130" s="31">
        <f>SUM(AL131:AL133)</f>
        <v>0</v>
      </c>
    </row>
    <row r="131" spans="1:75" ht="13.5" customHeight="1">
      <c r="A131" s="38" t="s">
        <v>108</v>
      </c>
      <c r="B131" s="39" t="s">
        <v>803</v>
      </c>
      <c r="C131" s="39" t="s">
        <v>841</v>
      </c>
      <c r="D131" s="50" t="s">
        <v>263</v>
      </c>
      <c r="E131" s="51"/>
      <c r="F131" s="39" t="s">
        <v>869</v>
      </c>
      <c r="G131" s="28">
        <v>44.25</v>
      </c>
      <c r="H131" s="120">
        <v>0</v>
      </c>
      <c r="I131" s="120">
        <f>G131*H131</f>
        <v>0</v>
      </c>
      <c r="K131" s="8"/>
      <c r="Z131" s="28">
        <f>IF(AQ131="5",BJ131,0)</f>
        <v>0</v>
      </c>
      <c r="AB131" s="28">
        <f>IF(AQ131="1",BH131,0)</f>
        <v>0</v>
      </c>
      <c r="AC131" s="28">
        <f>IF(AQ131="1",BI131,0)</f>
        <v>0</v>
      </c>
      <c r="AD131" s="28">
        <f>IF(AQ131="7",BH131,0)</f>
        <v>0</v>
      </c>
      <c r="AE131" s="28">
        <f>IF(AQ131="7",BI131,0)</f>
        <v>0</v>
      </c>
      <c r="AF131" s="28">
        <f>IF(AQ131="2",BH131,0)</f>
        <v>0</v>
      </c>
      <c r="AG131" s="28">
        <f>IF(AQ131="2",BI131,0)</f>
        <v>0</v>
      </c>
      <c r="AH131" s="28">
        <f>IF(AQ131="0",BJ131,0)</f>
        <v>0</v>
      </c>
      <c r="AI131" s="21" t="s">
        <v>803</v>
      </c>
      <c r="AJ131" s="28">
        <f>IF(AN131=0,I131,0)</f>
        <v>0</v>
      </c>
      <c r="AK131" s="28">
        <f>IF(AN131=12,I131,0)</f>
        <v>0</v>
      </c>
      <c r="AL131" s="28">
        <f>IF(AN131=21,I131,0)</f>
        <v>0</v>
      </c>
      <c r="AN131" s="28">
        <v>21</v>
      </c>
      <c r="AO131" s="28">
        <f>H131*0.464157782515992</f>
        <v>0</v>
      </c>
      <c r="AP131" s="28">
        <f>H131*(1-0.464157782515992)</f>
        <v>0</v>
      </c>
      <c r="AQ131" s="30" t="s">
        <v>893</v>
      </c>
      <c r="AV131" s="28">
        <f>AW131+AX131</f>
        <v>0</v>
      </c>
      <c r="AW131" s="28">
        <f>G131*AO131</f>
        <v>0</v>
      </c>
      <c r="AX131" s="28">
        <f>G131*AP131</f>
        <v>0</v>
      </c>
      <c r="AY131" s="30" t="s">
        <v>185</v>
      </c>
      <c r="AZ131" s="30" t="s">
        <v>361</v>
      </c>
      <c r="BA131" s="21" t="s">
        <v>121</v>
      </c>
      <c r="BC131" s="28">
        <f>AW131+AX131</f>
        <v>0</v>
      </c>
      <c r="BD131" s="28">
        <f>H131/(100-BE131)*100</f>
        <v>0</v>
      </c>
      <c r="BE131" s="28">
        <v>0</v>
      </c>
      <c r="BF131" s="28">
        <f>131</f>
        <v>131</v>
      </c>
      <c r="BH131" s="28">
        <f>G131*AO131</f>
        <v>0</v>
      </c>
      <c r="BI131" s="28">
        <f>G131*AP131</f>
        <v>0</v>
      </c>
      <c r="BJ131" s="28">
        <f>G131*H131</f>
        <v>0</v>
      </c>
      <c r="BK131" s="28"/>
      <c r="BL131" s="28">
        <v>17</v>
      </c>
      <c r="BW131" s="28">
        <v>21</v>
      </c>
    </row>
    <row r="132" spans="1:75" ht="13.5" customHeight="1">
      <c r="A132" s="38" t="s">
        <v>349</v>
      </c>
      <c r="B132" s="39" t="s">
        <v>803</v>
      </c>
      <c r="C132" s="39" t="s">
        <v>789</v>
      </c>
      <c r="D132" s="50" t="s">
        <v>126</v>
      </c>
      <c r="E132" s="51"/>
      <c r="F132" s="39" t="s">
        <v>869</v>
      </c>
      <c r="G132" s="28">
        <v>147.5</v>
      </c>
      <c r="H132" s="120">
        <v>0</v>
      </c>
      <c r="I132" s="120">
        <f>G132*H132</f>
        <v>0</v>
      </c>
      <c r="K132" s="8"/>
      <c r="Z132" s="28">
        <f>IF(AQ132="5",BJ132,0)</f>
        <v>0</v>
      </c>
      <c r="AB132" s="28">
        <f>IF(AQ132="1",BH132,0)</f>
        <v>0</v>
      </c>
      <c r="AC132" s="28">
        <f>IF(AQ132="1",BI132,0)</f>
        <v>0</v>
      </c>
      <c r="AD132" s="28">
        <f>IF(AQ132="7",BH132,0)</f>
        <v>0</v>
      </c>
      <c r="AE132" s="28">
        <f>IF(AQ132="7",BI132,0)</f>
        <v>0</v>
      </c>
      <c r="AF132" s="28">
        <f>IF(AQ132="2",BH132,0)</f>
        <v>0</v>
      </c>
      <c r="AG132" s="28">
        <f>IF(AQ132="2",BI132,0)</f>
        <v>0</v>
      </c>
      <c r="AH132" s="28">
        <f>IF(AQ132="0",BJ132,0)</f>
        <v>0</v>
      </c>
      <c r="AI132" s="21" t="s">
        <v>803</v>
      </c>
      <c r="AJ132" s="28">
        <f>IF(AN132=0,I132,0)</f>
        <v>0</v>
      </c>
      <c r="AK132" s="28">
        <f>IF(AN132=12,I132,0)</f>
        <v>0</v>
      </c>
      <c r="AL132" s="28">
        <f>IF(AN132=21,I132,0)</f>
        <v>0</v>
      </c>
      <c r="AN132" s="28">
        <v>21</v>
      </c>
      <c r="AO132" s="28">
        <f>H132*0.517505126452495</f>
        <v>0</v>
      </c>
      <c r="AP132" s="28">
        <f>H132*(1-0.517505126452495)</f>
        <v>0</v>
      </c>
      <c r="AQ132" s="30" t="s">
        <v>893</v>
      </c>
      <c r="AV132" s="28">
        <f>AW132+AX132</f>
        <v>0</v>
      </c>
      <c r="AW132" s="28">
        <f>G132*AO132</f>
        <v>0</v>
      </c>
      <c r="AX132" s="28">
        <f>G132*AP132</f>
        <v>0</v>
      </c>
      <c r="AY132" s="30" t="s">
        <v>185</v>
      </c>
      <c r="AZ132" s="30" t="s">
        <v>361</v>
      </c>
      <c r="BA132" s="21" t="s">
        <v>121</v>
      </c>
      <c r="BC132" s="28">
        <f>AW132+AX132</f>
        <v>0</v>
      </c>
      <c r="BD132" s="28">
        <f>H132/(100-BE132)*100</f>
        <v>0</v>
      </c>
      <c r="BE132" s="28">
        <v>0</v>
      </c>
      <c r="BF132" s="28">
        <f>132</f>
        <v>132</v>
      </c>
      <c r="BH132" s="28">
        <f>G132*AO132</f>
        <v>0</v>
      </c>
      <c r="BI132" s="28">
        <f>G132*AP132</f>
        <v>0</v>
      </c>
      <c r="BJ132" s="28">
        <f>G132*H132</f>
        <v>0</v>
      </c>
      <c r="BK132" s="28"/>
      <c r="BL132" s="28">
        <v>17</v>
      </c>
      <c r="BW132" s="28">
        <v>21</v>
      </c>
    </row>
    <row r="133" spans="1:75" ht="13.5" customHeight="1">
      <c r="A133" s="38" t="s">
        <v>480</v>
      </c>
      <c r="B133" s="39" t="s">
        <v>803</v>
      </c>
      <c r="C133" s="39" t="s">
        <v>124</v>
      </c>
      <c r="D133" s="50" t="s">
        <v>872</v>
      </c>
      <c r="E133" s="51"/>
      <c r="F133" s="39" t="s">
        <v>869</v>
      </c>
      <c r="G133" s="28">
        <v>63.75</v>
      </c>
      <c r="H133" s="120">
        <v>0</v>
      </c>
      <c r="I133" s="120">
        <f>G133*H133</f>
        <v>0</v>
      </c>
      <c r="K133" s="8"/>
      <c r="Z133" s="28">
        <f>IF(AQ133="5",BJ133,0)</f>
        <v>0</v>
      </c>
      <c r="AB133" s="28">
        <f>IF(AQ133="1",BH133,0)</f>
        <v>0</v>
      </c>
      <c r="AC133" s="28">
        <f>IF(AQ133="1",BI133,0)</f>
        <v>0</v>
      </c>
      <c r="AD133" s="28">
        <f>IF(AQ133="7",BH133,0)</f>
        <v>0</v>
      </c>
      <c r="AE133" s="28">
        <f>IF(AQ133="7",BI133,0)</f>
        <v>0</v>
      </c>
      <c r="AF133" s="28">
        <f>IF(AQ133="2",BH133,0)</f>
        <v>0</v>
      </c>
      <c r="AG133" s="28">
        <f>IF(AQ133="2",BI133,0)</f>
        <v>0</v>
      </c>
      <c r="AH133" s="28">
        <f>IF(AQ133="0",BJ133,0)</f>
        <v>0</v>
      </c>
      <c r="AI133" s="21" t="s">
        <v>803</v>
      </c>
      <c r="AJ133" s="28">
        <f>IF(AN133=0,I133,0)</f>
        <v>0</v>
      </c>
      <c r="AK133" s="28">
        <f>IF(AN133=12,I133,0)</f>
        <v>0</v>
      </c>
      <c r="AL133" s="28">
        <f>IF(AN133=21,I133,0)</f>
        <v>0</v>
      </c>
      <c r="AN133" s="28">
        <v>21</v>
      </c>
      <c r="AO133" s="28">
        <f>H133*0</f>
        <v>0</v>
      </c>
      <c r="AP133" s="28">
        <f>H133*(1-0)</f>
        <v>0</v>
      </c>
      <c r="AQ133" s="30" t="s">
        <v>893</v>
      </c>
      <c r="AV133" s="28">
        <f>AW133+AX133</f>
        <v>0</v>
      </c>
      <c r="AW133" s="28">
        <f>G133*AO133</f>
        <v>0</v>
      </c>
      <c r="AX133" s="28">
        <f>G133*AP133</f>
        <v>0</v>
      </c>
      <c r="AY133" s="30" t="s">
        <v>185</v>
      </c>
      <c r="AZ133" s="30" t="s">
        <v>361</v>
      </c>
      <c r="BA133" s="21" t="s">
        <v>121</v>
      </c>
      <c r="BC133" s="28">
        <f>AW133+AX133</f>
        <v>0</v>
      </c>
      <c r="BD133" s="28">
        <f>H133/(100-BE133)*100</f>
        <v>0</v>
      </c>
      <c r="BE133" s="28">
        <v>0</v>
      </c>
      <c r="BF133" s="28">
        <f>133</f>
        <v>133</v>
      </c>
      <c r="BH133" s="28">
        <f>G133*AO133</f>
        <v>0</v>
      </c>
      <c r="BI133" s="28">
        <f>G133*AP133</f>
        <v>0</v>
      </c>
      <c r="BJ133" s="28">
        <f>G133*H133</f>
        <v>0</v>
      </c>
      <c r="BK133" s="28"/>
      <c r="BL133" s="28">
        <v>17</v>
      </c>
      <c r="BW133" s="28">
        <v>21</v>
      </c>
    </row>
    <row r="134" spans="1:47" ht="15" customHeight="1">
      <c r="A134" s="3" t="s">
        <v>626</v>
      </c>
      <c r="B134" s="43" t="s">
        <v>803</v>
      </c>
      <c r="C134" s="43" t="s">
        <v>718</v>
      </c>
      <c r="D134" s="103" t="s">
        <v>913</v>
      </c>
      <c r="E134" s="104"/>
      <c r="F134" s="37" t="s">
        <v>836</v>
      </c>
      <c r="G134" s="37" t="s">
        <v>836</v>
      </c>
      <c r="H134" s="118" t="s">
        <v>836</v>
      </c>
      <c r="I134" s="119">
        <f>SUM(I135:I135)</f>
        <v>0</v>
      </c>
      <c r="K134" s="8"/>
      <c r="AI134" s="21" t="s">
        <v>803</v>
      </c>
      <c r="AS134" s="31">
        <f>SUM(AJ135:AJ135)</f>
        <v>0</v>
      </c>
      <c r="AT134" s="31">
        <f>SUM(AK135:AK135)</f>
        <v>0</v>
      </c>
      <c r="AU134" s="31">
        <f>SUM(AL135:AL135)</f>
        <v>0</v>
      </c>
    </row>
    <row r="135" spans="1:75" ht="13.5" customHeight="1">
      <c r="A135" s="38" t="s">
        <v>106</v>
      </c>
      <c r="B135" s="39" t="s">
        <v>803</v>
      </c>
      <c r="C135" s="39" t="s">
        <v>531</v>
      </c>
      <c r="D135" s="50" t="s">
        <v>140</v>
      </c>
      <c r="E135" s="51"/>
      <c r="F135" s="39" t="s">
        <v>882</v>
      </c>
      <c r="G135" s="28">
        <v>825</v>
      </c>
      <c r="H135" s="120">
        <v>0</v>
      </c>
      <c r="I135" s="120">
        <f>G135*H135</f>
        <v>0</v>
      </c>
      <c r="K135" s="8"/>
      <c r="Z135" s="28">
        <f>IF(AQ135="5",BJ135,0)</f>
        <v>0</v>
      </c>
      <c r="AB135" s="28">
        <f>IF(AQ135="1",BH135,0)</f>
        <v>0</v>
      </c>
      <c r="AC135" s="28">
        <f>IF(AQ135="1",BI135,0)</f>
        <v>0</v>
      </c>
      <c r="AD135" s="28">
        <f>IF(AQ135="7",BH135,0)</f>
        <v>0</v>
      </c>
      <c r="AE135" s="28">
        <f>IF(AQ135="7",BI135,0)</f>
        <v>0</v>
      </c>
      <c r="AF135" s="28">
        <f>IF(AQ135="2",BH135,0)</f>
        <v>0</v>
      </c>
      <c r="AG135" s="28">
        <f>IF(AQ135="2",BI135,0)</f>
        <v>0</v>
      </c>
      <c r="AH135" s="28">
        <f>IF(AQ135="0",BJ135,0)</f>
        <v>0</v>
      </c>
      <c r="AI135" s="21" t="s">
        <v>803</v>
      </c>
      <c r="AJ135" s="28">
        <f>IF(AN135=0,I135,0)</f>
        <v>0</v>
      </c>
      <c r="AK135" s="28">
        <f>IF(AN135=12,I135,0)</f>
        <v>0</v>
      </c>
      <c r="AL135" s="28">
        <f>IF(AN135=21,I135,0)</f>
        <v>0</v>
      </c>
      <c r="AN135" s="28">
        <v>21</v>
      </c>
      <c r="AO135" s="28">
        <f>H135*0</f>
        <v>0</v>
      </c>
      <c r="AP135" s="28">
        <f>H135*(1-0)</f>
        <v>0</v>
      </c>
      <c r="AQ135" s="30" t="s">
        <v>893</v>
      </c>
      <c r="AV135" s="28">
        <f>AW135+AX135</f>
        <v>0</v>
      </c>
      <c r="AW135" s="28">
        <f>G135*AO135</f>
        <v>0</v>
      </c>
      <c r="AX135" s="28">
        <f>G135*AP135</f>
        <v>0</v>
      </c>
      <c r="AY135" s="30" t="s">
        <v>426</v>
      </c>
      <c r="AZ135" s="30" t="s">
        <v>361</v>
      </c>
      <c r="BA135" s="21" t="s">
        <v>121</v>
      </c>
      <c r="BC135" s="28">
        <f>AW135+AX135</f>
        <v>0</v>
      </c>
      <c r="BD135" s="28">
        <f>H135/(100-BE135)*100</f>
        <v>0</v>
      </c>
      <c r="BE135" s="28">
        <v>0</v>
      </c>
      <c r="BF135" s="28">
        <f>135</f>
        <v>135</v>
      </c>
      <c r="BH135" s="28">
        <f>G135*AO135</f>
        <v>0</v>
      </c>
      <c r="BI135" s="28">
        <f>G135*AP135</f>
        <v>0</v>
      </c>
      <c r="BJ135" s="28">
        <f>G135*H135</f>
        <v>0</v>
      </c>
      <c r="BK135" s="28"/>
      <c r="BL135" s="28">
        <v>18</v>
      </c>
      <c r="BW135" s="28">
        <v>21</v>
      </c>
    </row>
    <row r="136" spans="1:47" ht="15" customHeight="1">
      <c r="A136" s="3" t="s">
        <v>626</v>
      </c>
      <c r="B136" s="43" t="s">
        <v>803</v>
      </c>
      <c r="C136" s="43" t="s">
        <v>537</v>
      </c>
      <c r="D136" s="103" t="s">
        <v>607</v>
      </c>
      <c r="E136" s="104"/>
      <c r="F136" s="37" t="s">
        <v>836</v>
      </c>
      <c r="G136" s="37" t="s">
        <v>836</v>
      </c>
      <c r="H136" s="118" t="s">
        <v>836</v>
      </c>
      <c r="I136" s="119">
        <f>SUM(I137:I137)</f>
        <v>0</v>
      </c>
      <c r="K136" s="8"/>
      <c r="AI136" s="21" t="s">
        <v>803</v>
      </c>
      <c r="AS136" s="31">
        <f>SUM(AJ137:AJ137)</f>
        <v>0</v>
      </c>
      <c r="AT136" s="31">
        <f>SUM(AK137:AK137)</f>
        <v>0</v>
      </c>
      <c r="AU136" s="31">
        <f>SUM(AL137:AL137)</f>
        <v>0</v>
      </c>
    </row>
    <row r="137" spans="1:75" ht="27" customHeight="1">
      <c r="A137" s="38" t="s">
        <v>635</v>
      </c>
      <c r="B137" s="39" t="s">
        <v>803</v>
      </c>
      <c r="C137" s="39" t="s">
        <v>511</v>
      </c>
      <c r="D137" s="50" t="s">
        <v>697</v>
      </c>
      <c r="E137" s="51"/>
      <c r="F137" s="39" t="s">
        <v>869</v>
      </c>
      <c r="G137" s="28">
        <v>2.4</v>
      </c>
      <c r="H137" s="120">
        <v>0</v>
      </c>
      <c r="I137" s="120">
        <f>G137*H137</f>
        <v>0</v>
      </c>
      <c r="K137" s="8"/>
      <c r="Z137" s="28">
        <f>IF(AQ137="5",BJ137,0)</f>
        <v>0</v>
      </c>
      <c r="AB137" s="28">
        <f>IF(AQ137="1",BH137,0)</f>
        <v>0</v>
      </c>
      <c r="AC137" s="28">
        <f>IF(AQ137="1",BI137,0)</f>
        <v>0</v>
      </c>
      <c r="AD137" s="28">
        <f>IF(AQ137="7",BH137,0)</f>
        <v>0</v>
      </c>
      <c r="AE137" s="28">
        <f>IF(AQ137="7",BI137,0)</f>
        <v>0</v>
      </c>
      <c r="AF137" s="28">
        <f>IF(AQ137="2",BH137,0)</f>
        <v>0</v>
      </c>
      <c r="AG137" s="28">
        <f>IF(AQ137="2",BI137,0)</f>
        <v>0</v>
      </c>
      <c r="AH137" s="28">
        <f>IF(AQ137="0",BJ137,0)</f>
        <v>0</v>
      </c>
      <c r="AI137" s="21" t="s">
        <v>803</v>
      </c>
      <c r="AJ137" s="28">
        <f>IF(AN137=0,I137,0)</f>
        <v>0</v>
      </c>
      <c r="AK137" s="28">
        <f>IF(AN137=12,I137,0)</f>
        <v>0</v>
      </c>
      <c r="AL137" s="28">
        <f>IF(AN137=21,I137,0)</f>
        <v>0</v>
      </c>
      <c r="AN137" s="28">
        <v>21</v>
      </c>
      <c r="AO137" s="28">
        <f>H137*0.471069746376812</f>
        <v>0</v>
      </c>
      <c r="AP137" s="28">
        <f>H137*(1-0.471069746376812)</f>
        <v>0</v>
      </c>
      <c r="AQ137" s="30" t="s">
        <v>893</v>
      </c>
      <c r="AV137" s="28">
        <f>AW137+AX137</f>
        <v>0</v>
      </c>
      <c r="AW137" s="28">
        <f>G137*AO137</f>
        <v>0</v>
      </c>
      <c r="AX137" s="28">
        <f>G137*AP137</f>
        <v>0</v>
      </c>
      <c r="AY137" s="30" t="s">
        <v>530</v>
      </c>
      <c r="AZ137" s="30" t="s">
        <v>671</v>
      </c>
      <c r="BA137" s="21" t="s">
        <v>121</v>
      </c>
      <c r="BC137" s="28">
        <f>AW137+AX137</f>
        <v>0</v>
      </c>
      <c r="BD137" s="28">
        <f>H137/(100-BE137)*100</f>
        <v>0</v>
      </c>
      <c r="BE137" s="28">
        <v>0</v>
      </c>
      <c r="BF137" s="28">
        <f>137</f>
        <v>137</v>
      </c>
      <c r="BH137" s="28">
        <f>G137*AO137</f>
        <v>0</v>
      </c>
      <c r="BI137" s="28">
        <f>G137*AP137</f>
        <v>0</v>
      </c>
      <c r="BJ137" s="28">
        <f>G137*H137</f>
        <v>0</v>
      </c>
      <c r="BK137" s="28"/>
      <c r="BL137" s="28">
        <v>38</v>
      </c>
      <c r="BW137" s="28">
        <v>21</v>
      </c>
    </row>
    <row r="138" spans="1:47" ht="15" customHeight="1">
      <c r="A138" s="3" t="s">
        <v>626</v>
      </c>
      <c r="B138" s="43" t="s">
        <v>803</v>
      </c>
      <c r="C138" s="43" t="s">
        <v>392</v>
      </c>
      <c r="D138" s="103" t="s">
        <v>850</v>
      </c>
      <c r="E138" s="104"/>
      <c r="F138" s="37" t="s">
        <v>836</v>
      </c>
      <c r="G138" s="37" t="s">
        <v>836</v>
      </c>
      <c r="H138" s="118" t="s">
        <v>836</v>
      </c>
      <c r="I138" s="119">
        <f>SUM(I139:I139)</f>
        <v>0</v>
      </c>
      <c r="K138" s="8"/>
      <c r="AI138" s="21" t="s">
        <v>803</v>
      </c>
      <c r="AS138" s="31">
        <f>SUM(AJ139:AJ139)</f>
        <v>0</v>
      </c>
      <c r="AT138" s="31">
        <f>SUM(AK139:AK139)</f>
        <v>0</v>
      </c>
      <c r="AU138" s="31">
        <f>SUM(AL139:AL139)</f>
        <v>0</v>
      </c>
    </row>
    <row r="139" spans="1:75" ht="13.5" customHeight="1">
      <c r="A139" s="38" t="s">
        <v>408</v>
      </c>
      <c r="B139" s="39" t="s">
        <v>803</v>
      </c>
      <c r="C139" s="39" t="s">
        <v>933</v>
      </c>
      <c r="D139" s="50" t="s">
        <v>144</v>
      </c>
      <c r="E139" s="51"/>
      <c r="F139" s="39" t="s">
        <v>882</v>
      </c>
      <c r="G139" s="28">
        <v>608</v>
      </c>
      <c r="H139" s="120">
        <v>0</v>
      </c>
      <c r="I139" s="120">
        <f>G139*H139</f>
        <v>0</v>
      </c>
      <c r="K139" s="8"/>
      <c r="Z139" s="28">
        <f>IF(AQ139="5",BJ139,0)</f>
        <v>0</v>
      </c>
      <c r="AB139" s="28">
        <f>IF(AQ139="1",BH139,0)</f>
        <v>0</v>
      </c>
      <c r="AC139" s="28">
        <f>IF(AQ139="1",BI139,0)</f>
        <v>0</v>
      </c>
      <c r="AD139" s="28">
        <f>IF(AQ139="7",BH139,0)</f>
        <v>0</v>
      </c>
      <c r="AE139" s="28">
        <f>IF(AQ139="7",BI139,0)</f>
        <v>0</v>
      </c>
      <c r="AF139" s="28">
        <f>IF(AQ139="2",BH139,0)</f>
        <v>0</v>
      </c>
      <c r="AG139" s="28">
        <f>IF(AQ139="2",BI139,0)</f>
        <v>0</v>
      </c>
      <c r="AH139" s="28">
        <f>IF(AQ139="0",BJ139,0)</f>
        <v>0</v>
      </c>
      <c r="AI139" s="21" t="s">
        <v>803</v>
      </c>
      <c r="AJ139" s="28">
        <f>IF(AN139=0,I139,0)</f>
        <v>0</v>
      </c>
      <c r="AK139" s="28">
        <f>IF(AN139=12,I139,0)</f>
        <v>0</v>
      </c>
      <c r="AL139" s="28">
        <f>IF(AN139=21,I139,0)</f>
        <v>0</v>
      </c>
      <c r="AN139" s="28">
        <v>21</v>
      </c>
      <c r="AO139" s="28">
        <f>H139*0.511925814936046</f>
        <v>0</v>
      </c>
      <c r="AP139" s="28">
        <f>H139*(1-0.511925814936046)</f>
        <v>0</v>
      </c>
      <c r="AQ139" s="30" t="s">
        <v>893</v>
      </c>
      <c r="AV139" s="28">
        <f>AW139+AX139</f>
        <v>0</v>
      </c>
      <c r="AW139" s="28">
        <f>G139*AO139</f>
        <v>0</v>
      </c>
      <c r="AX139" s="28">
        <f>G139*AP139</f>
        <v>0</v>
      </c>
      <c r="AY139" s="30" t="s">
        <v>885</v>
      </c>
      <c r="AZ139" s="30" t="s">
        <v>972</v>
      </c>
      <c r="BA139" s="21" t="s">
        <v>121</v>
      </c>
      <c r="BC139" s="28">
        <f>AW139+AX139</f>
        <v>0</v>
      </c>
      <c r="BD139" s="28">
        <f>H139/(100-BE139)*100</f>
        <v>0</v>
      </c>
      <c r="BE139" s="28">
        <v>0</v>
      </c>
      <c r="BF139" s="28">
        <f>139</f>
        <v>139</v>
      </c>
      <c r="BH139" s="28">
        <f>G139*AO139</f>
        <v>0</v>
      </c>
      <c r="BI139" s="28">
        <f>G139*AP139</f>
        <v>0</v>
      </c>
      <c r="BJ139" s="28">
        <f>G139*H139</f>
        <v>0</v>
      </c>
      <c r="BK139" s="28"/>
      <c r="BL139" s="28">
        <v>59</v>
      </c>
      <c r="BW139" s="28">
        <v>21</v>
      </c>
    </row>
    <row r="140" spans="1:47" ht="15" customHeight="1">
      <c r="A140" s="3" t="s">
        <v>626</v>
      </c>
      <c r="B140" s="43" t="s">
        <v>803</v>
      </c>
      <c r="C140" s="43" t="s">
        <v>922</v>
      </c>
      <c r="D140" s="103" t="s">
        <v>754</v>
      </c>
      <c r="E140" s="104"/>
      <c r="F140" s="37" t="s">
        <v>836</v>
      </c>
      <c r="G140" s="37" t="s">
        <v>836</v>
      </c>
      <c r="H140" s="118" t="s">
        <v>836</v>
      </c>
      <c r="I140" s="119">
        <f>SUM(I141:I155)</f>
        <v>0</v>
      </c>
      <c r="K140" s="8"/>
      <c r="AI140" s="21" t="s">
        <v>803</v>
      </c>
      <c r="AS140" s="31">
        <f>SUM(AJ141:AJ155)</f>
        <v>0</v>
      </c>
      <c r="AT140" s="31">
        <f>SUM(AK141:AK155)</f>
        <v>0</v>
      </c>
      <c r="AU140" s="31">
        <f>SUM(AL141:AL155)</f>
        <v>0</v>
      </c>
    </row>
    <row r="141" spans="1:75" ht="13.5" customHeight="1">
      <c r="A141" s="38" t="s">
        <v>733</v>
      </c>
      <c r="B141" s="39" t="s">
        <v>803</v>
      </c>
      <c r="C141" s="39" t="s">
        <v>57</v>
      </c>
      <c r="D141" s="50" t="s">
        <v>504</v>
      </c>
      <c r="E141" s="51"/>
      <c r="F141" s="39" t="s">
        <v>741</v>
      </c>
      <c r="G141" s="28">
        <v>1076</v>
      </c>
      <c r="H141" s="120">
        <v>0</v>
      </c>
      <c r="I141" s="120">
        <f aca="true" t="shared" si="100" ref="I141:I155">G141*H141</f>
        <v>0</v>
      </c>
      <c r="K141" s="8"/>
      <c r="Z141" s="28">
        <f aca="true" t="shared" si="101" ref="Z141:Z155">IF(AQ141="5",BJ141,0)</f>
        <v>0</v>
      </c>
      <c r="AB141" s="28">
        <f aca="true" t="shared" si="102" ref="AB141:AB155">IF(AQ141="1",BH141,0)</f>
        <v>0</v>
      </c>
      <c r="AC141" s="28">
        <f aca="true" t="shared" si="103" ref="AC141:AC155">IF(AQ141="1",BI141,0)</f>
        <v>0</v>
      </c>
      <c r="AD141" s="28">
        <f aca="true" t="shared" si="104" ref="AD141:AD155">IF(AQ141="7",BH141,0)</f>
        <v>0</v>
      </c>
      <c r="AE141" s="28">
        <f aca="true" t="shared" si="105" ref="AE141:AE155">IF(AQ141="7",BI141,0)</f>
        <v>0</v>
      </c>
      <c r="AF141" s="28">
        <f aca="true" t="shared" si="106" ref="AF141:AF155">IF(AQ141="2",BH141,0)</f>
        <v>0</v>
      </c>
      <c r="AG141" s="28">
        <f aca="true" t="shared" si="107" ref="AG141:AG155">IF(AQ141="2",BI141,0)</f>
        <v>0</v>
      </c>
      <c r="AH141" s="28">
        <f aca="true" t="shared" si="108" ref="AH141:AH155">IF(AQ141="0",BJ141,0)</f>
        <v>0</v>
      </c>
      <c r="AI141" s="21" t="s">
        <v>803</v>
      </c>
      <c r="AJ141" s="28">
        <f aca="true" t="shared" si="109" ref="AJ141:AJ155">IF(AN141=0,I141,0)</f>
        <v>0</v>
      </c>
      <c r="AK141" s="28">
        <f aca="true" t="shared" si="110" ref="AK141:AK155">IF(AN141=12,I141,0)</f>
        <v>0</v>
      </c>
      <c r="AL141" s="28">
        <f aca="true" t="shared" si="111" ref="AL141:AL155">IF(AN141=21,I141,0)</f>
        <v>0</v>
      </c>
      <c r="AN141" s="28">
        <v>21</v>
      </c>
      <c r="AO141" s="28">
        <f>H141*0.383928571428571</f>
        <v>0</v>
      </c>
      <c r="AP141" s="28">
        <f>H141*(1-0.383928571428571)</f>
        <v>0</v>
      </c>
      <c r="AQ141" s="30" t="s">
        <v>900</v>
      </c>
      <c r="AV141" s="28">
        <f aca="true" t="shared" si="112" ref="AV141:AV155">AW141+AX141</f>
        <v>0</v>
      </c>
      <c r="AW141" s="28">
        <f aca="true" t="shared" si="113" ref="AW141:AW155">G141*AO141</f>
        <v>0</v>
      </c>
      <c r="AX141" s="28">
        <f aca="true" t="shared" si="114" ref="AX141:AX155">G141*AP141</f>
        <v>0</v>
      </c>
      <c r="AY141" s="30" t="s">
        <v>92</v>
      </c>
      <c r="AZ141" s="30" t="s">
        <v>551</v>
      </c>
      <c r="BA141" s="21" t="s">
        <v>121</v>
      </c>
      <c r="BC141" s="28">
        <f aca="true" t="shared" si="115" ref="BC141:BC155">AW141+AX141</f>
        <v>0</v>
      </c>
      <c r="BD141" s="28">
        <f aca="true" t="shared" si="116" ref="BD141:BD155">H141/(100-BE141)*100</f>
        <v>0</v>
      </c>
      <c r="BE141" s="28">
        <v>0</v>
      </c>
      <c r="BF141" s="28">
        <f>141</f>
        <v>141</v>
      </c>
      <c r="BH141" s="28">
        <f aca="true" t="shared" si="117" ref="BH141:BH155">G141*AO141</f>
        <v>0</v>
      </c>
      <c r="BI141" s="28">
        <f aca="true" t="shared" si="118" ref="BI141:BI155">G141*AP141</f>
        <v>0</v>
      </c>
      <c r="BJ141" s="28">
        <f aca="true" t="shared" si="119" ref="BJ141:BJ155">G141*H141</f>
        <v>0</v>
      </c>
      <c r="BK141" s="28"/>
      <c r="BL141" s="28">
        <v>733</v>
      </c>
      <c r="BW141" s="28">
        <v>21</v>
      </c>
    </row>
    <row r="142" spans="1:75" ht="13.5" customHeight="1">
      <c r="A142" s="38" t="s">
        <v>826</v>
      </c>
      <c r="B142" s="39" t="s">
        <v>803</v>
      </c>
      <c r="C142" s="39" t="s">
        <v>831</v>
      </c>
      <c r="D142" s="50" t="s">
        <v>795</v>
      </c>
      <c r="E142" s="51"/>
      <c r="F142" s="39" t="s">
        <v>741</v>
      </c>
      <c r="G142" s="28">
        <v>1076</v>
      </c>
      <c r="H142" s="120">
        <v>0</v>
      </c>
      <c r="I142" s="120">
        <f t="shared" si="100"/>
        <v>0</v>
      </c>
      <c r="K142" s="8"/>
      <c r="Z142" s="28">
        <f t="shared" si="101"/>
        <v>0</v>
      </c>
      <c r="AB142" s="28">
        <f t="shared" si="102"/>
        <v>0</v>
      </c>
      <c r="AC142" s="28">
        <f t="shared" si="103"/>
        <v>0</v>
      </c>
      <c r="AD142" s="28">
        <f t="shared" si="104"/>
        <v>0</v>
      </c>
      <c r="AE142" s="28">
        <f t="shared" si="105"/>
        <v>0</v>
      </c>
      <c r="AF142" s="28">
        <f t="shared" si="106"/>
        <v>0</v>
      </c>
      <c r="AG142" s="28">
        <f t="shared" si="107"/>
        <v>0</v>
      </c>
      <c r="AH142" s="28">
        <f t="shared" si="108"/>
        <v>0</v>
      </c>
      <c r="AI142" s="21" t="s">
        <v>803</v>
      </c>
      <c r="AJ142" s="28">
        <f t="shared" si="109"/>
        <v>0</v>
      </c>
      <c r="AK142" s="28">
        <f t="shared" si="110"/>
        <v>0</v>
      </c>
      <c r="AL142" s="28">
        <f t="shared" si="111"/>
        <v>0</v>
      </c>
      <c r="AN142" s="28">
        <v>21</v>
      </c>
      <c r="AO142" s="28">
        <f>H142*0.212764227642276</f>
        <v>0</v>
      </c>
      <c r="AP142" s="28">
        <f>H142*(1-0.212764227642276)</f>
        <v>0</v>
      </c>
      <c r="AQ142" s="30" t="s">
        <v>900</v>
      </c>
      <c r="AV142" s="28">
        <f t="shared" si="112"/>
        <v>0</v>
      </c>
      <c r="AW142" s="28">
        <f t="shared" si="113"/>
        <v>0</v>
      </c>
      <c r="AX142" s="28">
        <f t="shared" si="114"/>
        <v>0</v>
      </c>
      <c r="AY142" s="30" t="s">
        <v>92</v>
      </c>
      <c r="AZ142" s="30" t="s">
        <v>551</v>
      </c>
      <c r="BA142" s="21" t="s">
        <v>121</v>
      </c>
      <c r="BC142" s="28">
        <f t="shared" si="115"/>
        <v>0</v>
      </c>
      <c r="BD142" s="28">
        <f t="shared" si="116"/>
        <v>0</v>
      </c>
      <c r="BE142" s="28">
        <v>0</v>
      </c>
      <c r="BF142" s="28">
        <f>142</f>
        <v>142</v>
      </c>
      <c r="BH142" s="28">
        <f t="shared" si="117"/>
        <v>0</v>
      </c>
      <c r="BI142" s="28">
        <f t="shared" si="118"/>
        <v>0</v>
      </c>
      <c r="BJ142" s="28">
        <f t="shared" si="119"/>
        <v>0</v>
      </c>
      <c r="BK142" s="28"/>
      <c r="BL142" s="28">
        <v>733</v>
      </c>
      <c r="BW142" s="28">
        <v>21</v>
      </c>
    </row>
    <row r="143" spans="1:75" ht="27" customHeight="1">
      <c r="A143" s="38" t="s">
        <v>785</v>
      </c>
      <c r="B143" s="39" t="s">
        <v>803</v>
      </c>
      <c r="C143" s="39" t="s">
        <v>46</v>
      </c>
      <c r="D143" s="50" t="s">
        <v>753</v>
      </c>
      <c r="E143" s="51"/>
      <c r="F143" s="39" t="s">
        <v>741</v>
      </c>
      <c r="G143" s="28">
        <v>300</v>
      </c>
      <c r="H143" s="120">
        <v>0</v>
      </c>
      <c r="I143" s="120">
        <f t="shared" si="100"/>
        <v>0</v>
      </c>
      <c r="K143" s="8"/>
      <c r="Z143" s="28">
        <f t="shared" si="101"/>
        <v>0</v>
      </c>
      <c r="AB143" s="28">
        <f t="shared" si="102"/>
        <v>0</v>
      </c>
      <c r="AC143" s="28">
        <f t="shared" si="103"/>
        <v>0</v>
      </c>
      <c r="AD143" s="28">
        <f t="shared" si="104"/>
        <v>0</v>
      </c>
      <c r="AE143" s="28">
        <f t="shared" si="105"/>
        <v>0</v>
      </c>
      <c r="AF143" s="28">
        <f t="shared" si="106"/>
        <v>0</v>
      </c>
      <c r="AG143" s="28">
        <f t="shared" si="107"/>
        <v>0</v>
      </c>
      <c r="AH143" s="28">
        <f t="shared" si="108"/>
        <v>0</v>
      </c>
      <c r="AI143" s="21" t="s">
        <v>803</v>
      </c>
      <c r="AJ143" s="28">
        <f t="shared" si="109"/>
        <v>0</v>
      </c>
      <c r="AK143" s="28">
        <f t="shared" si="110"/>
        <v>0</v>
      </c>
      <c r="AL143" s="28">
        <f t="shared" si="111"/>
        <v>0</v>
      </c>
      <c r="AN143" s="28">
        <v>21</v>
      </c>
      <c r="AO143" s="28">
        <f>H143*1</f>
        <v>0</v>
      </c>
      <c r="AP143" s="28">
        <f>H143*(1-1)</f>
        <v>0</v>
      </c>
      <c r="AQ143" s="30" t="s">
        <v>900</v>
      </c>
      <c r="AV143" s="28">
        <f t="shared" si="112"/>
        <v>0</v>
      </c>
      <c r="AW143" s="28">
        <f t="shared" si="113"/>
        <v>0</v>
      </c>
      <c r="AX143" s="28">
        <f t="shared" si="114"/>
        <v>0</v>
      </c>
      <c r="AY143" s="30" t="s">
        <v>92</v>
      </c>
      <c r="AZ143" s="30" t="s">
        <v>551</v>
      </c>
      <c r="BA143" s="21" t="s">
        <v>121</v>
      </c>
      <c r="BC143" s="28">
        <f t="shared" si="115"/>
        <v>0</v>
      </c>
      <c r="BD143" s="28">
        <f t="shared" si="116"/>
        <v>0</v>
      </c>
      <c r="BE143" s="28">
        <v>0</v>
      </c>
      <c r="BF143" s="28">
        <f>143</f>
        <v>143</v>
      </c>
      <c r="BH143" s="28">
        <f t="shared" si="117"/>
        <v>0</v>
      </c>
      <c r="BI143" s="28">
        <f t="shared" si="118"/>
        <v>0</v>
      </c>
      <c r="BJ143" s="28">
        <f t="shared" si="119"/>
        <v>0</v>
      </c>
      <c r="BK143" s="28"/>
      <c r="BL143" s="28">
        <v>733</v>
      </c>
      <c r="BW143" s="28">
        <v>21</v>
      </c>
    </row>
    <row r="144" spans="1:75" ht="13.5" customHeight="1">
      <c r="A144" s="38" t="s">
        <v>30</v>
      </c>
      <c r="B144" s="39" t="s">
        <v>803</v>
      </c>
      <c r="C144" s="39" t="s">
        <v>1026</v>
      </c>
      <c r="D144" s="50" t="s">
        <v>801</v>
      </c>
      <c r="E144" s="51"/>
      <c r="F144" s="39" t="s">
        <v>741</v>
      </c>
      <c r="G144" s="28">
        <v>300</v>
      </c>
      <c r="H144" s="120">
        <v>0</v>
      </c>
      <c r="I144" s="120">
        <f t="shared" si="100"/>
        <v>0</v>
      </c>
      <c r="K144" s="8"/>
      <c r="Z144" s="28">
        <f t="shared" si="101"/>
        <v>0</v>
      </c>
      <c r="AB144" s="28">
        <f t="shared" si="102"/>
        <v>0</v>
      </c>
      <c r="AC144" s="28">
        <f t="shared" si="103"/>
        <v>0</v>
      </c>
      <c r="AD144" s="28">
        <f t="shared" si="104"/>
        <v>0</v>
      </c>
      <c r="AE144" s="28">
        <f t="shared" si="105"/>
        <v>0</v>
      </c>
      <c r="AF144" s="28">
        <f t="shared" si="106"/>
        <v>0</v>
      </c>
      <c r="AG144" s="28">
        <f t="shared" si="107"/>
        <v>0</v>
      </c>
      <c r="AH144" s="28">
        <f t="shared" si="108"/>
        <v>0</v>
      </c>
      <c r="AI144" s="21" t="s">
        <v>803</v>
      </c>
      <c r="AJ144" s="28">
        <f t="shared" si="109"/>
        <v>0</v>
      </c>
      <c r="AK144" s="28">
        <f t="shared" si="110"/>
        <v>0</v>
      </c>
      <c r="AL144" s="28">
        <f t="shared" si="111"/>
        <v>0</v>
      </c>
      <c r="AN144" s="28">
        <v>21</v>
      </c>
      <c r="AO144" s="28">
        <f>H144*0.316802681235439</f>
        <v>0</v>
      </c>
      <c r="AP144" s="28">
        <f>H144*(1-0.316802681235439)</f>
        <v>0</v>
      </c>
      <c r="AQ144" s="30" t="s">
        <v>900</v>
      </c>
      <c r="AV144" s="28">
        <f t="shared" si="112"/>
        <v>0</v>
      </c>
      <c r="AW144" s="28">
        <f t="shared" si="113"/>
        <v>0</v>
      </c>
      <c r="AX144" s="28">
        <f t="shared" si="114"/>
        <v>0</v>
      </c>
      <c r="AY144" s="30" t="s">
        <v>92</v>
      </c>
      <c r="AZ144" s="30" t="s">
        <v>551</v>
      </c>
      <c r="BA144" s="21" t="s">
        <v>121</v>
      </c>
      <c r="BC144" s="28">
        <f t="shared" si="115"/>
        <v>0</v>
      </c>
      <c r="BD144" s="28">
        <f t="shared" si="116"/>
        <v>0</v>
      </c>
      <c r="BE144" s="28">
        <v>0</v>
      </c>
      <c r="BF144" s="28">
        <f>144</f>
        <v>144</v>
      </c>
      <c r="BH144" s="28">
        <f t="shared" si="117"/>
        <v>0</v>
      </c>
      <c r="BI144" s="28">
        <f t="shared" si="118"/>
        <v>0</v>
      </c>
      <c r="BJ144" s="28">
        <f t="shared" si="119"/>
        <v>0</v>
      </c>
      <c r="BK144" s="28"/>
      <c r="BL144" s="28">
        <v>733</v>
      </c>
      <c r="BW144" s="28">
        <v>21</v>
      </c>
    </row>
    <row r="145" spans="1:75" ht="27" customHeight="1">
      <c r="A145" s="38" t="s">
        <v>343</v>
      </c>
      <c r="B145" s="39" t="s">
        <v>803</v>
      </c>
      <c r="C145" s="39" t="s">
        <v>788</v>
      </c>
      <c r="D145" s="50" t="s">
        <v>849</v>
      </c>
      <c r="E145" s="51"/>
      <c r="F145" s="39" t="s">
        <v>741</v>
      </c>
      <c r="G145" s="28">
        <v>32</v>
      </c>
      <c r="H145" s="120">
        <v>0</v>
      </c>
      <c r="I145" s="120">
        <f t="shared" si="100"/>
        <v>0</v>
      </c>
      <c r="K145" s="8"/>
      <c r="Z145" s="28">
        <f t="shared" si="101"/>
        <v>0</v>
      </c>
      <c r="AB145" s="28">
        <f t="shared" si="102"/>
        <v>0</v>
      </c>
      <c r="AC145" s="28">
        <f t="shared" si="103"/>
        <v>0</v>
      </c>
      <c r="AD145" s="28">
        <f t="shared" si="104"/>
        <v>0</v>
      </c>
      <c r="AE145" s="28">
        <f t="shared" si="105"/>
        <v>0</v>
      </c>
      <c r="AF145" s="28">
        <f t="shared" si="106"/>
        <v>0</v>
      </c>
      <c r="AG145" s="28">
        <f t="shared" si="107"/>
        <v>0</v>
      </c>
      <c r="AH145" s="28">
        <f t="shared" si="108"/>
        <v>0</v>
      </c>
      <c r="AI145" s="21" t="s">
        <v>803</v>
      </c>
      <c r="AJ145" s="28">
        <f t="shared" si="109"/>
        <v>0</v>
      </c>
      <c r="AK145" s="28">
        <f t="shared" si="110"/>
        <v>0</v>
      </c>
      <c r="AL145" s="28">
        <f t="shared" si="111"/>
        <v>0</v>
      </c>
      <c r="AN145" s="28">
        <v>21</v>
      </c>
      <c r="AO145" s="28">
        <f>H145*1</f>
        <v>0</v>
      </c>
      <c r="AP145" s="28">
        <f>H145*(1-1)</f>
        <v>0</v>
      </c>
      <c r="AQ145" s="30" t="s">
        <v>900</v>
      </c>
      <c r="AV145" s="28">
        <f t="shared" si="112"/>
        <v>0</v>
      </c>
      <c r="AW145" s="28">
        <f t="shared" si="113"/>
        <v>0</v>
      </c>
      <c r="AX145" s="28">
        <f t="shared" si="114"/>
        <v>0</v>
      </c>
      <c r="AY145" s="30" t="s">
        <v>92</v>
      </c>
      <c r="AZ145" s="30" t="s">
        <v>551</v>
      </c>
      <c r="BA145" s="21" t="s">
        <v>121</v>
      </c>
      <c r="BC145" s="28">
        <f t="shared" si="115"/>
        <v>0</v>
      </c>
      <c r="BD145" s="28">
        <f t="shared" si="116"/>
        <v>0</v>
      </c>
      <c r="BE145" s="28">
        <v>0</v>
      </c>
      <c r="BF145" s="28">
        <f>145</f>
        <v>145</v>
      </c>
      <c r="BH145" s="28">
        <f t="shared" si="117"/>
        <v>0</v>
      </c>
      <c r="BI145" s="28">
        <f t="shared" si="118"/>
        <v>0</v>
      </c>
      <c r="BJ145" s="28">
        <f t="shared" si="119"/>
        <v>0</v>
      </c>
      <c r="BK145" s="28"/>
      <c r="BL145" s="28">
        <v>733</v>
      </c>
      <c r="BW145" s="28">
        <v>21</v>
      </c>
    </row>
    <row r="146" spans="1:75" ht="13.5" customHeight="1">
      <c r="A146" s="38" t="s">
        <v>116</v>
      </c>
      <c r="B146" s="39" t="s">
        <v>803</v>
      </c>
      <c r="C146" s="39" t="s">
        <v>601</v>
      </c>
      <c r="D146" s="50" t="s">
        <v>517</v>
      </c>
      <c r="E146" s="51"/>
      <c r="F146" s="39" t="s">
        <v>741</v>
      </c>
      <c r="G146" s="28">
        <v>32</v>
      </c>
      <c r="H146" s="120">
        <v>0</v>
      </c>
      <c r="I146" s="120">
        <f t="shared" si="100"/>
        <v>0</v>
      </c>
      <c r="K146" s="8"/>
      <c r="Z146" s="28">
        <f t="shared" si="101"/>
        <v>0</v>
      </c>
      <c r="AB146" s="28">
        <f t="shared" si="102"/>
        <v>0</v>
      </c>
      <c r="AC146" s="28">
        <f t="shared" si="103"/>
        <v>0</v>
      </c>
      <c r="AD146" s="28">
        <f t="shared" si="104"/>
        <v>0</v>
      </c>
      <c r="AE146" s="28">
        <f t="shared" si="105"/>
        <v>0</v>
      </c>
      <c r="AF146" s="28">
        <f t="shared" si="106"/>
        <v>0</v>
      </c>
      <c r="AG146" s="28">
        <f t="shared" si="107"/>
        <v>0</v>
      </c>
      <c r="AH146" s="28">
        <f t="shared" si="108"/>
        <v>0</v>
      </c>
      <c r="AI146" s="21" t="s">
        <v>803</v>
      </c>
      <c r="AJ146" s="28">
        <f t="shared" si="109"/>
        <v>0</v>
      </c>
      <c r="AK146" s="28">
        <f t="shared" si="110"/>
        <v>0</v>
      </c>
      <c r="AL146" s="28">
        <f t="shared" si="111"/>
        <v>0</v>
      </c>
      <c r="AN146" s="28">
        <v>21</v>
      </c>
      <c r="AO146" s="28">
        <f>H146*0.298896952104499</f>
        <v>0</v>
      </c>
      <c r="AP146" s="28">
        <f>H146*(1-0.298896952104499)</f>
        <v>0</v>
      </c>
      <c r="AQ146" s="30" t="s">
        <v>900</v>
      </c>
      <c r="AV146" s="28">
        <f t="shared" si="112"/>
        <v>0</v>
      </c>
      <c r="AW146" s="28">
        <f t="shared" si="113"/>
        <v>0</v>
      </c>
      <c r="AX146" s="28">
        <f t="shared" si="114"/>
        <v>0</v>
      </c>
      <c r="AY146" s="30" t="s">
        <v>92</v>
      </c>
      <c r="AZ146" s="30" t="s">
        <v>551</v>
      </c>
      <c r="BA146" s="21" t="s">
        <v>121</v>
      </c>
      <c r="BC146" s="28">
        <f t="shared" si="115"/>
        <v>0</v>
      </c>
      <c r="BD146" s="28">
        <f t="shared" si="116"/>
        <v>0</v>
      </c>
      <c r="BE146" s="28">
        <v>0</v>
      </c>
      <c r="BF146" s="28">
        <f>146</f>
        <v>146</v>
      </c>
      <c r="BH146" s="28">
        <f t="shared" si="117"/>
        <v>0</v>
      </c>
      <c r="BI146" s="28">
        <f t="shared" si="118"/>
        <v>0</v>
      </c>
      <c r="BJ146" s="28">
        <f t="shared" si="119"/>
        <v>0</v>
      </c>
      <c r="BK146" s="28"/>
      <c r="BL146" s="28">
        <v>733</v>
      </c>
      <c r="BW146" s="28">
        <v>21</v>
      </c>
    </row>
    <row r="147" spans="1:75" ht="27" customHeight="1">
      <c r="A147" s="38" t="s">
        <v>996</v>
      </c>
      <c r="B147" s="39" t="s">
        <v>803</v>
      </c>
      <c r="C147" s="39" t="s">
        <v>348</v>
      </c>
      <c r="D147" s="50" t="s">
        <v>942</v>
      </c>
      <c r="E147" s="51"/>
      <c r="F147" s="39" t="s">
        <v>741</v>
      </c>
      <c r="G147" s="28">
        <v>277</v>
      </c>
      <c r="H147" s="120">
        <v>0</v>
      </c>
      <c r="I147" s="120">
        <f t="shared" si="100"/>
        <v>0</v>
      </c>
      <c r="K147" s="8"/>
      <c r="Z147" s="28">
        <f t="shared" si="101"/>
        <v>0</v>
      </c>
      <c r="AB147" s="28">
        <f t="shared" si="102"/>
        <v>0</v>
      </c>
      <c r="AC147" s="28">
        <f t="shared" si="103"/>
        <v>0</v>
      </c>
      <c r="AD147" s="28">
        <f t="shared" si="104"/>
        <v>0</v>
      </c>
      <c r="AE147" s="28">
        <f t="shared" si="105"/>
        <v>0</v>
      </c>
      <c r="AF147" s="28">
        <f t="shared" si="106"/>
        <v>0</v>
      </c>
      <c r="AG147" s="28">
        <f t="shared" si="107"/>
        <v>0</v>
      </c>
      <c r="AH147" s="28">
        <f t="shared" si="108"/>
        <v>0</v>
      </c>
      <c r="AI147" s="21" t="s">
        <v>803</v>
      </c>
      <c r="AJ147" s="28">
        <f t="shared" si="109"/>
        <v>0</v>
      </c>
      <c r="AK147" s="28">
        <f t="shared" si="110"/>
        <v>0</v>
      </c>
      <c r="AL147" s="28">
        <f t="shared" si="111"/>
        <v>0</v>
      </c>
      <c r="AN147" s="28">
        <v>21</v>
      </c>
      <c r="AO147" s="28">
        <f>H147*1</f>
        <v>0</v>
      </c>
      <c r="AP147" s="28">
        <f>H147*(1-1)</f>
        <v>0</v>
      </c>
      <c r="AQ147" s="30" t="s">
        <v>900</v>
      </c>
      <c r="AV147" s="28">
        <f t="shared" si="112"/>
        <v>0</v>
      </c>
      <c r="AW147" s="28">
        <f t="shared" si="113"/>
        <v>0</v>
      </c>
      <c r="AX147" s="28">
        <f t="shared" si="114"/>
        <v>0</v>
      </c>
      <c r="AY147" s="30" t="s">
        <v>92</v>
      </c>
      <c r="AZ147" s="30" t="s">
        <v>551</v>
      </c>
      <c r="BA147" s="21" t="s">
        <v>121</v>
      </c>
      <c r="BC147" s="28">
        <f t="shared" si="115"/>
        <v>0</v>
      </c>
      <c r="BD147" s="28">
        <f t="shared" si="116"/>
        <v>0</v>
      </c>
      <c r="BE147" s="28">
        <v>0</v>
      </c>
      <c r="BF147" s="28">
        <f>147</f>
        <v>147</v>
      </c>
      <c r="BH147" s="28">
        <f t="shared" si="117"/>
        <v>0</v>
      </c>
      <c r="BI147" s="28">
        <f t="shared" si="118"/>
        <v>0</v>
      </c>
      <c r="BJ147" s="28">
        <f t="shared" si="119"/>
        <v>0</v>
      </c>
      <c r="BK147" s="28"/>
      <c r="BL147" s="28">
        <v>733</v>
      </c>
      <c r="BW147" s="28">
        <v>21</v>
      </c>
    </row>
    <row r="148" spans="1:75" ht="13.5" customHeight="1">
      <c r="A148" s="38" t="s">
        <v>412</v>
      </c>
      <c r="B148" s="39" t="s">
        <v>803</v>
      </c>
      <c r="C148" s="39" t="s">
        <v>73</v>
      </c>
      <c r="D148" s="50" t="s">
        <v>764</v>
      </c>
      <c r="E148" s="51"/>
      <c r="F148" s="39" t="s">
        <v>741</v>
      </c>
      <c r="G148" s="28">
        <v>277</v>
      </c>
      <c r="H148" s="120">
        <v>0</v>
      </c>
      <c r="I148" s="120">
        <f t="shared" si="100"/>
        <v>0</v>
      </c>
      <c r="K148" s="8"/>
      <c r="Z148" s="28">
        <f t="shared" si="101"/>
        <v>0</v>
      </c>
      <c r="AB148" s="28">
        <f t="shared" si="102"/>
        <v>0</v>
      </c>
      <c r="AC148" s="28">
        <f t="shared" si="103"/>
        <v>0</v>
      </c>
      <c r="AD148" s="28">
        <f t="shared" si="104"/>
        <v>0</v>
      </c>
      <c r="AE148" s="28">
        <f t="shared" si="105"/>
        <v>0</v>
      </c>
      <c r="AF148" s="28">
        <f t="shared" si="106"/>
        <v>0</v>
      </c>
      <c r="AG148" s="28">
        <f t="shared" si="107"/>
        <v>0</v>
      </c>
      <c r="AH148" s="28">
        <f t="shared" si="108"/>
        <v>0</v>
      </c>
      <c r="AI148" s="21" t="s">
        <v>803</v>
      </c>
      <c r="AJ148" s="28">
        <f t="shared" si="109"/>
        <v>0</v>
      </c>
      <c r="AK148" s="28">
        <f t="shared" si="110"/>
        <v>0</v>
      </c>
      <c r="AL148" s="28">
        <f t="shared" si="111"/>
        <v>0</v>
      </c>
      <c r="AN148" s="28">
        <v>21</v>
      </c>
      <c r="AO148" s="28">
        <f>H148*0.271764705882353</f>
        <v>0</v>
      </c>
      <c r="AP148" s="28">
        <f>H148*(1-0.271764705882353)</f>
        <v>0</v>
      </c>
      <c r="AQ148" s="30" t="s">
        <v>900</v>
      </c>
      <c r="AV148" s="28">
        <f t="shared" si="112"/>
        <v>0</v>
      </c>
      <c r="AW148" s="28">
        <f t="shared" si="113"/>
        <v>0</v>
      </c>
      <c r="AX148" s="28">
        <f t="shared" si="114"/>
        <v>0</v>
      </c>
      <c r="AY148" s="30" t="s">
        <v>92</v>
      </c>
      <c r="AZ148" s="30" t="s">
        <v>551</v>
      </c>
      <c r="BA148" s="21" t="s">
        <v>121</v>
      </c>
      <c r="BC148" s="28">
        <f t="shared" si="115"/>
        <v>0</v>
      </c>
      <c r="BD148" s="28">
        <f t="shared" si="116"/>
        <v>0</v>
      </c>
      <c r="BE148" s="28">
        <v>0</v>
      </c>
      <c r="BF148" s="28">
        <f>148</f>
        <v>148</v>
      </c>
      <c r="BH148" s="28">
        <f t="shared" si="117"/>
        <v>0</v>
      </c>
      <c r="BI148" s="28">
        <f t="shared" si="118"/>
        <v>0</v>
      </c>
      <c r="BJ148" s="28">
        <f t="shared" si="119"/>
        <v>0</v>
      </c>
      <c r="BK148" s="28"/>
      <c r="BL148" s="28">
        <v>733</v>
      </c>
      <c r="BW148" s="28">
        <v>21</v>
      </c>
    </row>
    <row r="149" spans="1:75" ht="27" customHeight="1">
      <c r="A149" s="38" t="s">
        <v>734</v>
      </c>
      <c r="B149" s="39" t="s">
        <v>803</v>
      </c>
      <c r="C149" s="39" t="s">
        <v>614</v>
      </c>
      <c r="D149" s="50" t="s">
        <v>790</v>
      </c>
      <c r="E149" s="51"/>
      <c r="F149" s="39" t="s">
        <v>741</v>
      </c>
      <c r="G149" s="28">
        <v>50</v>
      </c>
      <c r="H149" s="120">
        <v>0</v>
      </c>
      <c r="I149" s="120">
        <f t="shared" si="100"/>
        <v>0</v>
      </c>
      <c r="K149" s="8"/>
      <c r="Z149" s="28">
        <f t="shared" si="101"/>
        <v>0</v>
      </c>
      <c r="AB149" s="28">
        <f t="shared" si="102"/>
        <v>0</v>
      </c>
      <c r="AC149" s="28">
        <f t="shared" si="103"/>
        <v>0</v>
      </c>
      <c r="AD149" s="28">
        <f t="shared" si="104"/>
        <v>0</v>
      </c>
      <c r="AE149" s="28">
        <f t="shared" si="105"/>
        <v>0</v>
      </c>
      <c r="AF149" s="28">
        <f t="shared" si="106"/>
        <v>0</v>
      </c>
      <c r="AG149" s="28">
        <f t="shared" si="107"/>
        <v>0</v>
      </c>
      <c r="AH149" s="28">
        <f t="shared" si="108"/>
        <v>0</v>
      </c>
      <c r="AI149" s="21" t="s">
        <v>803</v>
      </c>
      <c r="AJ149" s="28">
        <f t="shared" si="109"/>
        <v>0</v>
      </c>
      <c r="AK149" s="28">
        <f t="shared" si="110"/>
        <v>0</v>
      </c>
      <c r="AL149" s="28">
        <f t="shared" si="111"/>
        <v>0</v>
      </c>
      <c r="AN149" s="28">
        <v>21</v>
      </c>
      <c r="AO149" s="28">
        <f>H149*1</f>
        <v>0</v>
      </c>
      <c r="AP149" s="28">
        <f>H149*(1-1)</f>
        <v>0</v>
      </c>
      <c r="AQ149" s="30" t="s">
        <v>900</v>
      </c>
      <c r="AV149" s="28">
        <f t="shared" si="112"/>
        <v>0</v>
      </c>
      <c r="AW149" s="28">
        <f t="shared" si="113"/>
        <v>0</v>
      </c>
      <c r="AX149" s="28">
        <f t="shared" si="114"/>
        <v>0</v>
      </c>
      <c r="AY149" s="30" t="s">
        <v>92</v>
      </c>
      <c r="AZ149" s="30" t="s">
        <v>551</v>
      </c>
      <c r="BA149" s="21" t="s">
        <v>121</v>
      </c>
      <c r="BC149" s="28">
        <f t="shared" si="115"/>
        <v>0</v>
      </c>
      <c r="BD149" s="28">
        <f t="shared" si="116"/>
        <v>0</v>
      </c>
      <c r="BE149" s="28">
        <v>0</v>
      </c>
      <c r="BF149" s="28">
        <f>149</f>
        <v>149</v>
      </c>
      <c r="BH149" s="28">
        <f t="shared" si="117"/>
        <v>0</v>
      </c>
      <c r="BI149" s="28">
        <f t="shared" si="118"/>
        <v>0</v>
      </c>
      <c r="BJ149" s="28">
        <f t="shared" si="119"/>
        <v>0</v>
      </c>
      <c r="BK149" s="28"/>
      <c r="BL149" s="28">
        <v>733</v>
      </c>
      <c r="BW149" s="28">
        <v>21</v>
      </c>
    </row>
    <row r="150" spans="1:75" ht="13.5" customHeight="1">
      <c r="A150" s="38" t="s">
        <v>395</v>
      </c>
      <c r="B150" s="39" t="s">
        <v>803</v>
      </c>
      <c r="C150" s="39" t="s">
        <v>700</v>
      </c>
      <c r="D150" s="50" t="s">
        <v>441</v>
      </c>
      <c r="E150" s="51"/>
      <c r="F150" s="39" t="s">
        <v>741</v>
      </c>
      <c r="G150" s="28">
        <v>50</v>
      </c>
      <c r="H150" s="120">
        <v>0</v>
      </c>
      <c r="I150" s="120">
        <f t="shared" si="100"/>
        <v>0</v>
      </c>
      <c r="K150" s="8"/>
      <c r="Z150" s="28">
        <f t="shared" si="101"/>
        <v>0</v>
      </c>
      <c r="AB150" s="28">
        <f t="shared" si="102"/>
        <v>0</v>
      </c>
      <c r="AC150" s="28">
        <f t="shared" si="103"/>
        <v>0</v>
      </c>
      <c r="AD150" s="28">
        <f t="shared" si="104"/>
        <v>0</v>
      </c>
      <c r="AE150" s="28">
        <f t="shared" si="105"/>
        <v>0</v>
      </c>
      <c r="AF150" s="28">
        <f t="shared" si="106"/>
        <v>0</v>
      </c>
      <c r="AG150" s="28">
        <f t="shared" si="107"/>
        <v>0</v>
      </c>
      <c r="AH150" s="28">
        <f t="shared" si="108"/>
        <v>0</v>
      </c>
      <c r="AI150" s="21" t="s">
        <v>803</v>
      </c>
      <c r="AJ150" s="28">
        <f t="shared" si="109"/>
        <v>0</v>
      </c>
      <c r="AK150" s="28">
        <f t="shared" si="110"/>
        <v>0</v>
      </c>
      <c r="AL150" s="28">
        <f t="shared" si="111"/>
        <v>0</v>
      </c>
      <c r="AN150" s="28">
        <v>21</v>
      </c>
      <c r="AO150" s="28">
        <f>H150*0.245414462081129</f>
        <v>0</v>
      </c>
      <c r="AP150" s="28">
        <f>H150*(1-0.245414462081129)</f>
        <v>0</v>
      </c>
      <c r="AQ150" s="30" t="s">
        <v>900</v>
      </c>
      <c r="AV150" s="28">
        <f t="shared" si="112"/>
        <v>0</v>
      </c>
      <c r="AW150" s="28">
        <f t="shared" si="113"/>
        <v>0</v>
      </c>
      <c r="AX150" s="28">
        <f t="shared" si="114"/>
        <v>0</v>
      </c>
      <c r="AY150" s="30" t="s">
        <v>92</v>
      </c>
      <c r="AZ150" s="30" t="s">
        <v>551</v>
      </c>
      <c r="BA150" s="21" t="s">
        <v>121</v>
      </c>
      <c r="BC150" s="28">
        <f t="shared" si="115"/>
        <v>0</v>
      </c>
      <c r="BD150" s="28">
        <f t="shared" si="116"/>
        <v>0</v>
      </c>
      <c r="BE150" s="28">
        <v>0</v>
      </c>
      <c r="BF150" s="28">
        <f>150</f>
        <v>150</v>
      </c>
      <c r="BH150" s="28">
        <f t="shared" si="117"/>
        <v>0</v>
      </c>
      <c r="BI150" s="28">
        <f t="shared" si="118"/>
        <v>0</v>
      </c>
      <c r="BJ150" s="28">
        <f t="shared" si="119"/>
        <v>0</v>
      </c>
      <c r="BK150" s="28"/>
      <c r="BL150" s="28">
        <v>733</v>
      </c>
      <c r="BW150" s="28">
        <v>21</v>
      </c>
    </row>
    <row r="151" spans="1:75" ht="27" customHeight="1">
      <c r="A151" s="38" t="s">
        <v>568</v>
      </c>
      <c r="B151" s="39" t="s">
        <v>803</v>
      </c>
      <c r="C151" s="39" t="s">
        <v>864</v>
      </c>
      <c r="D151" s="50" t="s">
        <v>512</v>
      </c>
      <c r="E151" s="51"/>
      <c r="F151" s="39" t="s">
        <v>741</v>
      </c>
      <c r="G151" s="28">
        <v>50</v>
      </c>
      <c r="H151" s="120">
        <v>0</v>
      </c>
      <c r="I151" s="120">
        <f t="shared" si="100"/>
        <v>0</v>
      </c>
      <c r="K151" s="8"/>
      <c r="Z151" s="28">
        <f t="shared" si="101"/>
        <v>0</v>
      </c>
      <c r="AB151" s="28">
        <f t="shared" si="102"/>
        <v>0</v>
      </c>
      <c r="AC151" s="28">
        <f t="shared" si="103"/>
        <v>0</v>
      </c>
      <c r="AD151" s="28">
        <f t="shared" si="104"/>
        <v>0</v>
      </c>
      <c r="AE151" s="28">
        <f t="shared" si="105"/>
        <v>0</v>
      </c>
      <c r="AF151" s="28">
        <f t="shared" si="106"/>
        <v>0</v>
      </c>
      <c r="AG151" s="28">
        <f t="shared" si="107"/>
        <v>0</v>
      </c>
      <c r="AH151" s="28">
        <f t="shared" si="108"/>
        <v>0</v>
      </c>
      <c r="AI151" s="21" t="s">
        <v>803</v>
      </c>
      <c r="AJ151" s="28">
        <f t="shared" si="109"/>
        <v>0</v>
      </c>
      <c r="AK151" s="28">
        <f t="shared" si="110"/>
        <v>0</v>
      </c>
      <c r="AL151" s="28">
        <f t="shared" si="111"/>
        <v>0</v>
      </c>
      <c r="AN151" s="28">
        <v>21</v>
      </c>
      <c r="AO151" s="28">
        <f>H151*1</f>
        <v>0</v>
      </c>
      <c r="AP151" s="28">
        <f>H151*(1-1)</f>
        <v>0</v>
      </c>
      <c r="AQ151" s="30" t="s">
        <v>900</v>
      </c>
      <c r="AV151" s="28">
        <f t="shared" si="112"/>
        <v>0</v>
      </c>
      <c r="AW151" s="28">
        <f t="shared" si="113"/>
        <v>0</v>
      </c>
      <c r="AX151" s="28">
        <f t="shared" si="114"/>
        <v>0</v>
      </c>
      <c r="AY151" s="30" t="s">
        <v>92</v>
      </c>
      <c r="AZ151" s="30" t="s">
        <v>551</v>
      </c>
      <c r="BA151" s="21" t="s">
        <v>121</v>
      </c>
      <c r="BC151" s="28">
        <f t="shared" si="115"/>
        <v>0</v>
      </c>
      <c r="BD151" s="28">
        <f t="shared" si="116"/>
        <v>0</v>
      </c>
      <c r="BE151" s="28">
        <v>0</v>
      </c>
      <c r="BF151" s="28">
        <f>151</f>
        <v>151</v>
      </c>
      <c r="BH151" s="28">
        <f t="shared" si="117"/>
        <v>0</v>
      </c>
      <c r="BI151" s="28">
        <f t="shared" si="118"/>
        <v>0</v>
      </c>
      <c r="BJ151" s="28">
        <f t="shared" si="119"/>
        <v>0</v>
      </c>
      <c r="BK151" s="28"/>
      <c r="BL151" s="28">
        <v>733</v>
      </c>
      <c r="BW151" s="28">
        <v>21</v>
      </c>
    </row>
    <row r="152" spans="1:75" ht="13.5" customHeight="1">
      <c r="A152" s="38" t="s">
        <v>983</v>
      </c>
      <c r="B152" s="39" t="s">
        <v>803</v>
      </c>
      <c r="C152" s="39" t="s">
        <v>345</v>
      </c>
      <c r="D152" s="50" t="s">
        <v>145</v>
      </c>
      <c r="E152" s="51"/>
      <c r="F152" s="39" t="s">
        <v>741</v>
      </c>
      <c r="G152" s="28">
        <v>50</v>
      </c>
      <c r="H152" s="120">
        <v>0</v>
      </c>
      <c r="I152" s="120">
        <f t="shared" si="100"/>
        <v>0</v>
      </c>
      <c r="K152" s="8"/>
      <c r="Z152" s="28">
        <f t="shared" si="101"/>
        <v>0</v>
      </c>
      <c r="AB152" s="28">
        <f t="shared" si="102"/>
        <v>0</v>
      </c>
      <c r="AC152" s="28">
        <f t="shared" si="103"/>
        <v>0</v>
      </c>
      <c r="AD152" s="28">
        <f t="shared" si="104"/>
        <v>0</v>
      </c>
      <c r="AE152" s="28">
        <f t="shared" si="105"/>
        <v>0</v>
      </c>
      <c r="AF152" s="28">
        <f t="shared" si="106"/>
        <v>0</v>
      </c>
      <c r="AG152" s="28">
        <f t="shared" si="107"/>
        <v>0</v>
      </c>
      <c r="AH152" s="28">
        <f t="shared" si="108"/>
        <v>0</v>
      </c>
      <c r="AI152" s="21" t="s">
        <v>803</v>
      </c>
      <c r="AJ152" s="28">
        <f t="shared" si="109"/>
        <v>0</v>
      </c>
      <c r="AK152" s="28">
        <f t="shared" si="110"/>
        <v>0</v>
      </c>
      <c r="AL152" s="28">
        <f t="shared" si="111"/>
        <v>0</v>
      </c>
      <c r="AN152" s="28">
        <v>21</v>
      </c>
      <c r="AO152" s="28">
        <f>H152*0.276435810810811</f>
        <v>0</v>
      </c>
      <c r="AP152" s="28">
        <f>H152*(1-0.276435810810811)</f>
        <v>0</v>
      </c>
      <c r="AQ152" s="30" t="s">
        <v>900</v>
      </c>
      <c r="AV152" s="28">
        <f t="shared" si="112"/>
        <v>0</v>
      </c>
      <c r="AW152" s="28">
        <f t="shared" si="113"/>
        <v>0</v>
      </c>
      <c r="AX152" s="28">
        <f t="shared" si="114"/>
        <v>0</v>
      </c>
      <c r="AY152" s="30" t="s">
        <v>92</v>
      </c>
      <c r="AZ152" s="30" t="s">
        <v>551</v>
      </c>
      <c r="BA152" s="21" t="s">
        <v>121</v>
      </c>
      <c r="BC152" s="28">
        <f t="shared" si="115"/>
        <v>0</v>
      </c>
      <c r="BD152" s="28">
        <f t="shared" si="116"/>
        <v>0</v>
      </c>
      <c r="BE152" s="28">
        <v>0</v>
      </c>
      <c r="BF152" s="28">
        <f>152</f>
        <v>152</v>
      </c>
      <c r="BH152" s="28">
        <f t="shared" si="117"/>
        <v>0</v>
      </c>
      <c r="BI152" s="28">
        <f t="shared" si="118"/>
        <v>0</v>
      </c>
      <c r="BJ152" s="28">
        <f t="shared" si="119"/>
        <v>0</v>
      </c>
      <c r="BK152" s="28"/>
      <c r="BL152" s="28">
        <v>733</v>
      </c>
      <c r="BW152" s="28">
        <v>21</v>
      </c>
    </row>
    <row r="153" spans="1:75" ht="13.5" customHeight="1">
      <c r="A153" s="38" t="s">
        <v>636</v>
      </c>
      <c r="B153" s="39" t="s">
        <v>803</v>
      </c>
      <c r="C153" s="39" t="s">
        <v>969</v>
      </c>
      <c r="D153" s="50" t="s">
        <v>352</v>
      </c>
      <c r="E153" s="51"/>
      <c r="F153" s="39" t="s">
        <v>228</v>
      </c>
      <c r="G153" s="28">
        <v>21</v>
      </c>
      <c r="H153" s="120">
        <v>0</v>
      </c>
      <c r="I153" s="120">
        <f t="shared" si="100"/>
        <v>0</v>
      </c>
      <c r="K153" s="8"/>
      <c r="Z153" s="28">
        <f t="shared" si="101"/>
        <v>0</v>
      </c>
      <c r="AB153" s="28">
        <f t="shared" si="102"/>
        <v>0</v>
      </c>
      <c r="AC153" s="28">
        <f t="shared" si="103"/>
        <v>0</v>
      </c>
      <c r="AD153" s="28">
        <f t="shared" si="104"/>
        <v>0</v>
      </c>
      <c r="AE153" s="28">
        <f t="shared" si="105"/>
        <v>0</v>
      </c>
      <c r="AF153" s="28">
        <f t="shared" si="106"/>
        <v>0</v>
      </c>
      <c r="AG153" s="28">
        <f t="shared" si="107"/>
        <v>0</v>
      </c>
      <c r="AH153" s="28">
        <f t="shared" si="108"/>
        <v>0</v>
      </c>
      <c r="AI153" s="21" t="s">
        <v>803</v>
      </c>
      <c r="AJ153" s="28">
        <f t="shared" si="109"/>
        <v>0</v>
      </c>
      <c r="AK153" s="28">
        <f t="shared" si="110"/>
        <v>0</v>
      </c>
      <c r="AL153" s="28">
        <f t="shared" si="111"/>
        <v>0</v>
      </c>
      <c r="AN153" s="28">
        <v>21</v>
      </c>
      <c r="AO153" s="28">
        <f>H153*0.188058574245794</f>
        <v>0</v>
      </c>
      <c r="AP153" s="28">
        <f>H153*(1-0.188058574245794)</f>
        <v>0</v>
      </c>
      <c r="AQ153" s="30" t="s">
        <v>900</v>
      </c>
      <c r="AV153" s="28">
        <f t="shared" si="112"/>
        <v>0</v>
      </c>
      <c r="AW153" s="28">
        <f t="shared" si="113"/>
        <v>0</v>
      </c>
      <c r="AX153" s="28">
        <f t="shared" si="114"/>
        <v>0</v>
      </c>
      <c r="AY153" s="30" t="s">
        <v>92</v>
      </c>
      <c r="AZ153" s="30" t="s">
        <v>551</v>
      </c>
      <c r="BA153" s="21" t="s">
        <v>121</v>
      </c>
      <c r="BC153" s="28">
        <f t="shared" si="115"/>
        <v>0</v>
      </c>
      <c r="BD153" s="28">
        <f t="shared" si="116"/>
        <v>0</v>
      </c>
      <c r="BE153" s="28">
        <v>0</v>
      </c>
      <c r="BF153" s="28">
        <f>153</f>
        <v>153</v>
      </c>
      <c r="BH153" s="28">
        <f t="shared" si="117"/>
        <v>0</v>
      </c>
      <c r="BI153" s="28">
        <f t="shared" si="118"/>
        <v>0</v>
      </c>
      <c r="BJ153" s="28">
        <f t="shared" si="119"/>
        <v>0</v>
      </c>
      <c r="BK153" s="28"/>
      <c r="BL153" s="28">
        <v>733</v>
      </c>
      <c r="BW153" s="28">
        <v>21</v>
      </c>
    </row>
    <row r="154" spans="1:75" ht="13.5" customHeight="1">
      <c r="A154" s="38" t="s">
        <v>994</v>
      </c>
      <c r="B154" s="39" t="s">
        <v>803</v>
      </c>
      <c r="C154" s="39" t="s">
        <v>654</v>
      </c>
      <c r="D154" s="50" t="s">
        <v>685</v>
      </c>
      <c r="E154" s="51"/>
      <c r="F154" s="39" t="s">
        <v>741</v>
      </c>
      <c r="G154" s="28">
        <v>21</v>
      </c>
      <c r="H154" s="120">
        <v>0</v>
      </c>
      <c r="I154" s="120">
        <f t="shared" si="100"/>
        <v>0</v>
      </c>
      <c r="K154" s="8"/>
      <c r="Z154" s="28">
        <f t="shared" si="101"/>
        <v>0</v>
      </c>
      <c r="AB154" s="28">
        <f t="shared" si="102"/>
        <v>0</v>
      </c>
      <c r="AC154" s="28">
        <f t="shared" si="103"/>
        <v>0</v>
      </c>
      <c r="AD154" s="28">
        <f t="shared" si="104"/>
        <v>0</v>
      </c>
      <c r="AE154" s="28">
        <f t="shared" si="105"/>
        <v>0</v>
      </c>
      <c r="AF154" s="28">
        <f t="shared" si="106"/>
        <v>0</v>
      </c>
      <c r="AG154" s="28">
        <f t="shared" si="107"/>
        <v>0</v>
      </c>
      <c r="AH154" s="28">
        <f t="shared" si="108"/>
        <v>0</v>
      </c>
      <c r="AI154" s="21" t="s">
        <v>803</v>
      </c>
      <c r="AJ154" s="28">
        <f t="shared" si="109"/>
        <v>0</v>
      </c>
      <c r="AK154" s="28">
        <f t="shared" si="110"/>
        <v>0</v>
      </c>
      <c r="AL154" s="28">
        <f t="shared" si="111"/>
        <v>0</v>
      </c>
      <c r="AN154" s="28">
        <v>21</v>
      </c>
      <c r="AO154" s="28">
        <f>H154*0.638894786950596</f>
        <v>0</v>
      </c>
      <c r="AP154" s="28">
        <f>H154*(1-0.638894786950596)</f>
        <v>0</v>
      </c>
      <c r="AQ154" s="30" t="s">
        <v>900</v>
      </c>
      <c r="AV154" s="28">
        <f t="shared" si="112"/>
        <v>0</v>
      </c>
      <c r="AW154" s="28">
        <f t="shared" si="113"/>
        <v>0</v>
      </c>
      <c r="AX154" s="28">
        <f t="shared" si="114"/>
        <v>0</v>
      </c>
      <c r="AY154" s="30" t="s">
        <v>92</v>
      </c>
      <c r="AZ154" s="30" t="s">
        <v>551</v>
      </c>
      <c r="BA154" s="21" t="s">
        <v>121</v>
      </c>
      <c r="BC154" s="28">
        <f t="shared" si="115"/>
        <v>0</v>
      </c>
      <c r="BD154" s="28">
        <f t="shared" si="116"/>
        <v>0</v>
      </c>
      <c r="BE154" s="28">
        <v>0</v>
      </c>
      <c r="BF154" s="28">
        <f>154</f>
        <v>154</v>
      </c>
      <c r="BH154" s="28">
        <f t="shared" si="117"/>
        <v>0</v>
      </c>
      <c r="BI154" s="28">
        <f t="shared" si="118"/>
        <v>0</v>
      </c>
      <c r="BJ154" s="28">
        <f t="shared" si="119"/>
        <v>0</v>
      </c>
      <c r="BK154" s="28"/>
      <c r="BL154" s="28">
        <v>733</v>
      </c>
      <c r="BW154" s="28">
        <v>21</v>
      </c>
    </row>
    <row r="155" spans="1:75" ht="13.5" customHeight="1">
      <c r="A155" s="38" t="s">
        <v>924</v>
      </c>
      <c r="B155" s="39" t="s">
        <v>803</v>
      </c>
      <c r="C155" s="39" t="s">
        <v>520</v>
      </c>
      <c r="D155" s="50" t="s">
        <v>150</v>
      </c>
      <c r="E155" s="51"/>
      <c r="F155" s="39" t="s">
        <v>228</v>
      </c>
      <c r="G155" s="28">
        <v>4</v>
      </c>
      <c r="H155" s="120">
        <v>0</v>
      </c>
      <c r="I155" s="120">
        <f t="shared" si="100"/>
        <v>0</v>
      </c>
      <c r="K155" s="8"/>
      <c r="Z155" s="28">
        <f t="shared" si="101"/>
        <v>0</v>
      </c>
      <c r="AB155" s="28">
        <f t="shared" si="102"/>
        <v>0</v>
      </c>
      <c r="AC155" s="28">
        <f t="shared" si="103"/>
        <v>0</v>
      </c>
      <c r="AD155" s="28">
        <f t="shared" si="104"/>
        <v>0</v>
      </c>
      <c r="AE155" s="28">
        <f t="shared" si="105"/>
        <v>0</v>
      </c>
      <c r="AF155" s="28">
        <f t="shared" si="106"/>
        <v>0</v>
      </c>
      <c r="AG155" s="28">
        <f t="shared" si="107"/>
        <v>0</v>
      </c>
      <c r="AH155" s="28">
        <f t="shared" si="108"/>
        <v>0</v>
      </c>
      <c r="AI155" s="21" t="s">
        <v>803</v>
      </c>
      <c r="AJ155" s="28">
        <f t="shared" si="109"/>
        <v>0</v>
      </c>
      <c r="AK155" s="28">
        <f t="shared" si="110"/>
        <v>0</v>
      </c>
      <c r="AL155" s="28">
        <f t="shared" si="111"/>
        <v>0</v>
      </c>
      <c r="AN155" s="28">
        <v>21</v>
      </c>
      <c r="AO155" s="28">
        <f>H155*1</f>
        <v>0</v>
      </c>
      <c r="AP155" s="28">
        <f>H155*(1-1)</f>
        <v>0</v>
      </c>
      <c r="AQ155" s="30" t="s">
        <v>900</v>
      </c>
      <c r="AV155" s="28">
        <f t="shared" si="112"/>
        <v>0</v>
      </c>
      <c r="AW155" s="28">
        <f t="shared" si="113"/>
        <v>0</v>
      </c>
      <c r="AX155" s="28">
        <f t="shared" si="114"/>
        <v>0</v>
      </c>
      <c r="AY155" s="30" t="s">
        <v>92</v>
      </c>
      <c r="AZ155" s="30" t="s">
        <v>551</v>
      </c>
      <c r="BA155" s="21" t="s">
        <v>121</v>
      </c>
      <c r="BC155" s="28">
        <f t="shared" si="115"/>
        <v>0</v>
      </c>
      <c r="BD155" s="28">
        <f t="shared" si="116"/>
        <v>0</v>
      </c>
      <c r="BE155" s="28">
        <v>0</v>
      </c>
      <c r="BF155" s="28">
        <f>155</f>
        <v>155</v>
      </c>
      <c r="BH155" s="28">
        <f t="shared" si="117"/>
        <v>0</v>
      </c>
      <c r="BI155" s="28">
        <f t="shared" si="118"/>
        <v>0</v>
      </c>
      <c r="BJ155" s="28">
        <f t="shared" si="119"/>
        <v>0</v>
      </c>
      <c r="BK155" s="28"/>
      <c r="BL155" s="28">
        <v>733</v>
      </c>
      <c r="BW155" s="28">
        <v>21</v>
      </c>
    </row>
    <row r="156" spans="1:47" ht="15" customHeight="1">
      <c r="A156" s="3" t="s">
        <v>626</v>
      </c>
      <c r="B156" s="43" t="s">
        <v>803</v>
      </c>
      <c r="C156" s="43" t="s">
        <v>44</v>
      </c>
      <c r="D156" s="103" t="s">
        <v>71</v>
      </c>
      <c r="E156" s="104"/>
      <c r="F156" s="37" t="s">
        <v>836</v>
      </c>
      <c r="G156" s="37" t="s">
        <v>836</v>
      </c>
      <c r="H156" s="118" t="s">
        <v>836</v>
      </c>
      <c r="I156" s="119">
        <f>SUM(I157:I159)</f>
        <v>0</v>
      </c>
      <c r="K156" s="8"/>
      <c r="AI156" s="21" t="s">
        <v>803</v>
      </c>
      <c r="AS156" s="31">
        <f>SUM(AJ157:AJ159)</f>
        <v>0</v>
      </c>
      <c r="AT156" s="31">
        <f>SUM(AK157:AK159)</f>
        <v>0</v>
      </c>
      <c r="AU156" s="31">
        <f>SUM(AL157:AL159)</f>
        <v>0</v>
      </c>
    </row>
    <row r="157" spans="1:75" ht="13.5" customHeight="1">
      <c r="A157" s="38" t="s">
        <v>865</v>
      </c>
      <c r="B157" s="39" t="s">
        <v>803</v>
      </c>
      <c r="C157" s="39" t="s">
        <v>820</v>
      </c>
      <c r="D157" s="50" t="s">
        <v>646</v>
      </c>
      <c r="E157" s="51"/>
      <c r="F157" s="39" t="s">
        <v>741</v>
      </c>
      <c r="G157" s="28">
        <v>25</v>
      </c>
      <c r="H157" s="120">
        <v>0</v>
      </c>
      <c r="I157" s="120">
        <f>G157*H157</f>
        <v>0</v>
      </c>
      <c r="K157" s="8"/>
      <c r="Z157" s="28">
        <f>IF(AQ157="5",BJ157,0)</f>
        <v>0</v>
      </c>
      <c r="AB157" s="28">
        <f>IF(AQ157="1",BH157,0)</f>
        <v>0</v>
      </c>
      <c r="AC157" s="28">
        <f>IF(AQ157="1",BI157,0)</f>
        <v>0</v>
      </c>
      <c r="AD157" s="28">
        <f>IF(AQ157="7",BH157,0)</f>
        <v>0</v>
      </c>
      <c r="AE157" s="28">
        <f>IF(AQ157="7",BI157,0)</f>
        <v>0</v>
      </c>
      <c r="AF157" s="28">
        <f>IF(AQ157="2",BH157,0)</f>
        <v>0</v>
      </c>
      <c r="AG157" s="28">
        <f>IF(AQ157="2",BI157,0)</f>
        <v>0</v>
      </c>
      <c r="AH157" s="28">
        <f>IF(AQ157="0",BJ157,0)</f>
        <v>0</v>
      </c>
      <c r="AI157" s="21" t="s">
        <v>803</v>
      </c>
      <c r="AJ157" s="28">
        <f>IF(AN157=0,I157,0)</f>
        <v>0</v>
      </c>
      <c r="AK157" s="28">
        <f>IF(AN157=12,I157,0)</f>
        <v>0</v>
      </c>
      <c r="AL157" s="28">
        <f>IF(AN157=21,I157,0)</f>
        <v>0</v>
      </c>
      <c r="AN157" s="28">
        <v>21</v>
      </c>
      <c r="AO157" s="28">
        <f>H157*0</f>
        <v>0</v>
      </c>
      <c r="AP157" s="28">
        <f>H157*(1-0)</f>
        <v>0</v>
      </c>
      <c r="AQ157" s="30" t="s">
        <v>893</v>
      </c>
      <c r="AV157" s="28">
        <f>AW157+AX157</f>
        <v>0</v>
      </c>
      <c r="AW157" s="28">
        <f>G157*AO157</f>
        <v>0</v>
      </c>
      <c r="AX157" s="28">
        <f>G157*AP157</f>
        <v>0</v>
      </c>
      <c r="AY157" s="30" t="s">
        <v>61</v>
      </c>
      <c r="AZ157" s="30" t="s">
        <v>827</v>
      </c>
      <c r="BA157" s="21" t="s">
        <v>121</v>
      </c>
      <c r="BC157" s="28">
        <f>AW157+AX157</f>
        <v>0</v>
      </c>
      <c r="BD157" s="28">
        <f>H157/(100-BE157)*100</f>
        <v>0</v>
      </c>
      <c r="BE157" s="28">
        <v>0</v>
      </c>
      <c r="BF157" s="28">
        <f>157</f>
        <v>157</v>
      </c>
      <c r="BH157" s="28">
        <f>G157*AO157</f>
        <v>0</v>
      </c>
      <c r="BI157" s="28">
        <f>G157*AP157</f>
        <v>0</v>
      </c>
      <c r="BJ157" s="28">
        <f>G157*H157</f>
        <v>0</v>
      </c>
      <c r="BK157" s="28"/>
      <c r="BL157" s="28">
        <v>87</v>
      </c>
      <c r="BW157" s="28">
        <v>21</v>
      </c>
    </row>
    <row r="158" spans="1:75" ht="13.5" customHeight="1">
      <c r="A158" s="38" t="s">
        <v>447</v>
      </c>
      <c r="B158" s="39" t="s">
        <v>803</v>
      </c>
      <c r="C158" s="39" t="s">
        <v>300</v>
      </c>
      <c r="D158" s="50" t="s">
        <v>1061</v>
      </c>
      <c r="E158" s="51"/>
      <c r="F158" s="39" t="s">
        <v>741</v>
      </c>
      <c r="G158" s="28">
        <v>25</v>
      </c>
      <c r="H158" s="120">
        <v>0</v>
      </c>
      <c r="I158" s="120">
        <f>G158*H158</f>
        <v>0</v>
      </c>
      <c r="K158" s="8"/>
      <c r="Z158" s="28">
        <f>IF(AQ158="5",BJ158,0)</f>
        <v>0</v>
      </c>
      <c r="AB158" s="28">
        <f>IF(AQ158="1",BH158,0)</f>
        <v>0</v>
      </c>
      <c r="AC158" s="28">
        <f>IF(AQ158="1",BI158,0)</f>
        <v>0</v>
      </c>
      <c r="AD158" s="28">
        <f>IF(AQ158="7",BH158,0)</f>
        <v>0</v>
      </c>
      <c r="AE158" s="28">
        <f>IF(AQ158="7",BI158,0)</f>
        <v>0</v>
      </c>
      <c r="AF158" s="28">
        <f>IF(AQ158="2",BH158,0)</f>
        <v>0</v>
      </c>
      <c r="AG158" s="28">
        <f>IF(AQ158="2",BI158,0)</f>
        <v>0</v>
      </c>
      <c r="AH158" s="28">
        <f>IF(AQ158="0",BJ158,0)</f>
        <v>0</v>
      </c>
      <c r="AI158" s="21" t="s">
        <v>803</v>
      </c>
      <c r="AJ158" s="28">
        <f>IF(AN158=0,I158,0)</f>
        <v>0</v>
      </c>
      <c r="AK158" s="28">
        <f>IF(AN158=12,I158,0)</f>
        <v>0</v>
      </c>
      <c r="AL158" s="28">
        <f>IF(AN158=21,I158,0)</f>
        <v>0</v>
      </c>
      <c r="AN158" s="28">
        <v>21</v>
      </c>
      <c r="AO158" s="28">
        <f>H158*1</f>
        <v>0</v>
      </c>
      <c r="AP158" s="28">
        <f>H158*(1-1)</f>
        <v>0</v>
      </c>
      <c r="AQ158" s="30" t="s">
        <v>893</v>
      </c>
      <c r="AV158" s="28">
        <f>AW158+AX158</f>
        <v>0</v>
      </c>
      <c r="AW158" s="28">
        <f>G158*AO158</f>
        <v>0</v>
      </c>
      <c r="AX158" s="28">
        <f>G158*AP158</f>
        <v>0</v>
      </c>
      <c r="AY158" s="30" t="s">
        <v>61</v>
      </c>
      <c r="AZ158" s="30" t="s">
        <v>827</v>
      </c>
      <c r="BA158" s="21" t="s">
        <v>121</v>
      </c>
      <c r="BC158" s="28">
        <f>AW158+AX158</f>
        <v>0</v>
      </c>
      <c r="BD158" s="28">
        <f>H158/(100-BE158)*100</f>
        <v>0</v>
      </c>
      <c r="BE158" s="28">
        <v>0</v>
      </c>
      <c r="BF158" s="28">
        <f>158</f>
        <v>158</v>
      </c>
      <c r="BH158" s="28">
        <f>G158*AO158</f>
        <v>0</v>
      </c>
      <c r="BI158" s="28">
        <f>G158*AP158</f>
        <v>0</v>
      </c>
      <c r="BJ158" s="28">
        <f>G158*H158</f>
        <v>0</v>
      </c>
      <c r="BK158" s="28"/>
      <c r="BL158" s="28">
        <v>87</v>
      </c>
      <c r="BW158" s="28">
        <v>21</v>
      </c>
    </row>
    <row r="159" spans="1:75" ht="13.5" customHeight="1">
      <c r="A159" s="38" t="s">
        <v>400</v>
      </c>
      <c r="B159" s="39" t="s">
        <v>803</v>
      </c>
      <c r="C159" s="39" t="s">
        <v>610</v>
      </c>
      <c r="D159" s="50" t="s">
        <v>1028</v>
      </c>
      <c r="E159" s="51"/>
      <c r="F159" s="39" t="s">
        <v>228</v>
      </c>
      <c r="G159" s="28">
        <v>2</v>
      </c>
      <c r="H159" s="120">
        <v>0</v>
      </c>
      <c r="I159" s="120">
        <f>G159*H159</f>
        <v>0</v>
      </c>
      <c r="K159" s="8"/>
      <c r="Z159" s="28">
        <f>IF(AQ159="5",BJ159,0)</f>
        <v>0</v>
      </c>
      <c r="AB159" s="28">
        <f>IF(AQ159="1",BH159,0)</f>
        <v>0</v>
      </c>
      <c r="AC159" s="28">
        <f>IF(AQ159="1",BI159,0)</f>
        <v>0</v>
      </c>
      <c r="AD159" s="28">
        <f>IF(AQ159="7",BH159,0)</f>
        <v>0</v>
      </c>
      <c r="AE159" s="28">
        <f>IF(AQ159="7",BI159,0)</f>
        <v>0</v>
      </c>
      <c r="AF159" s="28">
        <f>IF(AQ159="2",BH159,0)</f>
        <v>0</v>
      </c>
      <c r="AG159" s="28">
        <f>IF(AQ159="2",BI159,0)</f>
        <v>0</v>
      </c>
      <c r="AH159" s="28">
        <f>IF(AQ159="0",BJ159,0)</f>
        <v>0</v>
      </c>
      <c r="AI159" s="21" t="s">
        <v>803</v>
      </c>
      <c r="AJ159" s="28">
        <f>IF(AN159=0,I159,0)</f>
        <v>0</v>
      </c>
      <c r="AK159" s="28">
        <f>IF(AN159=12,I159,0)</f>
        <v>0</v>
      </c>
      <c r="AL159" s="28">
        <f>IF(AN159=21,I159,0)</f>
        <v>0</v>
      </c>
      <c r="AN159" s="28">
        <v>21</v>
      </c>
      <c r="AO159" s="28">
        <f>H159*1</f>
        <v>0</v>
      </c>
      <c r="AP159" s="28">
        <f>H159*(1-1)</f>
        <v>0</v>
      </c>
      <c r="AQ159" s="30" t="s">
        <v>893</v>
      </c>
      <c r="AV159" s="28">
        <f>AW159+AX159</f>
        <v>0</v>
      </c>
      <c r="AW159" s="28">
        <f>G159*AO159</f>
        <v>0</v>
      </c>
      <c r="AX159" s="28">
        <f>G159*AP159</f>
        <v>0</v>
      </c>
      <c r="AY159" s="30" t="s">
        <v>61</v>
      </c>
      <c r="AZ159" s="30" t="s">
        <v>827</v>
      </c>
      <c r="BA159" s="21" t="s">
        <v>121</v>
      </c>
      <c r="BC159" s="28">
        <f>AW159+AX159</f>
        <v>0</v>
      </c>
      <c r="BD159" s="28">
        <f>H159/(100-BE159)*100</f>
        <v>0</v>
      </c>
      <c r="BE159" s="28">
        <v>0</v>
      </c>
      <c r="BF159" s="28">
        <f>159</f>
        <v>159</v>
      </c>
      <c r="BH159" s="28">
        <f>G159*AO159</f>
        <v>0</v>
      </c>
      <c r="BI159" s="28">
        <f>G159*AP159</f>
        <v>0</v>
      </c>
      <c r="BJ159" s="28">
        <f>G159*H159</f>
        <v>0</v>
      </c>
      <c r="BK159" s="28"/>
      <c r="BL159" s="28">
        <v>87</v>
      </c>
      <c r="BW159" s="28">
        <v>21</v>
      </c>
    </row>
    <row r="160" spans="1:47" ht="15" customHeight="1">
      <c r="A160" s="3" t="s">
        <v>626</v>
      </c>
      <c r="B160" s="43" t="s">
        <v>803</v>
      </c>
      <c r="C160" s="43" t="s">
        <v>958</v>
      </c>
      <c r="D160" s="103" t="s">
        <v>573</v>
      </c>
      <c r="E160" s="104"/>
      <c r="F160" s="37" t="s">
        <v>836</v>
      </c>
      <c r="G160" s="37" t="s">
        <v>836</v>
      </c>
      <c r="H160" s="118" t="s">
        <v>836</v>
      </c>
      <c r="I160" s="119">
        <f>SUM(I161:I164)</f>
        <v>0</v>
      </c>
      <c r="K160" s="8"/>
      <c r="AI160" s="21" t="s">
        <v>803</v>
      </c>
      <c r="AS160" s="31">
        <f>SUM(AJ161:AJ164)</f>
        <v>0</v>
      </c>
      <c r="AT160" s="31">
        <f>SUM(AK161:AK164)</f>
        <v>0</v>
      </c>
      <c r="AU160" s="31">
        <f>SUM(AL161:AL164)</f>
        <v>0</v>
      </c>
    </row>
    <row r="161" spans="1:75" ht="13.5" customHeight="1">
      <c r="A161" s="38" t="s">
        <v>368</v>
      </c>
      <c r="B161" s="39" t="s">
        <v>803</v>
      </c>
      <c r="C161" s="39" t="s">
        <v>373</v>
      </c>
      <c r="D161" s="50" t="s">
        <v>546</v>
      </c>
      <c r="E161" s="51"/>
      <c r="F161" s="39" t="s">
        <v>741</v>
      </c>
      <c r="G161" s="28">
        <v>383</v>
      </c>
      <c r="H161" s="120">
        <v>0</v>
      </c>
      <c r="I161" s="120">
        <f>G161*H161</f>
        <v>0</v>
      </c>
      <c r="K161" s="8"/>
      <c r="Z161" s="28">
        <f>IF(AQ161="5",BJ161,0)</f>
        <v>0</v>
      </c>
      <c r="AB161" s="28">
        <f>IF(AQ161="1",BH161,0)</f>
        <v>0</v>
      </c>
      <c r="AC161" s="28">
        <f>IF(AQ161="1",BI161,0)</f>
        <v>0</v>
      </c>
      <c r="AD161" s="28">
        <f>IF(AQ161="7",BH161,0)</f>
        <v>0</v>
      </c>
      <c r="AE161" s="28">
        <f>IF(AQ161="7",BI161,0)</f>
        <v>0</v>
      </c>
      <c r="AF161" s="28">
        <f>IF(AQ161="2",BH161,0)</f>
        <v>0</v>
      </c>
      <c r="AG161" s="28">
        <f>IF(AQ161="2",BI161,0)</f>
        <v>0</v>
      </c>
      <c r="AH161" s="28">
        <f>IF(AQ161="0",BJ161,0)</f>
        <v>0</v>
      </c>
      <c r="AI161" s="21" t="s">
        <v>803</v>
      </c>
      <c r="AJ161" s="28">
        <f>IF(AN161=0,I161,0)</f>
        <v>0</v>
      </c>
      <c r="AK161" s="28">
        <f>IF(AN161=12,I161,0)</f>
        <v>0</v>
      </c>
      <c r="AL161" s="28">
        <f>IF(AN161=21,I161,0)</f>
        <v>0</v>
      </c>
      <c r="AN161" s="28">
        <v>21</v>
      </c>
      <c r="AO161" s="28">
        <f>H161*0.634725125713317</f>
        <v>0</v>
      </c>
      <c r="AP161" s="28">
        <f>H161*(1-0.634725125713317)</f>
        <v>0</v>
      </c>
      <c r="AQ161" s="30" t="s">
        <v>893</v>
      </c>
      <c r="AV161" s="28">
        <f>AW161+AX161</f>
        <v>0</v>
      </c>
      <c r="AW161" s="28">
        <f>G161*AO161</f>
        <v>0</v>
      </c>
      <c r="AX161" s="28">
        <f>G161*AP161</f>
        <v>0</v>
      </c>
      <c r="AY161" s="30" t="s">
        <v>74</v>
      </c>
      <c r="AZ161" s="30" t="s">
        <v>827</v>
      </c>
      <c r="BA161" s="21" t="s">
        <v>121</v>
      </c>
      <c r="BC161" s="28">
        <f>AW161+AX161</f>
        <v>0</v>
      </c>
      <c r="BD161" s="28">
        <f>H161/(100-BE161)*100</f>
        <v>0</v>
      </c>
      <c r="BE161" s="28">
        <v>0</v>
      </c>
      <c r="BF161" s="28">
        <f>161</f>
        <v>161</v>
      </c>
      <c r="BH161" s="28">
        <f>G161*AO161</f>
        <v>0</v>
      </c>
      <c r="BI161" s="28">
        <f>G161*AP161</f>
        <v>0</v>
      </c>
      <c r="BJ161" s="28">
        <f>G161*H161</f>
        <v>0</v>
      </c>
      <c r="BK161" s="28"/>
      <c r="BL161" s="28">
        <v>89</v>
      </c>
      <c r="BW161" s="28">
        <v>21</v>
      </c>
    </row>
    <row r="162" spans="1:75" ht="13.5" customHeight="1">
      <c r="A162" s="38" t="s">
        <v>165</v>
      </c>
      <c r="B162" s="39" t="s">
        <v>803</v>
      </c>
      <c r="C162" s="39" t="s">
        <v>291</v>
      </c>
      <c r="D162" s="50" t="s">
        <v>701</v>
      </c>
      <c r="E162" s="51"/>
      <c r="F162" s="39" t="s">
        <v>228</v>
      </c>
      <c r="G162" s="28">
        <v>1</v>
      </c>
      <c r="H162" s="120">
        <v>0</v>
      </c>
      <c r="I162" s="120">
        <f>G162*H162</f>
        <v>0</v>
      </c>
      <c r="K162" s="8"/>
      <c r="Z162" s="28">
        <f>IF(AQ162="5",BJ162,0)</f>
        <v>0</v>
      </c>
      <c r="AB162" s="28">
        <f>IF(AQ162="1",BH162,0)</f>
        <v>0</v>
      </c>
      <c r="AC162" s="28">
        <f>IF(AQ162="1",BI162,0)</f>
        <v>0</v>
      </c>
      <c r="AD162" s="28">
        <f>IF(AQ162="7",BH162,0)</f>
        <v>0</v>
      </c>
      <c r="AE162" s="28">
        <f>IF(AQ162="7",BI162,0)</f>
        <v>0</v>
      </c>
      <c r="AF162" s="28">
        <f>IF(AQ162="2",BH162,0)</f>
        <v>0</v>
      </c>
      <c r="AG162" s="28">
        <f>IF(AQ162="2",BI162,0)</f>
        <v>0</v>
      </c>
      <c r="AH162" s="28">
        <f>IF(AQ162="0",BJ162,0)</f>
        <v>0</v>
      </c>
      <c r="AI162" s="21" t="s">
        <v>803</v>
      </c>
      <c r="AJ162" s="28">
        <f>IF(AN162=0,I162,0)</f>
        <v>0</v>
      </c>
      <c r="AK162" s="28">
        <f>IF(AN162=12,I162,0)</f>
        <v>0</v>
      </c>
      <c r="AL162" s="28">
        <f>IF(AN162=21,I162,0)</f>
        <v>0</v>
      </c>
      <c r="AN162" s="28">
        <v>21</v>
      </c>
      <c r="AO162" s="28">
        <f>H162*0.913480060575467</f>
        <v>0</v>
      </c>
      <c r="AP162" s="28">
        <f>H162*(1-0.913480060575467)</f>
        <v>0</v>
      </c>
      <c r="AQ162" s="30" t="s">
        <v>893</v>
      </c>
      <c r="AV162" s="28">
        <f>AW162+AX162</f>
        <v>0</v>
      </c>
      <c r="AW162" s="28">
        <f>G162*AO162</f>
        <v>0</v>
      </c>
      <c r="AX162" s="28">
        <f>G162*AP162</f>
        <v>0</v>
      </c>
      <c r="AY162" s="30" t="s">
        <v>74</v>
      </c>
      <c r="AZ162" s="30" t="s">
        <v>827</v>
      </c>
      <c r="BA162" s="21" t="s">
        <v>121</v>
      </c>
      <c r="BC162" s="28">
        <f>AW162+AX162</f>
        <v>0</v>
      </c>
      <c r="BD162" s="28">
        <f>H162/(100-BE162)*100</f>
        <v>0</v>
      </c>
      <c r="BE162" s="28">
        <v>0</v>
      </c>
      <c r="BF162" s="28">
        <f>162</f>
        <v>162</v>
      </c>
      <c r="BH162" s="28">
        <f>G162*AO162</f>
        <v>0</v>
      </c>
      <c r="BI162" s="28">
        <f>G162*AP162</f>
        <v>0</v>
      </c>
      <c r="BJ162" s="28">
        <f>G162*H162</f>
        <v>0</v>
      </c>
      <c r="BK162" s="28"/>
      <c r="BL162" s="28">
        <v>89</v>
      </c>
      <c r="BW162" s="28">
        <v>21</v>
      </c>
    </row>
    <row r="163" spans="1:75" ht="13.5" customHeight="1">
      <c r="A163" s="38" t="s">
        <v>209</v>
      </c>
      <c r="B163" s="39" t="s">
        <v>803</v>
      </c>
      <c r="C163" s="39" t="s">
        <v>176</v>
      </c>
      <c r="D163" s="50" t="s">
        <v>63</v>
      </c>
      <c r="E163" s="51"/>
      <c r="F163" s="39" t="s">
        <v>741</v>
      </c>
      <c r="G163" s="28">
        <v>295</v>
      </c>
      <c r="H163" s="120">
        <v>0</v>
      </c>
      <c r="I163" s="120">
        <f>G163*H163</f>
        <v>0</v>
      </c>
      <c r="K163" s="8"/>
      <c r="Z163" s="28">
        <f>IF(AQ163="5",BJ163,0)</f>
        <v>0</v>
      </c>
      <c r="AB163" s="28">
        <f>IF(AQ163="1",BH163,0)</f>
        <v>0</v>
      </c>
      <c r="AC163" s="28">
        <f>IF(AQ163="1",BI163,0)</f>
        <v>0</v>
      </c>
      <c r="AD163" s="28">
        <f>IF(AQ163="7",BH163,0)</f>
        <v>0</v>
      </c>
      <c r="AE163" s="28">
        <f>IF(AQ163="7",BI163,0)</f>
        <v>0</v>
      </c>
      <c r="AF163" s="28">
        <f>IF(AQ163="2",BH163,0)</f>
        <v>0</v>
      </c>
      <c r="AG163" s="28">
        <f>IF(AQ163="2",BI163,0)</f>
        <v>0</v>
      </c>
      <c r="AH163" s="28">
        <f>IF(AQ163="0",BJ163,0)</f>
        <v>0</v>
      </c>
      <c r="AI163" s="21" t="s">
        <v>803</v>
      </c>
      <c r="AJ163" s="28">
        <f>IF(AN163=0,I163,0)</f>
        <v>0</v>
      </c>
      <c r="AK163" s="28">
        <f>IF(AN163=12,I163,0)</f>
        <v>0</v>
      </c>
      <c r="AL163" s="28">
        <f>IF(AN163=21,I163,0)</f>
        <v>0</v>
      </c>
      <c r="AN163" s="28">
        <v>21</v>
      </c>
      <c r="AO163" s="28">
        <f>H163*0.353992183137912</f>
        <v>0</v>
      </c>
      <c r="AP163" s="28">
        <f>H163*(1-0.353992183137912)</f>
        <v>0</v>
      </c>
      <c r="AQ163" s="30" t="s">
        <v>893</v>
      </c>
      <c r="AV163" s="28">
        <f>AW163+AX163</f>
        <v>0</v>
      </c>
      <c r="AW163" s="28">
        <f>G163*AO163</f>
        <v>0</v>
      </c>
      <c r="AX163" s="28">
        <f>G163*AP163</f>
        <v>0</v>
      </c>
      <c r="AY163" s="30" t="s">
        <v>74</v>
      </c>
      <c r="AZ163" s="30" t="s">
        <v>827</v>
      </c>
      <c r="BA163" s="21" t="s">
        <v>121</v>
      </c>
      <c r="BC163" s="28">
        <f>AW163+AX163</f>
        <v>0</v>
      </c>
      <c r="BD163" s="28">
        <f>H163/(100-BE163)*100</f>
        <v>0</v>
      </c>
      <c r="BE163" s="28">
        <v>0</v>
      </c>
      <c r="BF163" s="28">
        <f>163</f>
        <v>163</v>
      </c>
      <c r="BH163" s="28">
        <f>G163*AO163</f>
        <v>0</v>
      </c>
      <c r="BI163" s="28">
        <f>G163*AP163</f>
        <v>0</v>
      </c>
      <c r="BJ163" s="28">
        <f>G163*H163</f>
        <v>0</v>
      </c>
      <c r="BK163" s="28"/>
      <c r="BL163" s="28">
        <v>89</v>
      </c>
      <c r="BW163" s="28">
        <v>21</v>
      </c>
    </row>
    <row r="164" spans="1:75" ht="13.5" customHeight="1">
      <c r="A164" s="38" t="s">
        <v>107</v>
      </c>
      <c r="B164" s="39" t="s">
        <v>803</v>
      </c>
      <c r="C164" s="39" t="s">
        <v>2</v>
      </c>
      <c r="D164" s="50" t="s">
        <v>1000</v>
      </c>
      <c r="E164" s="51"/>
      <c r="F164" s="39" t="s">
        <v>741</v>
      </c>
      <c r="G164" s="28">
        <v>295</v>
      </c>
      <c r="H164" s="120">
        <v>0</v>
      </c>
      <c r="I164" s="120">
        <f>G164*H164</f>
        <v>0</v>
      </c>
      <c r="K164" s="8"/>
      <c r="Z164" s="28">
        <f>IF(AQ164="5",BJ164,0)</f>
        <v>0</v>
      </c>
      <c r="AB164" s="28">
        <f>IF(AQ164="1",BH164,0)</f>
        <v>0</v>
      </c>
      <c r="AC164" s="28">
        <f>IF(AQ164="1",BI164,0)</f>
        <v>0</v>
      </c>
      <c r="AD164" s="28">
        <f>IF(AQ164="7",BH164,0)</f>
        <v>0</v>
      </c>
      <c r="AE164" s="28">
        <f>IF(AQ164="7",BI164,0)</f>
        <v>0</v>
      </c>
      <c r="AF164" s="28">
        <f>IF(AQ164="2",BH164,0)</f>
        <v>0</v>
      </c>
      <c r="AG164" s="28">
        <f>IF(AQ164="2",BI164,0)</f>
        <v>0</v>
      </c>
      <c r="AH164" s="28">
        <f>IF(AQ164="0",BJ164,0)</f>
        <v>0</v>
      </c>
      <c r="AI164" s="21" t="s">
        <v>803</v>
      </c>
      <c r="AJ164" s="28">
        <f>IF(AN164=0,I164,0)</f>
        <v>0</v>
      </c>
      <c r="AK164" s="28">
        <f>IF(AN164=12,I164,0)</f>
        <v>0</v>
      </c>
      <c r="AL164" s="28">
        <f>IF(AN164=21,I164,0)</f>
        <v>0</v>
      </c>
      <c r="AN164" s="28">
        <v>21</v>
      </c>
      <c r="AO164" s="28">
        <f>H164*0.568162332094884</f>
        <v>0</v>
      </c>
      <c r="AP164" s="28">
        <f>H164*(1-0.568162332094884)</f>
        <v>0</v>
      </c>
      <c r="AQ164" s="30" t="s">
        <v>893</v>
      </c>
      <c r="AV164" s="28">
        <f>AW164+AX164</f>
        <v>0</v>
      </c>
      <c r="AW164" s="28">
        <f>G164*AO164</f>
        <v>0</v>
      </c>
      <c r="AX164" s="28">
        <f>G164*AP164</f>
        <v>0</v>
      </c>
      <c r="AY164" s="30" t="s">
        <v>74</v>
      </c>
      <c r="AZ164" s="30" t="s">
        <v>827</v>
      </c>
      <c r="BA164" s="21" t="s">
        <v>121</v>
      </c>
      <c r="BC164" s="28">
        <f>AW164+AX164</f>
        <v>0</v>
      </c>
      <c r="BD164" s="28">
        <f>H164/(100-BE164)*100</f>
        <v>0</v>
      </c>
      <c r="BE164" s="28">
        <v>0</v>
      </c>
      <c r="BF164" s="28">
        <f>164</f>
        <v>164</v>
      </c>
      <c r="BH164" s="28">
        <f>G164*AO164</f>
        <v>0</v>
      </c>
      <c r="BI164" s="28">
        <f>G164*AP164</f>
        <v>0</v>
      </c>
      <c r="BJ164" s="28">
        <f>G164*H164</f>
        <v>0</v>
      </c>
      <c r="BK164" s="28"/>
      <c r="BL164" s="28">
        <v>89</v>
      </c>
      <c r="BW164" s="28">
        <v>21</v>
      </c>
    </row>
    <row r="165" spans="1:35" ht="15" customHeight="1">
      <c r="A165" s="3" t="s">
        <v>626</v>
      </c>
      <c r="B165" s="43" t="s">
        <v>803</v>
      </c>
      <c r="C165" s="43" t="s">
        <v>626</v>
      </c>
      <c r="D165" s="103" t="s">
        <v>523</v>
      </c>
      <c r="E165" s="104"/>
      <c r="F165" s="37" t="s">
        <v>836</v>
      </c>
      <c r="G165" s="37" t="s">
        <v>836</v>
      </c>
      <c r="H165" s="118" t="s">
        <v>836</v>
      </c>
      <c r="I165" s="119">
        <f>I166</f>
        <v>0</v>
      </c>
      <c r="K165" s="8"/>
      <c r="AI165" s="21" t="s">
        <v>803</v>
      </c>
    </row>
    <row r="166" spans="1:47" ht="15" customHeight="1">
      <c r="A166" s="3" t="s">
        <v>626</v>
      </c>
      <c r="B166" s="43" t="s">
        <v>803</v>
      </c>
      <c r="C166" s="43" t="s">
        <v>79</v>
      </c>
      <c r="D166" s="103" t="s">
        <v>868</v>
      </c>
      <c r="E166" s="104"/>
      <c r="F166" s="37" t="s">
        <v>836</v>
      </c>
      <c r="G166" s="37" t="s">
        <v>836</v>
      </c>
      <c r="H166" s="118" t="s">
        <v>836</v>
      </c>
      <c r="I166" s="119">
        <f>SUM(I167:I168)</f>
        <v>0</v>
      </c>
      <c r="K166" s="8"/>
      <c r="AI166" s="21" t="s">
        <v>803</v>
      </c>
      <c r="AS166" s="31">
        <f>SUM(AJ167:AJ168)</f>
        <v>0</v>
      </c>
      <c r="AT166" s="31">
        <f>SUM(AK167:AK168)</f>
        <v>0</v>
      </c>
      <c r="AU166" s="31">
        <f>SUM(AL167:AL168)</f>
        <v>0</v>
      </c>
    </row>
    <row r="167" spans="1:75" ht="13.5" customHeight="1">
      <c r="A167" s="38" t="s">
        <v>131</v>
      </c>
      <c r="B167" s="39" t="s">
        <v>803</v>
      </c>
      <c r="C167" s="39" t="s">
        <v>617</v>
      </c>
      <c r="D167" s="50" t="s">
        <v>353</v>
      </c>
      <c r="E167" s="51"/>
      <c r="F167" s="39" t="s">
        <v>603</v>
      </c>
      <c r="G167" s="28">
        <v>1</v>
      </c>
      <c r="H167" s="120">
        <v>0</v>
      </c>
      <c r="I167" s="120">
        <f>G167*H167</f>
        <v>0</v>
      </c>
      <c r="K167" s="8"/>
      <c r="Z167" s="28">
        <f>IF(AQ167="5",BJ167,0)</f>
        <v>0</v>
      </c>
      <c r="AB167" s="28">
        <f>IF(AQ167="1",BH167,0)</f>
        <v>0</v>
      </c>
      <c r="AC167" s="28">
        <f>IF(AQ167="1",BI167,0)</f>
        <v>0</v>
      </c>
      <c r="AD167" s="28">
        <f>IF(AQ167="7",BH167,0)</f>
        <v>0</v>
      </c>
      <c r="AE167" s="28">
        <f>IF(AQ167="7",BI167,0)</f>
        <v>0</v>
      </c>
      <c r="AF167" s="28">
        <f>IF(AQ167="2",BH167,0)</f>
        <v>0</v>
      </c>
      <c r="AG167" s="28">
        <f>IF(AQ167="2",BI167,0)</f>
        <v>0</v>
      </c>
      <c r="AH167" s="28">
        <f>IF(AQ167="0",BJ167,0)</f>
        <v>0</v>
      </c>
      <c r="AI167" s="21" t="s">
        <v>803</v>
      </c>
      <c r="AJ167" s="28">
        <f>IF(AN167=0,I167,0)</f>
        <v>0</v>
      </c>
      <c r="AK167" s="28">
        <f>IF(AN167=12,I167,0)</f>
        <v>0</v>
      </c>
      <c r="AL167" s="28">
        <f>IF(AN167=21,I167,0)</f>
        <v>0</v>
      </c>
      <c r="AN167" s="28">
        <v>21</v>
      </c>
      <c r="AO167" s="28">
        <f>H167*0</f>
        <v>0</v>
      </c>
      <c r="AP167" s="28">
        <f>H167*(1-0)</f>
        <v>0</v>
      </c>
      <c r="AQ167" s="30" t="s">
        <v>408</v>
      </c>
      <c r="AV167" s="28">
        <f>AW167+AX167</f>
        <v>0</v>
      </c>
      <c r="AW167" s="28">
        <f>G167*AO167</f>
        <v>0</v>
      </c>
      <c r="AX167" s="28">
        <f>G167*AP167</f>
        <v>0</v>
      </c>
      <c r="AY167" s="30" t="s">
        <v>462</v>
      </c>
      <c r="AZ167" s="30" t="s">
        <v>302</v>
      </c>
      <c r="BA167" s="21" t="s">
        <v>121</v>
      </c>
      <c r="BC167" s="28">
        <f>AW167+AX167</f>
        <v>0</v>
      </c>
      <c r="BD167" s="28">
        <f>H167/(100-BE167)*100</f>
        <v>0</v>
      </c>
      <c r="BE167" s="28">
        <v>0</v>
      </c>
      <c r="BF167" s="28">
        <f>167</f>
        <v>167</v>
      </c>
      <c r="BH167" s="28">
        <f>G167*AO167</f>
        <v>0</v>
      </c>
      <c r="BI167" s="28">
        <f>G167*AP167</f>
        <v>0</v>
      </c>
      <c r="BJ167" s="28">
        <f>G167*H167</f>
        <v>0</v>
      </c>
      <c r="BK167" s="28"/>
      <c r="BL167" s="28"/>
      <c r="BR167" s="28">
        <f>G167*H167</f>
        <v>0</v>
      </c>
      <c r="BW167" s="28">
        <v>21</v>
      </c>
    </row>
    <row r="168" spans="1:75" ht="13.5" customHeight="1">
      <c r="A168" s="38" t="s">
        <v>845</v>
      </c>
      <c r="B168" s="39" t="s">
        <v>803</v>
      </c>
      <c r="C168" s="39" t="s">
        <v>782</v>
      </c>
      <c r="D168" s="50" t="s">
        <v>968</v>
      </c>
      <c r="E168" s="51"/>
      <c r="F168" s="39" t="s">
        <v>396</v>
      </c>
      <c r="G168" s="28">
        <v>1132.84045</v>
      </c>
      <c r="H168" s="120">
        <v>0</v>
      </c>
      <c r="I168" s="120">
        <f>G168*H168</f>
        <v>0</v>
      </c>
      <c r="K168" s="8"/>
      <c r="Z168" s="28">
        <f>IF(AQ168="5",BJ168,0)</f>
        <v>0</v>
      </c>
      <c r="AB168" s="28">
        <f>IF(AQ168="1",BH168,0)</f>
        <v>0</v>
      </c>
      <c r="AC168" s="28">
        <f>IF(AQ168="1",BI168,0)</f>
        <v>0</v>
      </c>
      <c r="AD168" s="28">
        <f>IF(AQ168="7",BH168,0)</f>
        <v>0</v>
      </c>
      <c r="AE168" s="28">
        <f>IF(AQ168="7",BI168,0)</f>
        <v>0</v>
      </c>
      <c r="AF168" s="28">
        <f>IF(AQ168="2",BH168,0)</f>
        <v>0</v>
      </c>
      <c r="AG168" s="28">
        <f>IF(AQ168="2",BI168,0)</f>
        <v>0</v>
      </c>
      <c r="AH168" s="28">
        <f>IF(AQ168="0",BJ168,0)</f>
        <v>0</v>
      </c>
      <c r="AI168" s="21" t="s">
        <v>803</v>
      </c>
      <c r="AJ168" s="28">
        <f>IF(AN168=0,I168,0)</f>
        <v>0</v>
      </c>
      <c r="AK168" s="28">
        <f>IF(AN168=12,I168,0)</f>
        <v>0</v>
      </c>
      <c r="AL168" s="28">
        <f>IF(AN168=21,I168,0)</f>
        <v>0</v>
      </c>
      <c r="AN168" s="28">
        <v>21</v>
      </c>
      <c r="AO168" s="28">
        <f>H168*0</f>
        <v>0</v>
      </c>
      <c r="AP168" s="28">
        <f>H168*(1-0)</f>
        <v>0</v>
      </c>
      <c r="AQ168" s="30" t="s">
        <v>455</v>
      </c>
      <c r="AV168" s="28">
        <f>AW168+AX168</f>
        <v>0</v>
      </c>
      <c r="AW168" s="28">
        <f>G168*AO168</f>
        <v>0</v>
      </c>
      <c r="AX168" s="28">
        <f>G168*AP168</f>
        <v>0</v>
      </c>
      <c r="AY168" s="30" t="s">
        <v>462</v>
      </c>
      <c r="AZ168" s="30" t="s">
        <v>302</v>
      </c>
      <c r="BA168" s="21" t="s">
        <v>121</v>
      </c>
      <c r="BC168" s="28">
        <f>AW168+AX168</f>
        <v>0</v>
      </c>
      <c r="BD168" s="28">
        <f>H168/(100-BE168)*100</f>
        <v>0</v>
      </c>
      <c r="BE168" s="28">
        <v>0</v>
      </c>
      <c r="BF168" s="28">
        <f>168</f>
        <v>168</v>
      </c>
      <c r="BH168" s="28">
        <f>G168*AO168</f>
        <v>0</v>
      </c>
      <c r="BI168" s="28">
        <f>G168*AP168</f>
        <v>0</v>
      </c>
      <c r="BJ168" s="28">
        <f>G168*H168</f>
        <v>0</v>
      </c>
      <c r="BK168" s="28"/>
      <c r="BL168" s="28"/>
      <c r="BR168" s="28">
        <f>G168*H168</f>
        <v>0</v>
      </c>
      <c r="BW168" s="28">
        <v>21</v>
      </c>
    </row>
    <row r="169" spans="1:11" ht="15" customHeight="1">
      <c r="A169" s="3" t="s">
        <v>626</v>
      </c>
      <c r="B169" s="43" t="s">
        <v>591</v>
      </c>
      <c r="C169" s="43" t="s">
        <v>626</v>
      </c>
      <c r="D169" s="103" t="s">
        <v>876</v>
      </c>
      <c r="E169" s="104"/>
      <c r="F169" s="37" t="s">
        <v>836</v>
      </c>
      <c r="G169" s="37" t="s">
        <v>836</v>
      </c>
      <c r="H169" s="118" t="s">
        <v>836</v>
      </c>
      <c r="I169" s="119">
        <f>I170+I180+I182+I198+I200+I208+I220+I236</f>
        <v>0</v>
      </c>
      <c r="K169" s="8"/>
    </row>
    <row r="170" spans="1:47" ht="15" customHeight="1">
      <c r="A170" s="3" t="s">
        <v>626</v>
      </c>
      <c r="B170" s="43" t="s">
        <v>591</v>
      </c>
      <c r="C170" s="43" t="s">
        <v>451</v>
      </c>
      <c r="D170" s="103" t="s">
        <v>538</v>
      </c>
      <c r="E170" s="104"/>
      <c r="F170" s="37" t="s">
        <v>836</v>
      </c>
      <c r="G170" s="37" t="s">
        <v>836</v>
      </c>
      <c r="H170" s="118" t="s">
        <v>836</v>
      </c>
      <c r="I170" s="119">
        <f>SUM(I171:I179)</f>
        <v>0</v>
      </c>
      <c r="K170" s="8"/>
      <c r="AI170" s="21" t="s">
        <v>591</v>
      </c>
      <c r="AS170" s="31">
        <f>SUM(AJ171:AJ179)</f>
        <v>0</v>
      </c>
      <c r="AT170" s="31">
        <f>SUM(AK171:AK179)</f>
        <v>0</v>
      </c>
      <c r="AU170" s="31">
        <f>SUM(AL171:AL179)</f>
        <v>0</v>
      </c>
    </row>
    <row r="171" spans="1:75" ht="13.5" customHeight="1">
      <c r="A171" s="38" t="s">
        <v>652</v>
      </c>
      <c r="B171" s="39" t="s">
        <v>591</v>
      </c>
      <c r="C171" s="39" t="s">
        <v>840</v>
      </c>
      <c r="D171" s="50" t="s">
        <v>483</v>
      </c>
      <c r="E171" s="51"/>
      <c r="F171" s="39" t="s">
        <v>228</v>
      </c>
      <c r="G171" s="28">
        <v>1</v>
      </c>
      <c r="H171" s="120">
        <v>0</v>
      </c>
      <c r="I171" s="120">
        <f aca="true" t="shared" si="120" ref="I171:I179">G171*H171</f>
        <v>0</v>
      </c>
      <c r="K171" s="8"/>
      <c r="Z171" s="28">
        <f aca="true" t="shared" si="121" ref="Z171:Z179">IF(AQ171="5",BJ171,0)</f>
        <v>0</v>
      </c>
      <c r="AB171" s="28">
        <f aca="true" t="shared" si="122" ref="AB171:AB179">IF(AQ171="1",BH171,0)</f>
        <v>0</v>
      </c>
      <c r="AC171" s="28">
        <f aca="true" t="shared" si="123" ref="AC171:AC179">IF(AQ171="1",BI171,0)</f>
        <v>0</v>
      </c>
      <c r="AD171" s="28">
        <f aca="true" t="shared" si="124" ref="AD171:AD179">IF(AQ171="7",BH171,0)</f>
        <v>0</v>
      </c>
      <c r="AE171" s="28">
        <f aca="true" t="shared" si="125" ref="AE171:AE179">IF(AQ171="7",BI171,0)</f>
        <v>0</v>
      </c>
      <c r="AF171" s="28">
        <f aca="true" t="shared" si="126" ref="AF171:AF179">IF(AQ171="2",BH171,0)</f>
        <v>0</v>
      </c>
      <c r="AG171" s="28">
        <f aca="true" t="shared" si="127" ref="AG171:AG179">IF(AQ171="2",BI171,0)</f>
        <v>0</v>
      </c>
      <c r="AH171" s="28">
        <f aca="true" t="shared" si="128" ref="AH171:AH179">IF(AQ171="0",BJ171,0)</f>
        <v>0</v>
      </c>
      <c r="AI171" s="21" t="s">
        <v>591</v>
      </c>
      <c r="AJ171" s="28">
        <f aca="true" t="shared" si="129" ref="AJ171:AJ179">IF(AN171=0,I171,0)</f>
        <v>0</v>
      </c>
      <c r="AK171" s="28">
        <f aca="true" t="shared" si="130" ref="AK171:AK179">IF(AN171=12,I171,0)</f>
        <v>0</v>
      </c>
      <c r="AL171" s="28">
        <f aca="true" t="shared" si="131" ref="AL171:AL179">IF(AN171=21,I171,0)</f>
        <v>0</v>
      </c>
      <c r="AN171" s="28">
        <v>21</v>
      </c>
      <c r="AO171" s="28">
        <f>H171*0</f>
        <v>0</v>
      </c>
      <c r="AP171" s="28">
        <f>H171*(1-0)</f>
        <v>0</v>
      </c>
      <c r="AQ171" s="30" t="s">
        <v>893</v>
      </c>
      <c r="AV171" s="28">
        <f aca="true" t="shared" si="132" ref="AV171:AV179">AW171+AX171</f>
        <v>0</v>
      </c>
      <c r="AW171" s="28">
        <f aca="true" t="shared" si="133" ref="AW171:AW179">G171*AO171</f>
        <v>0</v>
      </c>
      <c r="AX171" s="28">
        <f aca="true" t="shared" si="134" ref="AX171:AX179">G171*AP171</f>
        <v>0</v>
      </c>
      <c r="AY171" s="30" t="s">
        <v>792</v>
      </c>
      <c r="AZ171" s="30" t="s">
        <v>26</v>
      </c>
      <c r="BA171" s="21" t="s">
        <v>762</v>
      </c>
      <c r="BC171" s="28">
        <f aca="true" t="shared" si="135" ref="BC171:BC179">AW171+AX171</f>
        <v>0</v>
      </c>
      <c r="BD171" s="28">
        <f aca="true" t="shared" si="136" ref="BD171:BD179">H171/(100-BE171)*100</f>
        <v>0</v>
      </c>
      <c r="BE171" s="28">
        <v>0</v>
      </c>
      <c r="BF171" s="28">
        <f>171</f>
        <v>171</v>
      </c>
      <c r="BH171" s="28">
        <f aca="true" t="shared" si="137" ref="BH171:BH179">G171*AO171</f>
        <v>0</v>
      </c>
      <c r="BI171" s="28">
        <f aca="true" t="shared" si="138" ref="BI171:BI179">G171*AP171</f>
        <v>0</v>
      </c>
      <c r="BJ171" s="28">
        <f aca="true" t="shared" si="139" ref="BJ171:BJ179">G171*H171</f>
        <v>0</v>
      </c>
      <c r="BK171" s="28"/>
      <c r="BL171" s="28">
        <v>0</v>
      </c>
      <c r="BW171" s="28">
        <v>21</v>
      </c>
    </row>
    <row r="172" spans="1:75" ht="13.5" customHeight="1">
      <c r="A172" s="38" t="s">
        <v>419</v>
      </c>
      <c r="B172" s="39" t="s">
        <v>591</v>
      </c>
      <c r="C172" s="39" t="s">
        <v>624</v>
      </c>
      <c r="D172" s="50" t="s">
        <v>763</v>
      </c>
      <c r="E172" s="51"/>
      <c r="F172" s="39" t="s">
        <v>473</v>
      </c>
      <c r="G172" s="28">
        <v>12</v>
      </c>
      <c r="H172" s="120">
        <v>0</v>
      </c>
      <c r="I172" s="120">
        <f t="shared" si="120"/>
        <v>0</v>
      </c>
      <c r="K172" s="8"/>
      <c r="Z172" s="28">
        <f t="shared" si="121"/>
        <v>0</v>
      </c>
      <c r="AB172" s="28">
        <f t="shared" si="122"/>
        <v>0</v>
      </c>
      <c r="AC172" s="28">
        <f t="shared" si="123"/>
        <v>0</v>
      </c>
      <c r="AD172" s="28">
        <f t="shared" si="124"/>
        <v>0</v>
      </c>
      <c r="AE172" s="28">
        <f t="shared" si="125"/>
        <v>0</v>
      </c>
      <c r="AF172" s="28">
        <f t="shared" si="126"/>
        <v>0</v>
      </c>
      <c r="AG172" s="28">
        <f t="shared" si="127"/>
        <v>0</v>
      </c>
      <c r="AH172" s="28">
        <f t="shared" si="128"/>
        <v>0</v>
      </c>
      <c r="AI172" s="21" t="s">
        <v>591</v>
      </c>
      <c r="AJ172" s="28">
        <f t="shared" si="129"/>
        <v>0</v>
      </c>
      <c r="AK172" s="28">
        <f t="shared" si="130"/>
        <v>0</v>
      </c>
      <c r="AL172" s="28">
        <f t="shared" si="131"/>
        <v>0</v>
      </c>
      <c r="AN172" s="28">
        <v>21</v>
      </c>
      <c r="AO172" s="28">
        <f>H172*0</f>
        <v>0</v>
      </c>
      <c r="AP172" s="28">
        <f>H172*(1-0)</f>
        <v>0</v>
      </c>
      <c r="AQ172" s="30" t="s">
        <v>893</v>
      </c>
      <c r="AV172" s="28">
        <f t="shared" si="132"/>
        <v>0</v>
      </c>
      <c r="AW172" s="28">
        <f t="shared" si="133"/>
        <v>0</v>
      </c>
      <c r="AX172" s="28">
        <f t="shared" si="134"/>
        <v>0</v>
      </c>
      <c r="AY172" s="30" t="s">
        <v>792</v>
      </c>
      <c r="AZ172" s="30" t="s">
        <v>26</v>
      </c>
      <c r="BA172" s="21" t="s">
        <v>762</v>
      </c>
      <c r="BC172" s="28">
        <f t="shared" si="135"/>
        <v>0</v>
      </c>
      <c r="BD172" s="28">
        <f t="shared" si="136"/>
        <v>0</v>
      </c>
      <c r="BE172" s="28">
        <v>0</v>
      </c>
      <c r="BF172" s="28">
        <f>172</f>
        <v>172</v>
      </c>
      <c r="BH172" s="28">
        <f t="shared" si="137"/>
        <v>0</v>
      </c>
      <c r="BI172" s="28">
        <f t="shared" si="138"/>
        <v>0</v>
      </c>
      <c r="BJ172" s="28">
        <f t="shared" si="139"/>
        <v>0</v>
      </c>
      <c r="BK172" s="28"/>
      <c r="BL172" s="28">
        <v>0</v>
      </c>
      <c r="BW172" s="28">
        <v>21</v>
      </c>
    </row>
    <row r="173" spans="1:75" ht="27" customHeight="1">
      <c r="A173" s="38" t="s">
        <v>651</v>
      </c>
      <c r="B173" s="39" t="s">
        <v>591</v>
      </c>
      <c r="C173" s="39" t="s">
        <v>618</v>
      </c>
      <c r="D173" s="50" t="s">
        <v>616</v>
      </c>
      <c r="E173" s="51"/>
      <c r="F173" s="39" t="s">
        <v>578</v>
      </c>
      <c r="G173" s="28">
        <v>12</v>
      </c>
      <c r="H173" s="120">
        <v>0</v>
      </c>
      <c r="I173" s="120">
        <f t="shared" si="120"/>
        <v>0</v>
      </c>
      <c r="K173" s="8"/>
      <c r="Z173" s="28">
        <f t="shared" si="121"/>
        <v>0</v>
      </c>
      <c r="AB173" s="28">
        <f t="shared" si="122"/>
        <v>0</v>
      </c>
      <c r="AC173" s="28">
        <f t="shared" si="123"/>
        <v>0</v>
      </c>
      <c r="AD173" s="28">
        <f t="shared" si="124"/>
        <v>0</v>
      </c>
      <c r="AE173" s="28">
        <f t="shared" si="125"/>
        <v>0</v>
      </c>
      <c r="AF173" s="28">
        <f t="shared" si="126"/>
        <v>0</v>
      </c>
      <c r="AG173" s="28">
        <f t="shared" si="127"/>
        <v>0</v>
      </c>
      <c r="AH173" s="28">
        <f t="shared" si="128"/>
        <v>0</v>
      </c>
      <c r="AI173" s="21" t="s">
        <v>591</v>
      </c>
      <c r="AJ173" s="28">
        <f t="shared" si="129"/>
        <v>0</v>
      </c>
      <c r="AK173" s="28">
        <f t="shared" si="130"/>
        <v>0</v>
      </c>
      <c r="AL173" s="28">
        <f t="shared" si="131"/>
        <v>0</v>
      </c>
      <c r="AN173" s="28">
        <v>21</v>
      </c>
      <c r="AO173" s="28">
        <f>H173*0.298352654057352</f>
        <v>0</v>
      </c>
      <c r="AP173" s="28">
        <f>H173*(1-0.298352654057352)</f>
        <v>0</v>
      </c>
      <c r="AQ173" s="30" t="s">
        <v>893</v>
      </c>
      <c r="AV173" s="28">
        <f t="shared" si="132"/>
        <v>0</v>
      </c>
      <c r="AW173" s="28">
        <f t="shared" si="133"/>
        <v>0</v>
      </c>
      <c r="AX173" s="28">
        <f t="shared" si="134"/>
        <v>0</v>
      </c>
      <c r="AY173" s="30" t="s">
        <v>792</v>
      </c>
      <c r="AZ173" s="30" t="s">
        <v>26</v>
      </c>
      <c r="BA173" s="21" t="s">
        <v>762</v>
      </c>
      <c r="BC173" s="28">
        <f t="shared" si="135"/>
        <v>0</v>
      </c>
      <c r="BD173" s="28">
        <f t="shared" si="136"/>
        <v>0</v>
      </c>
      <c r="BE173" s="28">
        <v>0</v>
      </c>
      <c r="BF173" s="28">
        <f>173</f>
        <v>173</v>
      </c>
      <c r="BH173" s="28">
        <f t="shared" si="137"/>
        <v>0</v>
      </c>
      <c r="BI173" s="28">
        <f t="shared" si="138"/>
        <v>0</v>
      </c>
      <c r="BJ173" s="28">
        <f t="shared" si="139"/>
        <v>0</v>
      </c>
      <c r="BK173" s="28"/>
      <c r="BL173" s="28">
        <v>0</v>
      </c>
      <c r="BW173" s="28">
        <v>21</v>
      </c>
    </row>
    <row r="174" spans="1:75" ht="13.5" customHeight="1">
      <c r="A174" s="38" t="s">
        <v>289</v>
      </c>
      <c r="B174" s="39" t="s">
        <v>591</v>
      </c>
      <c r="C174" s="39" t="s">
        <v>181</v>
      </c>
      <c r="D174" s="50" t="s">
        <v>28</v>
      </c>
      <c r="E174" s="51"/>
      <c r="F174" s="39" t="s">
        <v>311</v>
      </c>
      <c r="G174" s="28">
        <v>1</v>
      </c>
      <c r="H174" s="120">
        <v>0</v>
      </c>
      <c r="I174" s="120">
        <f t="shared" si="120"/>
        <v>0</v>
      </c>
      <c r="K174" s="8"/>
      <c r="Z174" s="28">
        <f t="shared" si="121"/>
        <v>0</v>
      </c>
      <c r="AB174" s="28">
        <f t="shared" si="122"/>
        <v>0</v>
      </c>
      <c r="AC174" s="28">
        <f t="shared" si="123"/>
        <v>0</v>
      </c>
      <c r="AD174" s="28">
        <f t="shared" si="124"/>
        <v>0</v>
      </c>
      <c r="AE174" s="28">
        <f t="shared" si="125"/>
        <v>0</v>
      </c>
      <c r="AF174" s="28">
        <f t="shared" si="126"/>
        <v>0</v>
      </c>
      <c r="AG174" s="28">
        <f t="shared" si="127"/>
        <v>0</v>
      </c>
      <c r="AH174" s="28">
        <f t="shared" si="128"/>
        <v>0</v>
      </c>
      <c r="AI174" s="21" t="s">
        <v>591</v>
      </c>
      <c r="AJ174" s="28">
        <f t="shared" si="129"/>
        <v>0</v>
      </c>
      <c r="AK174" s="28">
        <f t="shared" si="130"/>
        <v>0</v>
      </c>
      <c r="AL174" s="28">
        <f t="shared" si="131"/>
        <v>0</v>
      </c>
      <c r="AN174" s="28">
        <v>21</v>
      </c>
      <c r="AO174" s="28">
        <f>H174*0</f>
        <v>0</v>
      </c>
      <c r="AP174" s="28">
        <f>H174*(1-0)</f>
        <v>0</v>
      </c>
      <c r="AQ174" s="30" t="s">
        <v>893</v>
      </c>
      <c r="AV174" s="28">
        <f t="shared" si="132"/>
        <v>0</v>
      </c>
      <c r="AW174" s="28">
        <f t="shared" si="133"/>
        <v>0</v>
      </c>
      <c r="AX174" s="28">
        <f t="shared" si="134"/>
        <v>0</v>
      </c>
      <c r="AY174" s="30" t="s">
        <v>792</v>
      </c>
      <c r="AZ174" s="30" t="s">
        <v>26</v>
      </c>
      <c r="BA174" s="21" t="s">
        <v>762</v>
      </c>
      <c r="BC174" s="28">
        <f t="shared" si="135"/>
        <v>0</v>
      </c>
      <c r="BD174" s="28">
        <f t="shared" si="136"/>
        <v>0</v>
      </c>
      <c r="BE174" s="28">
        <v>0</v>
      </c>
      <c r="BF174" s="28">
        <f>174</f>
        <v>174</v>
      </c>
      <c r="BH174" s="28">
        <f t="shared" si="137"/>
        <v>0</v>
      </c>
      <c r="BI174" s="28">
        <f t="shared" si="138"/>
        <v>0</v>
      </c>
      <c r="BJ174" s="28">
        <f t="shared" si="139"/>
        <v>0</v>
      </c>
      <c r="BK174" s="28"/>
      <c r="BL174" s="28">
        <v>0</v>
      </c>
      <c r="BW174" s="28">
        <v>21</v>
      </c>
    </row>
    <row r="175" spans="1:75" ht="13.5" customHeight="1">
      <c r="A175" s="38" t="s">
        <v>391</v>
      </c>
      <c r="B175" s="39" t="s">
        <v>591</v>
      </c>
      <c r="C175" s="39" t="s">
        <v>370</v>
      </c>
      <c r="D175" s="50" t="s">
        <v>32</v>
      </c>
      <c r="E175" s="51"/>
      <c r="F175" s="39" t="s">
        <v>311</v>
      </c>
      <c r="G175" s="28">
        <v>1</v>
      </c>
      <c r="H175" s="120">
        <v>0</v>
      </c>
      <c r="I175" s="120">
        <f t="shared" si="120"/>
        <v>0</v>
      </c>
      <c r="K175" s="8"/>
      <c r="Z175" s="28">
        <f t="shared" si="121"/>
        <v>0</v>
      </c>
      <c r="AB175" s="28">
        <f t="shared" si="122"/>
        <v>0</v>
      </c>
      <c r="AC175" s="28">
        <f t="shared" si="123"/>
        <v>0</v>
      </c>
      <c r="AD175" s="28">
        <f t="shared" si="124"/>
        <v>0</v>
      </c>
      <c r="AE175" s="28">
        <f t="shared" si="125"/>
        <v>0</v>
      </c>
      <c r="AF175" s="28">
        <f t="shared" si="126"/>
        <v>0</v>
      </c>
      <c r="AG175" s="28">
        <f t="shared" si="127"/>
        <v>0</v>
      </c>
      <c r="AH175" s="28">
        <f t="shared" si="128"/>
        <v>0</v>
      </c>
      <c r="AI175" s="21" t="s">
        <v>591</v>
      </c>
      <c r="AJ175" s="28">
        <f t="shared" si="129"/>
        <v>0</v>
      </c>
      <c r="AK175" s="28">
        <f t="shared" si="130"/>
        <v>0</v>
      </c>
      <c r="AL175" s="28">
        <f t="shared" si="131"/>
        <v>0</v>
      </c>
      <c r="AN175" s="28">
        <v>21</v>
      </c>
      <c r="AO175" s="28">
        <f>H175*0</f>
        <v>0</v>
      </c>
      <c r="AP175" s="28">
        <f>H175*(1-0)</f>
        <v>0</v>
      </c>
      <c r="AQ175" s="30" t="s">
        <v>893</v>
      </c>
      <c r="AV175" s="28">
        <f t="shared" si="132"/>
        <v>0</v>
      </c>
      <c r="AW175" s="28">
        <f t="shared" si="133"/>
        <v>0</v>
      </c>
      <c r="AX175" s="28">
        <f t="shared" si="134"/>
        <v>0</v>
      </c>
      <c r="AY175" s="30" t="s">
        <v>792</v>
      </c>
      <c r="AZ175" s="30" t="s">
        <v>26</v>
      </c>
      <c r="BA175" s="21" t="s">
        <v>762</v>
      </c>
      <c r="BC175" s="28">
        <f t="shared" si="135"/>
        <v>0</v>
      </c>
      <c r="BD175" s="28">
        <f t="shared" si="136"/>
        <v>0</v>
      </c>
      <c r="BE175" s="28">
        <v>0</v>
      </c>
      <c r="BF175" s="28">
        <f>175</f>
        <v>175</v>
      </c>
      <c r="BH175" s="28">
        <f t="shared" si="137"/>
        <v>0</v>
      </c>
      <c r="BI175" s="28">
        <f t="shared" si="138"/>
        <v>0</v>
      </c>
      <c r="BJ175" s="28">
        <f t="shared" si="139"/>
        <v>0</v>
      </c>
      <c r="BK175" s="28"/>
      <c r="BL175" s="28">
        <v>0</v>
      </c>
      <c r="BW175" s="28">
        <v>21</v>
      </c>
    </row>
    <row r="176" spans="1:75" ht="13.5" customHeight="1">
      <c r="A176" s="38" t="s">
        <v>252</v>
      </c>
      <c r="B176" s="39" t="s">
        <v>591</v>
      </c>
      <c r="C176" s="39" t="s">
        <v>861</v>
      </c>
      <c r="D176" s="50" t="s">
        <v>11</v>
      </c>
      <c r="E176" s="51"/>
      <c r="F176" s="39" t="s">
        <v>311</v>
      </c>
      <c r="G176" s="28">
        <v>1</v>
      </c>
      <c r="H176" s="120">
        <v>0</v>
      </c>
      <c r="I176" s="120">
        <f t="shared" si="120"/>
        <v>0</v>
      </c>
      <c r="K176" s="8"/>
      <c r="Z176" s="28">
        <f t="shared" si="121"/>
        <v>0</v>
      </c>
      <c r="AB176" s="28">
        <f t="shared" si="122"/>
        <v>0</v>
      </c>
      <c r="AC176" s="28">
        <f t="shared" si="123"/>
        <v>0</v>
      </c>
      <c r="AD176" s="28">
        <f t="shared" si="124"/>
        <v>0</v>
      </c>
      <c r="AE176" s="28">
        <f t="shared" si="125"/>
        <v>0</v>
      </c>
      <c r="AF176" s="28">
        <f t="shared" si="126"/>
        <v>0</v>
      </c>
      <c r="AG176" s="28">
        <f t="shared" si="127"/>
        <v>0</v>
      </c>
      <c r="AH176" s="28">
        <f t="shared" si="128"/>
        <v>0</v>
      </c>
      <c r="AI176" s="21" t="s">
        <v>591</v>
      </c>
      <c r="AJ176" s="28">
        <f t="shared" si="129"/>
        <v>0</v>
      </c>
      <c r="AK176" s="28">
        <f t="shared" si="130"/>
        <v>0</v>
      </c>
      <c r="AL176" s="28">
        <f t="shared" si="131"/>
        <v>0</v>
      </c>
      <c r="AN176" s="28">
        <v>21</v>
      </c>
      <c r="AO176" s="28">
        <f>H176*0.632508123680949</f>
        <v>0</v>
      </c>
      <c r="AP176" s="28">
        <f>H176*(1-0.632508123680949)</f>
        <v>0</v>
      </c>
      <c r="AQ176" s="30" t="s">
        <v>893</v>
      </c>
      <c r="AV176" s="28">
        <f t="shared" si="132"/>
        <v>0</v>
      </c>
      <c r="AW176" s="28">
        <f t="shared" si="133"/>
        <v>0</v>
      </c>
      <c r="AX176" s="28">
        <f t="shared" si="134"/>
        <v>0</v>
      </c>
      <c r="AY176" s="30" t="s">
        <v>792</v>
      </c>
      <c r="AZ176" s="30" t="s">
        <v>26</v>
      </c>
      <c r="BA176" s="21" t="s">
        <v>762</v>
      </c>
      <c r="BC176" s="28">
        <f t="shared" si="135"/>
        <v>0</v>
      </c>
      <c r="BD176" s="28">
        <f t="shared" si="136"/>
        <v>0</v>
      </c>
      <c r="BE176" s="28">
        <v>0</v>
      </c>
      <c r="BF176" s="28">
        <f>176</f>
        <v>176</v>
      </c>
      <c r="BH176" s="28">
        <f t="shared" si="137"/>
        <v>0</v>
      </c>
      <c r="BI176" s="28">
        <f t="shared" si="138"/>
        <v>0</v>
      </c>
      <c r="BJ176" s="28">
        <f t="shared" si="139"/>
        <v>0</v>
      </c>
      <c r="BK176" s="28"/>
      <c r="BL176" s="28">
        <v>0</v>
      </c>
      <c r="BW176" s="28">
        <v>21</v>
      </c>
    </row>
    <row r="177" spans="1:75" ht="13.5" customHeight="1">
      <c r="A177" s="38" t="s">
        <v>238</v>
      </c>
      <c r="B177" s="39" t="s">
        <v>591</v>
      </c>
      <c r="C177" s="39" t="s">
        <v>526</v>
      </c>
      <c r="D177" s="50" t="s">
        <v>98</v>
      </c>
      <c r="E177" s="51"/>
      <c r="F177" s="39" t="s">
        <v>228</v>
      </c>
      <c r="G177" s="28">
        <v>1</v>
      </c>
      <c r="H177" s="120">
        <v>0</v>
      </c>
      <c r="I177" s="120">
        <f t="shared" si="120"/>
        <v>0</v>
      </c>
      <c r="K177" s="8"/>
      <c r="Z177" s="28">
        <f t="shared" si="121"/>
        <v>0</v>
      </c>
      <c r="AB177" s="28">
        <f t="shared" si="122"/>
        <v>0</v>
      </c>
      <c r="AC177" s="28">
        <f t="shared" si="123"/>
        <v>0</v>
      </c>
      <c r="AD177" s="28">
        <f t="shared" si="124"/>
        <v>0</v>
      </c>
      <c r="AE177" s="28">
        <f t="shared" si="125"/>
        <v>0</v>
      </c>
      <c r="AF177" s="28">
        <f t="shared" si="126"/>
        <v>0</v>
      </c>
      <c r="AG177" s="28">
        <f t="shared" si="127"/>
        <v>0</v>
      </c>
      <c r="AH177" s="28">
        <f t="shared" si="128"/>
        <v>0</v>
      </c>
      <c r="AI177" s="21" t="s">
        <v>591</v>
      </c>
      <c r="AJ177" s="28">
        <f t="shared" si="129"/>
        <v>0</v>
      </c>
      <c r="AK177" s="28">
        <f t="shared" si="130"/>
        <v>0</v>
      </c>
      <c r="AL177" s="28">
        <f t="shared" si="131"/>
        <v>0</v>
      </c>
      <c r="AN177" s="28">
        <v>21</v>
      </c>
      <c r="AO177" s="28">
        <f>H177*0</f>
        <v>0</v>
      </c>
      <c r="AP177" s="28">
        <f>H177*(1-0)</f>
        <v>0</v>
      </c>
      <c r="AQ177" s="30" t="s">
        <v>893</v>
      </c>
      <c r="AV177" s="28">
        <f t="shared" si="132"/>
        <v>0</v>
      </c>
      <c r="AW177" s="28">
        <f t="shared" si="133"/>
        <v>0</v>
      </c>
      <c r="AX177" s="28">
        <f t="shared" si="134"/>
        <v>0</v>
      </c>
      <c r="AY177" s="30" t="s">
        <v>792</v>
      </c>
      <c r="AZ177" s="30" t="s">
        <v>26</v>
      </c>
      <c r="BA177" s="21" t="s">
        <v>762</v>
      </c>
      <c r="BC177" s="28">
        <f t="shared" si="135"/>
        <v>0</v>
      </c>
      <c r="BD177" s="28">
        <f t="shared" si="136"/>
        <v>0</v>
      </c>
      <c r="BE177" s="28">
        <v>0</v>
      </c>
      <c r="BF177" s="28">
        <f>177</f>
        <v>177</v>
      </c>
      <c r="BH177" s="28">
        <f t="shared" si="137"/>
        <v>0</v>
      </c>
      <c r="BI177" s="28">
        <f t="shared" si="138"/>
        <v>0</v>
      </c>
      <c r="BJ177" s="28">
        <f t="shared" si="139"/>
        <v>0</v>
      </c>
      <c r="BK177" s="28"/>
      <c r="BL177" s="28">
        <v>0</v>
      </c>
      <c r="BW177" s="28">
        <v>21</v>
      </c>
    </row>
    <row r="178" spans="1:75" ht="13.5" customHeight="1">
      <c r="A178" s="38" t="s">
        <v>916</v>
      </c>
      <c r="B178" s="39" t="s">
        <v>591</v>
      </c>
      <c r="C178" s="39" t="s">
        <v>476</v>
      </c>
      <c r="D178" s="50" t="s">
        <v>731</v>
      </c>
      <c r="E178" s="51"/>
      <c r="F178" s="39" t="s">
        <v>396</v>
      </c>
      <c r="G178" s="28">
        <v>1.04924</v>
      </c>
      <c r="H178" s="120">
        <v>0</v>
      </c>
      <c r="I178" s="120">
        <f t="shared" si="120"/>
        <v>0</v>
      </c>
      <c r="K178" s="8"/>
      <c r="Z178" s="28">
        <f t="shared" si="121"/>
        <v>0</v>
      </c>
      <c r="AB178" s="28">
        <f t="shared" si="122"/>
        <v>0</v>
      </c>
      <c r="AC178" s="28">
        <f t="shared" si="123"/>
        <v>0</v>
      </c>
      <c r="AD178" s="28">
        <f t="shared" si="124"/>
        <v>0</v>
      </c>
      <c r="AE178" s="28">
        <f t="shared" si="125"/>
        <v>0</v>
      </c>
      <c r="AF178" s="28">
        <f t="shared" si="126"/>
        <v>0</v>
      </c>
      <c r="AG178" s="28">
        <f t="shared" si="127"/>
        <v>0</v>
      </c>
      <c r="AH178" s="28">
        <f t="shared" si="128"/>
        <v>0</v>
      </c>
      <c r="AI178" s="21" t="s">
        <v>591</v>
      </c>
      <c r="AJ178" s="28">
        <f t="shared" si="129"/>
        <v>0</v>
      </c>
      <c r="AK178" s="28">
        <f t="shared" si="130"/>
        <v>0</v>
      </c>
      <c r="AL178" s="28">
        <f t="shared" si="131"/>
        <v>0</v>
      </c>
      <c r="AN178" s="28">
        <v>21</v>
      </c>
      <c r="AO178" s="28">
        <f>H178*0</f>
        <v>0</v>
      </c>
      <c r="AP178" s="28">
        <f>H178*(1-0)</f>
        <v>0</v>
      </c>
      <c r="AQ178" s="30" t="s">
        <v>455</v>
      </c>
      <c r="AV178" s="28">
        <f t="shared" si="132"/>
        <v>0</v>
      </c>
      <c r="AW178" s="28">
        <f t="shared" si="133"/>
        <v>0</v>
      </c>
      <c r="AX178" s="28">
        <f t="shared" si="134"/>
        <v>0</v>
      </c>
      <c r="AY178" s="30" t="s">
        <v>792</v>
      </c>
      <c r="AZ178" s="30" t="s">
        <v>26</v>
      </c>
      <c r="BA178" s="21" t="s">
        <v>762</v>
      </c>
      <c r="BC178" s="28">
        <f t="shared" si="135"/>
        <v>0</v>
      </c>
      <c r="BD178" s="28">
        <f t="shared" si="136"/>
        <v>0</v>
      </c>
      <c r="BE178" s="28">
        <v>0</v>
      </c>
      <c r="BF178" s="28">
        <f>178</f>
        <v>178</v>
      </c>
      <c r="BH178" s="28">
        <f t="shared" si="137"/>
        <v>0</v>
      </c>
      <c r="BI178" s="28">
        <f t="shared" si="138"/>
        <v>0</v>
      </c>
      <c r="BJ178" s="28">
        <f t="shared" si="139"/>
        <v>0</v>
      </c>
      <c r="BK178" s="28"/>
      <c r="BL178" s="28">
        <v>0</v>
      </c>
      <c r="BW178" s="28">
        <v>21</v>
      </c>
    </row>
    <row r="179" spans="1:75" ht="13.5" customHeight="1">
      <c r="A179" s="38" t="s">
        <v>327</v>
      </c>
      <c r="B179" s="39" t="s">
        <v>591</v>
      </c>
      <c r="C179" s="39" t="s">
        <v>169</v>
      </c>
      <c r="D179" s="50" t="s">
        <v>372</v>
      </c>
      <c r="E179" s="51"/>
      <c r="F179" s="39" t="s">
        <v>396</v>
      </c>
      <c r="G179" s="28">
        <v>1.04925</v>
      </c>
      <c r="H179" s="120">
        <v>0</v>
      </c>
      <c r="I179" s="120">
        <f t="shared" si="120"/>
        <v>0</v>
      </c>
      <c r="K179" s="8"/>
      <c r="Z179" s="28">
        <f t="shared" si="121"/>
        <v>0</v>
      </c>
      <c r="AB179" s="28">
        <f t="shared" si="122"/>
        <v>0</v>
      </c>
      <c r="AC179" s="28">
        <f t="shared" si="123"/>
        <v>0</v>
      </c>
      <c r="AD179" s="28">
        <f t="shared" si="124"/>
        <v>0</v>
      </c>
      <c r="AE179" s="28">
        <f t="shared" si="125"/>
        <v>0</v>
      </c>
      <c r="AF179" s="28">
        <f t="shared" si="126"/>
        <v>0</v>
      </c>
      <c r="AG179" s="28">
        <f t="shared" si="127"/>
        <v>0</v>
      </c>
      <c r="AH179" s="28">
        <f t="shared" si="128"/>
        <v>0</v>
      </c>
      <c r="AI179" s="21" t="s">
        <v>591</v>
      </c>
      <c r="AJ179" s="28">
        <f t="shared" si="129"/>
        <v>0</v>
      </c>
      <c r="AK179" s="28">
        <f t="shared" si="130"/>
        <v>0</v>
      </c>
      <c r="AL179" s="28">
        <f t="shared" si="131"/>
        <v>0</v>
      </c>
      <c r="AN179" s="28">
        <v>21</v>
      </c>
      <c r="AO179" s="28">
        <f>H179*0</f>
        <v>0</v>
      </c>
      <c r="AP179" s="28">
        <f>H179*(1-0)</f>
        <v>0</v>
      </c>
      <c r="AQ179" s="30" t="s">
        <v>455</v>
      </c>
      <c r="AV179" s="28">
        <f t="shared" si="132"/>
        <v>0</v>
      </c>
      <c r="AW179" s="28">
        <f t="shared" si="133"/>
        <v>0</v>
      </c>
      <c r="AX179" s="28">
        <f t="shared" si="134"/>
        <v>0</v>
      </c>
      <c r="AY179" s="30" t="s">
        <v>792</v>
      </c>
      <c r="AZ179" s="30" t="s">
        <v>26</v>
      </c>
      <c r="BA179" s="21" t="s">
        <v>762</v>
      </c>
      <c r="BC179" s="28">
        <f t="shared" si="135"/>
        <v>0</v>
      </c>
      <c r="BD179" s="28">
        <f t="shared" si="136"/>
        <v>0</v>
      </c>
      <c r="BE179" s="28">
        <v>0</v>
      </c>
      <c r="BF179" s="28">
        <f>179</f>
        <v>179</v>
      </c>
      <c r="BH179" s="28">
        <f t="shared" si="137"/>
        <v>0</v>
      </c>
      <c r="BI179" s="28">
        <f t="shared" si="138"/>
        <v>0</v>
      </c>
      <c r="BJ179" s="28">
        <f t="shared" si="139"/>
        <v>0</v>
      </c>
      <c r="BK179" s="28"/>
      <c r="BL179" s="28">
        <v>0</v>
      </c>
      <c r="BW179" s="28">
        <v>21</v>
      </c>
    </row>
    <row r="180" spans="1:47" ht="15" customHeight="1">
      <c r="A180" s="3" t="s">
        <v>626</v>
      </c>
      <c r="B180" s="43" t="s">
        <v>591</v>
      </c>
      <c r="C180" s="43" t="s">
        <v>724</v>
      </c>
      <c r="D180" s="103" t="s">
        <v>775</v>
      </c>
      <c r="E180" s="104"/>
      <c r="F180" s="37" t="s">
        <v>836</v>
      </c>
      <c r="G180" s="37" t="s">
        <v>836</v>
      </c>
      <c r="H180" s="118" t="s">
        <v>836</v>
      </c>
      <c r="I180" s="119">
        <f>SUM(I181:I181)</f>
        <v>0</v>
      </c>
      <c r="K180" s="8"/>
      <c r="AI180" s="21" t="s">
        <v>591</v>
      </c>
      <c r="AS180" s="31">
        <f>SUM(AJ181:AJ181)</f>
        <v>0</v>
      </c>
      <c r="AT180" s="31">
        <f>SUM(AK181:AK181)</f>
        <v>0</v>
      </c>
      <c r="AU180" s="31">
        <f>SUM(AL181:AL181)</f>
        <v>0</v>
      </c>
    </row>
    <row r="181" spans="1:75" ht="13.5" customHeight="1">
      <c r="A181" s="38" t="s">
        <v>245</v>
      </c>
      <c r="B181" s="39" t="s">
        <v>591</v>
      </c>
      <c r="C181" s="39" t="s">
        <v>431</v>
      </c>
      <c r="D181" s="50" t="s">
        <v>549</v>
      </c>
      <c r="E181" s="51"/>
      <c r="F181" s="39" t="s">
        <v>741</v>
      </c>
      <c r="G181" s="28">
        <v>30</v>
      </c>
      <c r="H181" s="120">
        <v>0</v>
      </c>
      <c r="I181" s="120">
        <f>G181*H181</f>
        <v>0</v>
      </c>
      <c r="K181" s="8"/>
      <c r="Z181" s="28">
        <f>IF(AQ181="5",BJ181,0)</f>
        <v>0</v>
      </c>
      <c r="AB181" s="28">
        <f>IF(AQ181="1",BH181,0)</f>
        <v>0</v>
      </c>
      <c r="AC181" s="28">
        <f>IF(AQ181="1",BI181,0)</f>
        <v>0</v>
      </c>
      <c r="AD181" s="28">
        <f>IF(AQ181="7",BH181,0)</f>
        <v>0</v>
      </c>
      <c r="AE181" s="28">
        <f>IF(AQ181="7",BI181,0)</f>
        <v>0</v>
      </c>
      <c r="AF181" s="28">
        <f>IF(AQ181="2",BH181,0)</f>
        <v>0</v>
      </c>
      <c r="AG181" s="28">
        <f>IF(AQ181="2",BI181,0)</f>
        <v>0</v>
      </c>
      <c r="AH181" s="28">
        <f>IF(AQ181="0",BJ181,0)</f>
        <v>0</v>
      </c>
      <c r="AI181" s="21" t="s">
        <v>591</v>
      </c>
      <c r="AJ181" s="28">
        <f>IF(AN181=0,I181,0)</f>
        <v>0</v>
      </c>
      <c r="AK181" s="28">
        <f>IF(AN181=12,I181,0)</f>
        <v>0</v>
      </c>
      <c r="AL181" s="28">
        <f>IF(AN181=21,I181,0)</f>
        <v>0</v>
      </c>
      <c r="AN181" s="28">
        <v>21</v>
      </c>
      <c r="AO181" s="28">
        <f>H181*0</f>
        <v>0</v>
      </c>
      <c r="AP181" s="28">
        <f>H181*(1-0)</f>
        <v>0</v>
      </c>
      <c r="AQ181" s="30" t="s">
        <v>900</v>
      </c>
      <c r="AV181" s="28">
        <f>AW181+AX181</f>
        <v>0</v>
      </c>
      <c r="AW181" s="28">
        <f>G181*AO181</f>
        <v>0</v>
      </c>
      <c r="AX181" s="28">
        <f>G181*AP181</f>
        <v>0</v>
      </c>
      <c r="AY181" s="30" t="s">
        <v>698</v>
      </c>
      <c r="AZ181" s="30" t="s">
        <v>383</v>
      </c>
      <c r="BA181" s="21" t="s">
        <v>762</v>
      </c>
      <c r="BC181" s="28">
        <f>AW181+AX181</f>
        <v>0</v>
      </c>
      <c r="BD181" s="28">
        <f>H181/(100-BE181)*100</f>
        <v>0</v>
      </c>
      <c r="BE181" s="28">
        <v>0</v>
      </c>
      <c r="BF181" s="28">
        <f>181</f>
        <v>181</v>
      </c>
      <c r="BH181" s="28">
        <f>G181*AO181</f>
        <v>0</v>
      </c>
      <c r="BI181" s="28">
        <f>G181*AP181</f>
        <v>0</v>
      </c>
      <c r="BJ181" s="28">
        <f>G181*H181</f>
        <v>0</v>
      </c>
      <c r="BK181" s="28"/>
      <c r="BL181" s="28">
        <v>713</v>
      </c>
      <c r="BW181" s="28">
        <v>21</v>
      </c>
    </row>
    <row r="182" spans="1:47" ht="15" customHeight="1">
      <c r="A182" s="3" t="s">
        <v>626</v>
      </c>
      <c r="B182" s="43" t="s">
        <v>591</v>
      </c>
      <c r="C182" s="43" t="s">
        <v>812</v>
      </c>
      <c r="D182" s="103" t="s">
        <v>547</v>
      </c>
      <c r="E182" s="104"/>
      <c r="F182" s="37" t="s">
        <v>836</v>
      </c>
      <c r="G182" s="37" t="s">
        <v>836</v>
      </c>
      <c r="H182" s="118" t="s">
        <v>836</v>
      </c>
      <c r="I182" s="119">
        <f>SUM(I183:I197)</f>
        <v>0</v>
      </c>
      <c r="K182" s="8"/>
      <c r="AI182" s="21" t="s">
        <v>591</v>
      </c>
      <c r="AS182" s="31">
        <f>SUM(AJ183:AJ197)</f>
        <v>0</v>
      </c>
      <c r="AT182" s="31">
        <f>SUM(AK183:AK197)</f>
        <v>0</v>
      </c>
      <c r="AU182" s="31">
        <f>SUM(AL183:AL197)</f>
        <v>0</v>
      </c>
    </row>
    <row r="183" spans="1:75" ht="13.5" customHeight="1">
      <c r="A183" s="38" t="s">
        <v>675</v>
      </c>
      <c r="B183" s="39" t="s">
        <v>591</v>
      </c>
      <c r="C183" s="39" t="s">
        <v>378</v>
      </c>
      <c r="D183" s="50" t="s">
        <v>847</v>
      </c>
      <c r="E183" s="51"/>
      <c r="F183" s="39" t="s">
        <v>228</v>
      </c>
      <c r="G183" s="28">
        <v>12</v>
      </c>
      <c r="H183" s="120">
        <v>0</v>
      </c>
      <c r="I183" s="120">
        <f aca="true" t="shared" si="140" ref="I183:I197">G183*H183</f>
        <v>0</v>
      </c>
      <c r="K183" s="8"/>
      <c r="Z183" s="28">
        <f aca="true" t="shared" si="141" ref="Z183:Z197">IF(AQ183="5",BJ183,0)</f>
        <v>0</v>
      </c>
      <c r="AB183" s="28">
        <f aca="true" t="shared" si="142" ref="AB183:AB197">IF(AQ183="1",BH183,0)</f>
        <v>0</v>
      </c>
      <c r="AC183" s="28">
        <f aca="true" t="shared" si="143" ref="AC183:AC197">IF(AQ183="1",BI183,0)</f>
        <v>0</v>
      </c>
      <c r="AD183" s="28">
        <f aca="true" t="shared" si="144" ref="AD183:AD197">IF(AQ183="7",BH183,0)</f>
        <v>0</v>
      </c>
      <c r="AE183" s="28">
        <f aca="true" t="shared" si="145" ref="AE183:AE197">IF(AQ183="7",BI183,0)</f>
        <v>0</v>
      </c>
      <c r="AF183" s="28">
        <f aca="true" t="shared" si="146" ref="AF183:AF197">IF(AQ183="2",BH183,0)</f>
        <v>0</v>
      </c>
      <c r="AG183" s="28">
        <f aca="true" t="shared" si="147" ref="AG183:AG197">IF(AQ183="2",BI183,0)</f>
        <v>0</v>
      </c>
      <c r="AH183" s="28">
        <f aca="true" t="shared" si="148" ref="AH183:AH197">IF(AQ183="0",BJ183,0)</f>
        <v>0</v>
      </c>
      <c r="AI183" s="21" t="s">
        <v>591</v>
      </c>
      <c r="AJ183" s="28">
        <f aca="true" t="shared" si="149" ref="AJ183:AJ197">IF(AN183=0,I183,0)</f>
        <v>0</v>
      </c>
      <c r="AK183" s="28">
        <f aca="true" t="shared" si="150" ref="AK183:AK197">IF(AN183=12,I183,0)</f>
        <v>0</v>
      </c>
      <c r="AL183" s="28">
        <f aca="true" t="shared" si="151" ref="AL183:AL197">IF(AN183=21,I183,0)</f>
        <v>0</v>
      </c>
      <c r="AN183" s="28">
        <v>21</v>
      </c>
      <c r="AO183" s="28">
        <f>H183*0</f>
        <v>0</v>
      </c>
      <c r="AP183" s="28">
        <f>H183*(1-0)</f>
        <v>0</v>
      </c>
      <c r="AQ183" s="30" t="s">
        <v>900</v>
      </c>
      <c r="AV183" s="28">
        <f aca="true" t="shared" si="152" ref="AV183:AV197">AW183+AX183</f>
        <v>0</v>
      </c>
      <c r="AW183" s="28">
        <f aca="true" t="shared" si="153" ref="AW183:AW197">G183*AO183</f>
        <v>0</v>
      </c>
      <c r="AX183" s="28">
        <f aca="true" t="shared" si="154" ref="AX183:AX197">G183*AP183</f>
        <v>0</v>
      </c>
      <c r="AY183" s="30" t="s">
        <v>562</v>
      </c>
      <c r="AZ183" s="30" t="s">
        <v>627</v>
      </c>
      <c r="BA183" s="21" t="s">
        <v>762</v>
      </c>
      <c r="BC183" s="28">
        <f aca="true" t="shared" si="155" ref="BC183:BC197">AW183+AX183</f>
        <v>0</v>
      </c>
      <c r="BD183" s="28">
        <f aca="true" t="shared" si="156" ref="BD183:BD197">H183/(100-BE183)*100</f>
        <v>0</v>
      </c>
      <c r="BE183" s="28">
        <v>0</v>
      </c>
      <c r="BF183" s="28">
        <f>183</f>
        <v>183</v>
      </c>
      <c r="BH183" s="28">
        <f aca="true" t="shared" si="157" ref="BH183:BH197">G183*AO183</f>
        <v>0</v>
      </c>
      <c r="BI183" s="28">
        <f aca="true" t="shared" si="158" ref="BI183:BI197">G183*AP183</f>
        <v>0</v>
      </c>
      <c r="BJ183" s="28">
        <f aca="true" t="shared" si="159" ref="BJ183:BJ197">G183*H183</f>
        <v>0</v>
      </c>
      <c r="BK183" s="28"/>
      <c r="BL183" s="28">
        <v>722</v>
      </c>
      <c r="BW183" s="28">
        <v>21</v>
      </c>
    </row>
    <row r="184" spans="1:75" ht="13.5" customHeight="1">
      <c r="A184" s="38" t="s">
        <v>120</v>
      </c>
      <c r="B184" s="39" t="s">
        <v>591</v>
      </c>
      <c r="C184" s="39" t="s">
        <v>221</v>
      </c>
      <c r="D184" s="50" t="s">
        <v>892</v>
      </c>
      <c r="E184" s="51"/>
      <c r="F184" s="39" t="s">
        <v>741</v>
      </c>
      <c r="G184" s="28">
        <v>10</v>
      </c>
      <c r="H184" s="120">
        <v>0</v>
      </c>
      <c r="I184" s="120">
        <f t="shared" si="140"/>
        <v>0</v>
      </c>
      <c r="K184" s="8"/>
      <c r="Z184" s="28">
        <f t="shared" si="141"/>
        <v>0</v>
      </c>
      <c r="AB184" s="28">
        <f t="shared" si="142"/>
        <v>0</v>
      </c>
      <c r="AC184" s="28">
        <f t="shared" si="143"/>
        <v>0</v>
      </c>
      <c r="AD184" s="28">
        <f t="shared" si="144"/>
        <v>0</v>
      </c>
      <c r="AE184" s="28">
        <f t="shared" si="145"/>
        <v>0</v>
      </c>
      <c r="AF184" s="28">
        <f t="shared" si="146"/>
        <v>0</v>
      </c>
      <c r="AG184" s="28">
        <f t="shared" si="147"/>
        <v>0</v>
      </c>
      <c r="AH184" s="28">
        <f t="shared" si="148"/>
        <v>0</v>
      </c>
      <c r="AI184" s="21" t="s">
        <v>591</v>
      </c>
      <c r="AJ184" s="28">
        <f t="shared" si="149"/>
        <v>0</v>
      </c>
      <c r="AK184" s="28">
        <f t="shared" si="150"/>
        <v>0</v>
      </c>
      <c r="AL184" s="28">
        <f t="shared" si="151"/>
        <v>0</v>
      </c>
      <c r="AN184" s="28">
        <v>21</v>
      </c>
      <c r="AO184" s="28">
        <f>H184*0</f>
        <v>0</v>
      </c>
      <c r="AP184" s="28">
        <f>H184*(1-0)</f>
        <v>0</v>
      </c>
      <c r="AQ184" s="30" t="s">
        <v>900</v>
      </c>
      <c r="AV184" s="28">
        <f t="shared" si="152"/>
        <v>0</v>
      </c>
      <c r="AW184" s="28">
        <f t="shared" si="153"/>
        <v>0</v>
      </c>
      <c r="AX184" s="28">
        <f t="shared" si="154"/>
        <v>0</v>
      </c>
      <c r="AY184" s="30" t="s">
        <v>562</v>
      </c>
      <c r="AZ184" s="30" t="s">
        <v>627</v>
      </c>
      <c r="BA184" s="21" t="s">
        <v>762</v>
      </c>
      <c r="BC184" s="28">
        <f t="shared" si="155"/>
        <v>0</v>
      </c>
      <c r="BD184" s="28">
        <f t="shared" si="156"/>
        <v>0</v>
      </c>
      <c r="BE184" s="28">
        <v>0</v>
      </c>
      <c r="BF184" s="28">
        <f>184</f>
        <v>184</v>
      </c>
      <c r="BH184" s="28">
        <f t="shared" si="157"/>
        <v>0</v>
      </c>
      <c r="BI184" s="28">
        <f t="shared" si="158"/>
        <v>0</v>
      </c>
      <c r="BJ184" s="28">
        <f t="shared" si="159"/>
        <v>0</v>
      </c>
      <c r="BK184" s="28"/>
      <c r="BL184" s="28">
        <v>722</v>
      </c>
      <c r="BW184" s="28">
        <v>21</v>
      </c>
    </row>
    <row r="185" spans="1:75" ht="13.5" customHeight="1">
      <c r="A185" s="38" t="s">
        <v>837</v>
      </c>
      <c r="B185" s="39" t="s">
        <v>591</v>
      </c>
      <c r="C185" s="39" t="s">
        <v>132</v>
      </c>
      <c r="D185" s="50" t="s">
        <v>240</v>
      </c>
      <c r="E185" s="51"/>
      <c r="F185" s="39" t="s">
        <v>228</v>
      </c>
      <c r="G185" s="28">
        <v>2</v>
      </c>
      <c r="H185" s="120">
        <v>0</v>
      </c>
      <c r="I185" s="120">
        <f t="shared" si="140"/>
        <v>0</v>
      </c>
      <c r="K185" s="8"/>
      <c r="Z185" s="28">
        <f t="shared" si="141"/>
        <v>0</v>
      </c>
      <c r="AB185" s="28">
        <f t="shared" si="142"/>
        <v>0</v>
      </c>
      <c r="AC185" s="28">
        <f t="shared" si="143"/>
        <v>0</v>
      </c>
      <c r="AD185" s="28">
        <f t="shared" si="144"/>
        <v>0</v>
      </c>
      <c r="AE185" s="28">
        <f t="shared" si="145"/>
        <v>0</v>
      </c>
      <c r="AF185" s="28">
        <f t="shared" si="146"/>
        <v>0</v>
      </c>
      <c r="AG185" s="28">
        <f t="shared" si="147"/>
        <v>0</v>
      </c>
      <c r="AH185" s="28">
        <f t="shared" si="148"/>
        <v>0</v>
      </c>
      <c r="AI185" s="21" t="s">
        <v>591</v>
      </c>
      <c r="AJ185" s="28">
        <f t="shared" si="149"/>
        <v>0</v>
      </c>
      <c r="AK185" s="28">
        <f t="shared" si="150"/>
        <v>0</v>
      </c>
      <c r="AL185" s="28">
        <f t="shared" si="151"/>
        <v>0</v>
      </c>
      <c r="AN185" s="28">
        <v>21</v>
      </c>
      <c r="AO185" s="28">
        <f>H185*0.635584415584416</f>
        <v>0</v>
      </c>
      <c r="AP185" s="28">
        <f>H185*(1-0.635584415584416)</f>
        <v>0</v>
      </c>
      <c r="AQ185" s="30" t="s">
        <v>900</v>
      </c>
      <c r="AV185" s="28">
        <f t="shared" si="152"/>
        <v>0</v>
      </c>
      <c r="AW185" s="28">
        <f t="shared" si="153"/>
        <v>0</v>
      </c>
      <c r="AX185" s="28">
        <f t="shared" si="154"/>
        <v>0</v>
      </c>
      <c r="AY185" s="30" t="s">
        <v>562</v>
      </c>
      <c r="AZ185" s="30" t="s">
        <v>627</v>
      </c>
      <c r="BA185" s="21" t="s">
        <v>762</v>
      </c>
      <c r="BC185" s="28">
        <f t="shared" si="155"/>
        <v>0</v>
      </c>
      <c r="BD185" s="28">
        <f t="shared" si="156"/>
        <v>0</v>
      </c>
      <c r="BE185" s="28">
        <v>0</v>
      </c>
      <c r="BF185" s="28">
        <f>185</f>
        <v>185</v>
      </c>
      <c r="BH185" s="28">
        <f t="shared" si="157"/>
        <v>0</v>
      </c>
      <c r="BI185" s="28">
        <f t="shared" si="158"/>
        <v>0</v>
      </c>
      <c r="BJ185" s="28">
        <f t="shared" si="159"/>
        <v>0</v>
      </c>
      <c r="BK185" s="28"/>
      <c r="BL185" s="28">
        <v>722</v>
      </c>
      <c r="BW185" s="28">
        <v>21</v>
      </c>
    </row>
    <row r="186" spans="1:75" ht="13.5" customHeight="1">
      <c r="A186" s="38" t="s">
        <v>222</v>
      </c>
      <c r="B186" s="39" t="s">
        <v>591</v>
      </c>
      <c r="C186" s="39" t="s">
        <v>656</v>
      </c>
      <c r="D186" s="50" t="s">
        <v>1033</v>
      </c>
      <c r="E186" s="51"/>
      <c r="F186" s="39" t="s">
        <v>741</v>
      </c>
      <c r="G186" s="28">
        <v>12</v>
      </c>
      <c r="H186" s="120">
        <v>0</v>
      </c>
      <c r="I186" s="120">
        <f t="shared" si="140"/>
        <v>0</v>
      </c>
      <c r="K186" s="8"/>
      <c r="Z186" s="28">
        <f t="shared" si="141"/>
        <v>0</v>
      </c>
      <c r="AB186" s="28">
        <f t="shared" si="142"/>
        <v>0</v>
      </c>
      <c r="AC186" s="28">
        <f t="shared" si="143"/>
        <v>0</v>
      </c>
      <c r="AD186" s="28">
        <f t="shared" si="144"/>
        <v>0</v>
      </c>
      <c r="AE186" s="28">
        <f t="shared" si="145"/>
        <v>0</v>
      </c>
      <c r="AF186" s="28">
        <f t="shared" si="146"/>
        <v>0</v>
      </c>
      <c r="AG186" s="28">
        <f t="shared" si="147"/>
        <v>0</v>
      </c>
      <c r="AH186" s="28">
        <f t="shared" si="148"/>
        <v>0</v>
      </c>
      <c r="AI186" s="21" t="s">
        <v>591</v>
      </c>
      <c r="AJ186" s="28">
        <f t="shared" si="149"/>
        <v>0</v>
      </c>
      <c r="AK186" s="28">
        <f t="shared" si="150"/>
        <v>0</v>
      </c>
      <c r="AL186" s="28">
        <f t="shared" si="151"/>
        <v>0</v>
      </c>
      <c r="AN186" s="28">
        <v>21</v>
      </c>
      <c r="AO186" s="28">
        <f>H186*0.388270254929131</f>
        <v>0</v>
      </c>
      <c r="AP186" s="28">
        <f>H186*(1-0.388270254929131)</f>
        <v>0</v>
      </c>
      <c r="AQ186" s="30" t="s">
        <v>900</v>
      </c>
      <c r="AV186" s="28">
        <f t="shared" si="152"/>
        <v>0</v>
      </c>
      <c r="AW186" s="28">
        <f t="shared" si="153"/>
        <v>0</v>
      </c>
      <c r="AX186" s="28">
        <f t="shared" si="154"/>
        <v>0</v>
      </c>
      <c r="AY186" s="30" t="s">
        <v>562</v>
      </c>
      <c r="AZ186" s="30" t="s">
        <v>627</v>
      </c>
      <c r="BA186" s="21" t="s">
        <v>762</v>
      </c>
      <c r="BC186" s="28">
        <f t="shared" si="155"/>
        <v>0</v>
      </c>
      <c r="BD186" s="28">
        <f t="shared" si="156"/>
        <v>0</v>
      </c>
      <c r="BE186" s="28">
        <v>0</v>
      </c>
      <c r="BF186" s="28">
        <f>186</f>
        <v>186</v>
      </c>
      <c r="BH186" s="28">
        <f t="shared" si="157"/>
        <v>0</v>
      </c>
      <c r="BI186" s="28">
        <f t="shared" si="158"/>
        <v>0</v>
      </c>
      <c r="BJ186" s="28">
        <f t="shared" si="159"/>
        <v>0</v>
      </c>
      <c r="BK186" s="28"/>
      <c r="BL186" s="28">
        <v>722</v>
      </c>
      <c r="BW186" s="28">
        <v>21</v>
      </c>
    </row>
    <row r="187" spans="1:75" ht="13.5" customHeight="1">
      <c r="A187" s="38" t="s">
        <v>139</v>
      </c>
      <c r="B187" s="39" t="s">
        <v>591</v>
      </c>
      <c r="C187" s="39" t="s">
        <v>88</v>
      </c>
      <c r="D187" s="50" t="s">
        <v>1062</v>
      </c>
      <c r="E187" s="51"/>
      <c r="F187" s="39" t="s">
        <v>741</v>
      </c>
      <c r="G187" s="28">
        <v>8</v>
      </c>
      <c r="H187" s="120">
        <v>0</v>
      </c>
      <c r="I187" s="120">
        <f t="shared" si="140"/>
        <v>0</v>
      </c>
      <c r="K187" s="8"/>
      <c r="Z187" s="28">
        <f t="shared" si="141"/>
        <v>0</v>
      </c>
      <c r="AB187" s="28">
        <f t="shared" si="142"/>
        <v>0</v>
      </c>
      <c r="AC187" s="28">
        <f t="shared" si="143"/>
        <v>0</v>
      </c>
      <c r="AD187" s="28">
        <f t="shared" si="144"/>
        <v>0</v>
      </c>
      <c r="AE187" s="28">
        <f t="shared" si="145"/>
        <v>0</v>
      </c>
      <c r="AF187" s="28">
        <f t="shared" si="146"/>
        <v>0</v>
      </c>
      <c r="AG187" s="28">
        <f t="shared" si="147"/>
        <v>0</v>
      </c>
      <c r="AH187" s="28">
        <f t="shared" si="148"/>
        <v>0</v>
      </c>
      <c r="AI187" s="21" t="s">
        <v>591</v>
      </c>
      <c r="AJ187" s="28">
        <f t="shared" si="149"/>
        <v>0</v>
      </c>
      <c r="AK187" s="28">
        <f t="shared" si="150"/>
        <v>0</v>
      </c>
      <c r="AL187" s="28">
        <f t="shared" si="151"/>
        <v>0</v>
      </c>
      <c r="AN187" s="28">
        <v>21</v>
      </c>
      <c r="AO187" s="28">
        <f>H187*0.628405063291139</f>
        <v>0</v>
      </c>
      <c r="AP187" s="28">
        <f>H187*(1-0.628405063291139)</f>
        <v>0</v>
      </c>
      <c r="AQ187" s="30" t="s">
        <v>900</v>
      </c>
      <c r="AV187" s="28">
        <f t="shared" si="152"/>
        <v>0</v>
      </c>
      <c r="AW187" s="28">
        <f t="shared" si="153"/>
        <v>0</v>
      </c>
      <c r="AX187" s="28">
        <f t="shared" si="154"/>
        <v>0</v>
      </c>
      <c r="AY187" s="30" t="s">
        <v>562</v>
      </c>
      <c r="AZ187" s="30" t="s">
        <v>627</v>
      </c>
      <c r="BA187" s="21" t="s">
        <v>762</v>
      </c>
      <c r="BC187" s="28">
        <f t="shared" si="155"/>
        <v>0</v>
      </c>
      <c r="BD187" s="28">
        <f t="shared" si="156"/>
        <v>0</v>
      </c>
      <c r="BE187" s="28">
        <v>0</v>
      </c>
      <c r="BF187" s="28">
        <f>187</f>
        <v>187</v>
      </c>
      <c r="BH187" s="28">
        <f t="shared" si="157"/>
        <v>0</v>
      </c>
      <c r="BI187" s="28">
        <f t="shared" si="158"/>
        <v>0</v>
      </c>
      <c r="BJ187" s="28">
        <f t="shared" si="159"/>
        <v>0</v>
      </c>
      <c r="BK187" s="28"/>
      <c r="BL187" s="28">
        <v>722</v>
      </c>
      <c r="BW187" s="28">
        <v>21</v>
      </c>
    </row>
    <row r="188" spans="1:75" ht="13.5" customHeight="1">
      <c r="A188" s="38" t="s">
        <v>251</v>
      </c>
      <c r="B188" s="39" t="s">
        <v>591</v>
      </c>
      <c r="C188" s="39" t="s">
        <v>946</v>
      </c>
      <c r="D188" s="50" t="s">
        <v>1063</v>
      </c>
      <c r="E188" s="51"/>
      <c r="F188" s="39" t="s">
        <v>741</v>
      </c>
      <c r="G188" s="28">
        <v>4</v>
      </c>
      <c r="H188" s="120">
        <v>0</v>
      </c>
      <c r="I188" s="120">
        <f t="shared" si="140"/>
        <v>0</v>
      </c>
      <c r="K188" s="8"/>
      <c r="Z188" s="28">
        <f t="shared" si="141"/>
        <v>0</v>
      </c>
      <c r="AB188" s="28">
        <f t="shared" si="142"/>
        <v>0</v>
      </c>
      <c r="AC188" s="28">
        <f t="shared" si="143"/>
        <v>0</v>
      </c>
      <c r="AD188" s="28">
        <f t="shared" si="144"/>
        <v>0</v>
      </c>
      <c r="AE188" s="28">
        <f t="shared" si="145"/>
        <v>0</v>
      </c>
      <c r="AF188" s="28">
        <f t="shared" si="146"/>
        <v>0</v>
      </c>
      <c r="AG188" s="28">
        <f t="shared" si="147"/>
        <v>0</v>
      </c>
      <c r="AH188" s="28">
        <f t="shared" si="148"/>
        <v>0</v>
      </c>
      <c r="AI188" s="21" t="s">
        <v>591</v>
      </c>
      <c r="AJ188" s="28">
        <f t="shared" si="149"/>
        <v>0</v>
      </c>
      <c r="AK188" s="28">
        <f t="shared" si="150"/>
        <v>0</v>
      </c>
      <c r="AL188" s="28">
        <f t="shared" si="151"/>
        <v>0</v>
      </c>
      <c r="AN188" s="28">
        <v>21</v>
      </c>
      <c r="AO188" s="28">
        <f>H188*0.373931824584468</f>
        <v>0</v>
      </c>
      <c r="AP188" s="28">
        <f>H188*(1-0.373931824584468)</f>
        <v>0</v>
      </c>
      <c r="AQ188" s="30" t="s">
        <v>900</v>
      </c>
      <c r="AV188" s="28">
        <f t="shared" si="152"/>
        <v>0</v>
      </c>
      <c r="AW188" s="28">
        <f t="shared" si="153"/>
        <v>0</v>
      </c>
      <c r="AX188" s="28">
        <f t="shared" si="154"/>
        <v>0</v>
      </c>
      <c r="AY188" s="30" t="s">
        <v>562</v>
      </c>
      <c r="AZ188" s="30" t="s">
        <v>627</v>
      </c>
      <c r="BA188" s="21" t="s">
        <v>762</v>
      </c>
      <c r="BC188" s="28">
        <f t="shared" si="155"/>
        <v>0</v>
      </c>
      <c r="BD188" s="28">
        <f t="shared" si="156"/>
        <v>0</v>
      </c>
      <c r="BE188" s="28">
        <v>0</v>
      </c>
      <c r="BF188" s="28">
        <f>188</f>
        <v>188</v>
      </c>
      <c r="BH188" s="28">
        <f t="shared" si="157"/>
        <v>0</v>
      </c>
      <c r="BI188" s="28">
        <f t="shared" si="158"/>
        <v>0</v>
      </c>
      <c r="BJ188" s="28">
        <f t="shared" si="159"/>
        <v>0</v>
      </c>
      <c r="BK188" s="28"/>
      <c r="BL188" s="28">
        <v>722</v>
      </c>
      <c r="BW188" s="28">
        <v>21</v>
      </c>
    </row>
    <row r="189" spans="1:75" ht="13.5" customHeight="1">
      <c r="A189" s="38" t="s">
        <v>280</v>
      </c>
      <c r="B189" s="39" t="s">
        <v>591</v>
      </c>
      <c r="C189" s="39" t="s">
        <v>156</v>
      </c>
      <c r="D189" s="50" t="s">
        <v>330</v>
      </c>
      <c r="E189" s="51"/>
      <c r="F189" s="39" t="s">
        <v>228</v>
      </c>
      <c r="G189" s="28">
        <v>1</v>
      </c>
      <c r="H189" s="120">
        <v>0</v>
      </c>
      <c r="I189" s="120">
        <f t="shared" si="140"/>
        <v>0</v>
      </c>
      <c r="K189" s="8"/>
      <c r="Z189" s="28">
        <f t="shared" si="141"/>
        <v>0</v>
      </c>
      <c r="AB189" s="28">
        <f t="shared" si="142"/>
        <v>0</v>
      </c>
      <c r="AC189" s="28">
        <f t="shared" si="143"/>
        <v>0</v>
      </c>
      <c r="AD189" s="28">
        <f t="shared" si="144"/>
        <v>0</v>
      </c>
      <c r="AE189" s="28">
        <f t="shared" si="145"/>
        <v>0</v>
      </c>
      <c r="AF189" s="28">
        <f t="shared" si="146"/>
        <v>0</v>
      </c>
      <c r="AG189" s="28">
        <f t="shared" si="147"/>
        <v>0</v>
      </c>
      <c r="AH189" s="28">
        <f t="shared" si="148"/>
        <v>0</v>
      </c>
      <c r="AI189" s="21" t="s">
        <v>591</v>
      </c>
      <c r="AJ189" s="28">
        <f t="shared" si="149"/>
        <v>0</v>
      </c>
      <c r="AK189" s="28">
        <f t="shared" si="150"/>
        <v>0</v>
      </c>
      <c r="AL189" s="28">
        <f t="shared" si="151"/>
        <v>0</v>
      </c>
      <c r="AN189" s="28">
        <v>21</v>
      </c>
      <c r="AO189" s="28">
        <f>H189*0.945809322033898</f>
        <v>0</v>
      </c>
      <c r="AP189" s="28">
        <f>H189*(1-0.945809322033898)</f>
        <v>0</v>
      </c>
      <c r="AQ189" s="30" t="s">
        <v>900</v>
      </c>
      <c r="AV189" s="28">
        <f t="shared" si="152"/>
        <v>0</v>
      </c>
      <c r="AW189" s="28">
        <f t="shared" si="153"/>
        <v>0</v>
      </c>
      <c r="AX189" s="28">
        <f t="shared" si="154"/>
        <v>0</v>
      </c>
      <c r="AY189" s="30" t="s">
        <v>562</v>
      </c>
      <c r="AZ189" s="30" t="s">
        <v>627</v>
      </c>
      <c r="BA189" s="21" t="s">
        <v>762</v>
      </c>
      <c r="BC189" s="28">
        <f t="shared" si="155"/>
        <v>0</v>
      </c>
      <c r="BD189" s="28">
        <f t="shared" si="156"/>
        <v>0</v>
      </c>
      <c r="BE189" s="28">
        <v>0</v>
      </c>
      <c r="BF189" s="28">
        <f>189</f>
        <v>189</v>
      </c>
      <c r="BH189" s="28">
        <f t="shared" si="157"/>
        <v>0</v>
      </c>
      <c r="BI189" s="28">
        <f t="shared" si="158"/>
        <v>0</v>
      </c>
      <c r="BJ189" s="28">
        <f t="shared" si="159"/>
        <v>0</v>
      </c>
      <c r="BK189" s="28"/>
      <c r="BL189" s="28">
        <v>722</v>
      </c>
      <c r="BW189" s="28">
        <v>21</v>
      </c>
    </row>
    <row r="190" spans="1:75" ht="13.5" customHeight="1">
      <c r="A190" s="38" t="s">
        <v>194</v>
      </c>
      <c r="B190" s="39" t="s">
        <v>591</v>
      </c>
      <c r="C190" s="39" t="s">
        <v>735</v>
      </c>
      <c r="D190" s="50" t="s">
        <v>285</v>
      </c>
      <c r="E190" s="51"/>
      <c r="F190" s="39" t="s">
        <v>228</v>
      </c>
      <c r="G190" s="28">
        <v>1</v>
      </c>
      <c r="H190" s="120">
        <v>0</v>
      </c>
      <c r="I190" s="120">
        <f t="shared" si="140"/>
        <v>0</v>
      </c>
      <c r="K190" s="8"/>
      <c r="Z190" s="28">
        <f t="shared" si="141"/>
        <v>0</v>
      </c>
      <c r="AB190" s="28">
        <f t="shared" si="142"/>
        <v>0</v>
      </c>
      <c r="AC190" s="28">
        <f t="shared" si="143"/>
        <v>0</v>
      </c>
      <c r="AD190" s="28">
        <f t="shared" si="144"/>
        <v>0</v>
      </c>
      <c r="AE190" s="28">
        <f t="shared" si="145"/>
        <v>0</v>
      </c>
      <c r="AF190" s="28">
        <f t="shared" si="146"/>
        <v>0</v>
      </c>
      <c r="AG190" s="28">
        <f t="shared" si="147"/>
        <v>0</v>
      </c>
      <c r="AH190" s="28">
        <f t="shared" si="148"/>
        <v>0</v>
      </c>
      <c r="AI190" s="21" t="s">
        <v>591</v>
      </c>
      <c r="AJ190" s="28">
        <f t="shared" si="149"/>
        <v>0</v>
      </c>
      <c r="AK190" s="28">
        <f t="shared" si="150"/>
        <v>0</v>
      </c>
      <c r="AL190" s="28">
        <f t="shared" si="151"/>
        <v>0</v>
      </c>
      <c r="AN190" s="28">
        <v>21</v>
      </c>
      <c r="AO190" s="28">
        <f>H190*0.963329388560158</f>
        <v>0</v>
      </c>
      <c r="AP190" s="28">
        <f>H190*(1-0.963329388560158)</f>
        <v>0</v>
      </c>
      <c r="AQ190" s="30" t="s">
        <v>900</v>
      </c>
      <c r="AV190" s="28">
        <f t="shared" si="152"/>
        <v>0</v>
      </c>
      <c r="AW190" s="28">
        <f t="shared" si="153"/>
        <v>0</v>
      </c>
      <c r="AX190" s="28">
        <f t="shared" si="154"/>
        <v>0</v>
      </c>
      <c r="AY190" s="30" t="s">
        <v>562</v>
      </c>
      <c r="AZ190" s="30" t="s">
        <v>627</v>
      </c>
      <c r="BA190" s="21" t="s">
        <v>762</v>
      </c>
      <c r="BC190" s="28">
        <f t="shared" si="155"/>
        <v>0</v>
      </c>
      <c r="BD190" s="28">
        <f t="shared" si="156"/>
        <v>0</v>
      </c>
      <c r="BE190" s="28">
        <v>0</v>
      </c>
      <c r="BF190" s="28">
        <f>190</f>
        <v>190</v>
      </c>
      <c r="BH190" s="28">
        <f t="shared" si="157"/>
        <v>0</v>
      </c>
      <c r="BI190" s="28">
        <f t="shared" si="158"/>
        <v>0</v>
      </c>
      <c r="BJ190" s="28">
        <f t="shared" si="159"/>
        <v>0</v>
      </c>
      <c r="BK190" s="28"/>
      <c r="BL190" s="28">
        <v>722</v>
      </c>
      <c r="BW190" s="28">
        <v>21</v>
      </c>
    </row>
    <row r="191" spans="1:75" ht="13.5" customHeight="1">
      <c r="A191" s="38" t="s">
        <v>356</v>
      </c>
      <c r="B191" s="39" t="s">
        <v>591</v>
      </c>
      <c r="C191" s="39" t="s">
        <v>119</v>
      </c>
      <c r="D191" s="50" t="s">
        <v>1039</v>
      </c>
      <c r="E191" s="51"/>
      <c r="F191" s="39" t="s">
        <v>228</v>
      </c>
      <c r="G191" s="28">
        <v>6</v>
      </c>
      <c r="H191" s="120">
        <v>0</v>
      </c>
      <c r="I191" s="120">
        <f t="shared" si="140"/>
        <v>0</v>
      </c>
      <c r="K191" s="8"/>
      <c r="Z191" s="28">
        <f t="shared" si="141"/>
        <v>0</v>
      </c>
      <c r="AB191" s="28">
        <f t="shared" si="142"/>
        <v>0</v>
      </c>
      <c r="AC191" s="28">
        <f t="shared" si="143"/>
        <v>0</v>
      </c>
      <c r="AD191" s="28">
        <f t="shared" si="144"/>
        <v>0</v>
      </c>
      <c r="AE191" s="28">
        <f t="shared" si="145"/>
        <v>0</v>
      </c>
      <c r="AF191" s="28">
        <f t="shared" si="146"/>
        <v>0</v>
      </c>
      <c r="AG191" s="28">
        <f t="shared" si="147"/>
        <v>0</v>
      </c>
      <c r="AH191" s="28">
        <f t="shared" si="148"/>
        <v>0</v>
      </c>
      <c r="AI191" s="21" t="s">
        <v>591</v>
      </c>
      <c r="AJ191" s="28">
        <f t="shared" si="149"/>
        <v>0</v>
      </c>
      <c r="AK191" s="28">
        <f t="shared" si="150"/>
        <v>0</v>
      </c>
      <c r="AL191" s="28">
        <f t="shared" si="151"/>
        <v>0</v>
      </c>
      <c r="AN191" s="28">
        <v>21</v>
      </c>
      <c r="AO191" s="28">
        <f>H191*0.767472727272727</f>
        <v>0</v>
      </c>
      <c r="AP191" s="28">
        <f>H191*(1-0.767472727272727)</f>
        <v>0</v>
      </c>
      <c r="AQ191" s="30" t="s">
        <v>900</v>
      </c>
      <c r="AV191" s="28">
        <f t="shared" si="152"/>
        <v>0</v>
      </c>
      <c r="AW191" s="28">
        <f t="shared" si="153"/>
        <v>0</v>
      </c>
      <c r="AX191" s="28">
        <f t="shared" si="154"/>
        <v>0</v>
      </c>
      <c r="AY191" s="30" t="s">
        <v>562</v>
      </c>
      <c r="AZ191" s="30" t="s">
        <v>627</v>
      </c>
      <c r="BA191" s="21" t="s">
        <v>762</v>
      </c>
      <c r="BC191" s="28">
        <f t="shared" si="155"/>
        <v>0</v>
      </c>
      <c r="BD191" s="28">
        <f t="shared" si="156"/>
        <v>0</v>
      </c>
      <c r="BE191" s="28">
        <v>0</v>
      </c>
      <c r="BF191" s="28">
        <f>191</f>
        <v>191</v>
      </c>
      <c r="BH191" s="28">
        <f t="shared" si="157"/>
        <v>0</v>
      </c>
      <c r="BI191" s="28">
        <f t="shared" si="158"/>
        <v>0</v>
      </c>
      <c r="BJ191" s="28">
        <f t="shared" si="159"/>
        <v>0</v>
      </c>
      <c r="BK191" s="28"/>
      <c r="BL191" s="28">
        <v>722</v>
      </c>
      <c r="BW191" s="28">
        <v>21</v>
      </c>
    </row>
    <row r="192" spans="1:75" ht="13.5" customHeight="1">
      <c r="A192" s="38" t="s">
        <v>342</v>
      </c>
      <c r="B192" s="39" t="s">
        <v>591</v>
      </c>
      <c r="C192" s="39" t="s">
        <v>545</v>
      </c>
      <c r="D192" s="50" t="s">
        <v>1064</v>
      </c>
      <c r="E192" s="51"/>
      <c r="F192" s="39" t="s">
        <v>228</v>
      </c>
      <c r="G192" s="28">
        <v>2</v>
      </c>
      <c r="H192" s="120">
        <v>0</v>
      </c>
      <c r="I192" s="120">
        <f t="shared" si="140"/>
        <v>0</v>
      </c>
      <c r="K192" s="8"/>
      <c r="Z192" s="28">
        <f t="shared" si="141"/>
        <v>0</v>
      </c>
      <c r="AB192" s="28">
        <f t="shared" si="142"/>
        <v>0</v>
      </c>
      <c r="AC192" s="28">
        <f t="shared" si="143"/>
        <v>0</v>
      </c>
      <c r="AD192" s="28">
        <f t="shared" si="144"/>
        <v>0</v>
      </c>
      <c r="AE192" s="28">
        <f t="shared" si="145"/>
        <v>0</v>
      </c>
      <c r="AF192" s="28">
        <f t="shared" si="146"/>
        <v>0</v>
      </c>
      <c r="AG192" s="28">
        <f t="shared" si="147"/>
        <v>0</v>
      </c>
      <c r="AH192" s="28">
        <f t="shared" si="148"/>
        <v>0</v>
      </c>
      <c r="AI192" s="21" t="s">
        <v>591</v>
      </c>
      <c r="AJ192" s="28">
        <f t="shared" si="149"/>
        <v>0</v>
      </c>
      <c r="AK192" s="28">
        <f t="shared" si="150"/>
        <v>0</v>
      </c>
      <c r="AL192" s="28">
        <f t="shared" si="151"/>
        <v>0</v>
      </c>
      <c r="AN192" s="28">
        <v>21</v>
      </c>
      <c r="AO192" s="28">
        <f>H192*0.869366700715015</f>
        <v>0</v>
      </c>
      <c r="AP192" s="28">
        <f>H192*(1-0.869366700715015)</f>
        <v>0</v>
      </c>
      <c r="AQ192" s="30" t="s">
        <v>900</v>
      </c>
      <c r="AV192" s="28">
        <f t="shared" si="152"/>
        <v>0</v>
      </c>
      <c r="AW192" s="28">
        <f t="shared" si="153"/>
        <v>0</v>
      </c>
      <c r="AX192" s="28">
        <f t="shared" si="154"/>
        <v>0</v>
      </c>
      <c r="AY192" s="30" t="s">
        <v>562</v>
      </c>
      <c r="AZ192" s="30" t="s">
        <v>627</v>
      </c>
      <c r="BA192" s="21" t="s">
        <v>762</v>
      </c>
      <c r="BC192" s="28">
        <f t="shared" si="155"/>
        <v>0</v>
      </c>
      <c r="BD192" s="28">
        <f t="shared" si="156"/>
        <v>0</v>
      </c>
      <c r="BE192" s="28">
        <v>0</v>
      </c>
      <c r="BF192" s="28">
        <f>192</f>
        <v>192</v>
      </c>
      <c r="BH192" s="28">
        <f t="shared" si="157"/>
        <v>0</v>
      </c>
      <c r="BI192" s="28">
        <f t="shared" si="158"/>
        <v>0</v>
      </c>
      <c r="BJ192" s="28">
        <f t="shared" si="159"/>
        <v>0</v>
      </c>
      <c r="BK192" s="28"/>
      <c r="BL192" s="28">
        <v>722</v>
      </c>
      <c r="BW192" s="28">
        <v>21</v>
      </c>
    </row>
    <row r="193" spans="1:75" ht="13.5" customHeight="1">
      <c r="A193" s="38" t="s">
        <v>463</v>
      </c>
      <c r="B193" s="39" t="s">
        <v>591</v>
      </c>
      <c r="C193" s="39" t="s">
        <v>796</v>
      </c>
      <c r="D193" s="50" t="s">
        <v>1065</v>
      </c>
      <c r="E193" s="51"/>
      <c r="F193" s="39" t="s">
        <v>228</v>
      </c>
      <c r="G193" s="28">
        <v>1</v>
      </c>
      <c r="H193" s="120">
        <v>0</v>
      </c>
      <c r="I193" s="120">
        <f t="shared" si="140"/>
        <v>0</v>
      </c>
      <c r="K193" s="8"/>
      <c r="Z193" s="28">
        <f t="shared" si="141"/>
        <v>0</v>
      </c>
      <c r="AB193" s="28">
        <f t="shared" si="142"/>
        <v>0</v>
      </c>
      <c r="AC193" s="28">
        <f t="shared" si="143"/>
        <v>0</v>
      </c>
      <c r="AD193" s="28">
        <f t="shared" si="144"/>
        <v>0</v>
      </c>
      <c r="AE193" s="28">
        <f t="shared" si="145"/>
        <v>0</v>
      </c>
      <c r="AF193" s="28">
        <f t="shared" si="146"/>
        <v>0</v>
      </c>
      <c r="AG193" s="28">
        <f t="shared" si="147"/>
        <v>0</v>
      </c>
      <c r="AH193" s="28">
        <f t="shared" si="148"/>
        <v>0</v>
      </c>
      <c r="AI193" s="21" t="s">
        <v>591</v>
      </c>
      <c r="AJ193" s="28">
        <f t="shared" si="149"/>
        <v>0</v>
      </c>
      <c r="AK193" s="28">
        <f t="shared" si="150"/>
        <v>0</v>
      </c>
      <c r="AL193" s="28">
        <f t="shared" si="151"/>
        <v>0</v>
      </c>
      <c r="AN193" s="28">
        <v>21</v>
      </c>
      <c r="AO193" s="28">
        <f>H193*0.767894736842105</f>
        <v>0</v>
      </c>
      <c r="AP193" s="28">
        <f>H193*(1-0.767894736842105)</f>
        <v>0</v>
      </c>
      <c r="AQ193" s="30" t="s">
        <v>900</v>
      </c>
      <c r="AV193" s="28">
        <f t="shared" si="152"/>
        <v>0</v>
      </c>
      <c r="AW193" s="28">
        <f t="shared" si="153"/>
        <v>0</v>
      </c>
      <c r="AX193" s="28">
        <f t="shared" si="154"/>
        <v>0</v>
      </c>
      <c r="AY193" s="30" t="s">
        <v>562</v>
      </c>
      <c r="AZ193" s="30" t="s">
        <v>627</v>
      </c>
      <c r="BA193" s="21" t="s">
        <v>762</v>
      </c>
      <c r="BC193" s="28">
        <f t="shared" si="155"/>
        <v>0</v>
      </c>
      <c r="BD193" s="28">
        <f t="shared" si="156"/>
        <v>0</v>
      </c>
      <c r="BE193" s="28">
        <v>0</v>
      </c>
      <c r="BF193" s="28">
        <f>193</f>
        <v>193</v>
      </c>
      <c r="BH193" s="28">
        <f t="shared" si="157"/>
        <v>0</v>
      </c>
      <c r="BI193" s="28">
        <f t="shared" si="158"/>
        <v>0</v>
      </c>
      <c r="BJ193" s="28">
        <f t="shared" si="159"/>
        <v>0</v>
      </c>
      <c r="BK193" s="28"/>
      <c r="BL193" s="28">
        <v>722</v>
      </c>
      <c r="BW193" s="28">
        <v>21</v>
      </c>
    </row>
    <row r="194" spans="1:75" ht="13.5" customHeight="1">
      <c r="A194" s="38" t="s">
        <v>109</v>
      </c>
      <c r="B194" s="39" t="s">
        <v>591</v>
      </c>
      <c r="C194" s="39" t="s">
        <v>901</v>
      </c>
      <c r="D194" s="50" t="s">
        <v>1066</v>
      </c>
      <c r="E194" s="51"/>
      <c r="F194" s="39" t="s">
        <v>228</v>
      </c>
      <c r="G194" s="28">
        <v>2</v>
      </c>
      <c r="H194" s="120">
        <v>0</v>
      </c>
      <c r="I194" s="120">
        <f t="shared" si="140"/>
        <v>0</v>
      </c>
      <c r="K194" s="8"/>
      <c r="Z194" s="28">
        <f t="shared" si="141"/>
        <v>0</v>
      </c>
      <c r="AB194" s="28">
        <f t="shared" si="142"/>
        <v>0</v>
      </c>
      <c r="AC194" s="28">
        <f t="shared" si="143"/>
        <v>0</v>
      </c>
      <c r="AD194" s="28">
        <f t="shared" si="144"/>
        <v>0</v>
      </c>
      <c r="AE194" s="28">
        <f t="shared" si="145"/>
        <v>0</v>
      </c>
      <c r="AF194" s="28">
        <f t="shared" si="146"/>
        <v>0</v>
      </c>
      <c r="AG194" s="28">
        <f t="shared" si="147"/>
        <v>0</v>
      </c>
      <c r="AH194" s="28">
        <f t="shared" si="148"/>
        <v>0</v>
      </c>
      <c r="AI194" s="21" t="s">
        <v>591</v>
      </c>
      <c r="AJ194" s="28">
        <f t="shared" si="149"/>
        <v>0</v>
      </c>
      <c r="AK194" s="28">
        <f t="shared" si="150"/>
        <v>0</v>
      </c>
      <c r="AL194" s="28">
        <f t="shared" si="151"/>
        <v>0</v>
      </c>
      <c r="AN194" s="28">
        <v>21</v>
      </c>
      <c r="AO194" s="28">
        <f>H194*0.901698693312836</f>
        <v>0</v>
      </c>
      <c r="AP194" s="28">
        <f>H194*(1-0.901698693312836)</f>
        <v>0</v>
      </c>
      <c r="AQ194" s="30" t="s">
        <v>900</v>
      </c>
      <c r="AV194" s="28">
        <f t="shared" si="152"/>
        <v>0</v>
      </c>
      <c r="AW194" s="28">
        <f t="shared" si="153"/>
        <v>0</v>
      </c>
      <c r="AX194" s="28">
        <f t="shared" si="154"/>
        <v>0</v>
      </c>
      <c r="AY194" s="30" t="s">
        <v>562</v>
      </c>
      <c r="AZ194" s="30" t="s">
        <v>627</v>
      </c>
      <c r="BA194" s="21" t="s">
        <v>762</v>
      </c>
      <c r="BC194" s="28">
        <f t="shared" si="155"/>
        <v>0</v>
      </c>
      <c r="BD194" s="28">
        <f t="shared" si="156"/>
        <v>0</v>
      </c>
      <c r="BE194" s="28">
        <v>0</v>
      </c>
      <c r="BF194" s="28">
        <f>194</f>
        <v>194</v>
      </c>
      <c r="BH194" s="28">
        <f t="shared" si="157"/>
        <v>0</v>
      </c>
      <c r="BI194" s="28">
        <f t="shared" si="158"/>
        <v>0</v>
      </c>
      <c r="BJ194" s="28">
        <f t="shared" si="159"/>
        <v>0</v>
      </c>
      <c r="BK194" s="28"/>
      <c r="BL194" s="28">
        <v>722</v>
      </c>
      <c r="BW194" s="28">
        <v>21</v>
      </c>
    </row>
    <row r="195" spans="1:75" ht="13.5" customHeight="1">
      <c r="A195" s="38" t="s">
        <v>449</v>
      </c>
      <c r="B195" s="39" t="s">
        <v>591</v>
      </c>
      <c r="C195" s="39" t="s">
        <v>456</v>
      </c>
      <c r="D195" s="50" t="s">
        <v>1067</v>
      </c>
      <c r="E195" s="51"/>
      <c r="F195" s="39" t="s">
        <v>228</v>
      </c>
      <c r="G195" s="28">
        <v>1</v>
      </c>
      <c r="H195" s="120">
        <v>0</v>
      </c>
      <c r="I195" s="120">
        <f t="shared" si="140"/>
        <v>0</v>
      </c>
      <c r="K195" s="8"/>
      <c r="Z195" s="28">
        <f t="shared" si="141"/>
        <v>0</v>
      </c>
      <c r="AB195" s="28">
        <f t="shared" si="142"/>
        <v>0</v>
      </c>
      <c r="AC195" s="28">
        <f t="shared" si="143"/>
        <v>0</v>
      </c>
      <c r="AD195" s="28">
        <f t="shared" si="144"/>
        <v>0</v>
      </c>
      <c r="AE195" s="28">
        <f t="shared" si="145"/>
        <v>0</v>
      </c>
      <c r="AF195" s="28">
        <f t="shared" si="146"/>
        <v>0</v>
      </c>
      <c r="AG195" s="28">
        <f t="shared" si="147"/>
        <v>0</v>
      </c>
      <c r="AH195" s="28">
        <f t="shared" si="148"/>
        <v>0</v>
      </c>
      <c r="AI195" s="21" t="s">
        <v>591</v>
      </c>
      <c r="AJ195" s="28">
        <f t="shared" si="149"/>
        <v>0</v>
      </c>
      <c r="AK195" s="28">
        <f t="shared" si="150"/>
        <v>0</v>
      </c>
      <c r="AL195" s="28">
        <f t="shared" si="151"/>
        <v>0</v>
      </c>
      <c r="AN195" s="28">
        <v>21</v>
      </c>
      <c r="AO195" s="28">
        <f>H195*0.930503731343284</f>
        <v>0</v>
      </c>
      <c r="AP195" s="28">
        <f>H195*(1-0.930503731343284)</f>
        <v>0</v>
      </c>
      <c r="AQ195" s="30" t="s">
        <v>900</v>
      </c>
      <c r="AV195" s="28">
        <f t="shared" si="152"/>
        <v>0</v>
      </c>
      <c r="AW195" s="28">
        <f t="shared" si="153"/>
        <v>0</v>
      </c>
      <c r="AX195" s="28">
        <f t="shared" si="154"/>
        <v>0</v>
      </c>
      <c r="AY195" s="30" t="s">
        <v>562</v>
      </c>
      <c r="AZ195" s="30" t="s">
        <v>627</v>
      </c>
      <c r="BA195" s="21" t="s">
        <v>762</v>
      </c>
      <c r="BC195" s="28">
        <f t="shared" si="155"/>
        <v>0</v>
      </c>
      <c r="BD195" s="28">
        <f t="shared" si="156"/>
        <v>0</v>
      </c>
      <c r="BE195" s="28">
        <v>0</v>
      </c>
      <c r="BF195" s="28">
        <f>195</f>
        <v>195</v>
      </c>
      <c r="BH195" s="28">
        <f t="shared" si="157"/>
        <v>0</v>
      </c>
      <c r="BI195" s="28">
        <f t="shared" si="158"/>
        <v>0</v>
      </c>
      <c r="BJ195" s="28">
        <f t="shared" si="159"/>
        <v>0</v>
      </c>
      <c r="BK195" s="28"/>
      <c r="BL195" s="28">
        <v>722</v>
      </c>
      <c r="BW195" s="28">
        <v>21</v>
      </c>
    </row>
    <row r="196" spans="1:75" ht="13.5" customHeight="1">
      <c r="A196" s="38" t="s">
        <v>65</v>
      </c>
      <c r="B196" s="39" t="s">
        <v>591</v>
      </c>
      <c r="C196" s="39" t="s">
        <v>560</v>
      </c>
      <c r="D196" s="50" t="s">
        <v>318</v>
      </c>
      <c r="E196" s="51"/>
      <c r="F196" s="39" t="s">
        <v>228</v>
      </c>
      <c r="G196" s="28">
        <v>1</v>
      </c>
      <c r="H196" s="120">
        <v>0</v>
      </c>
      <c r="I196" s="120">
        <f t="shared" si="140"/>
        <v>0</v>
      </c>
      <c r="K196" s="8"/>
      <c r="Z196" s="28">
        <f t="shared" si="141"/>
        <v>0</v>
      </c>
      <c r="AB196" s="28">
        <f t="shared" si="142"/>
        <v>0</v>
      </c>
      <c r="AC196" s="28">
        <f t="shared" si="143"/>
        <v>0</v>
      </c>
      <c r="AD196" s="28">
        <f t="shared" si="144"/>
        <v>0</v>
      </c>
      <c r="AE196" s="28">
        <f t="shared" si="145"/>
        <v>0</v>
      </c>
      <c r="AF196" s="28">
        <f t="shared" si="146"/>
        <v>0</v>
      </c>
      <c r="AG196" s="28">
        <f t="shared" si="147"/>
        <v>0</v>
      </c>
      <c r="AH196" s="28">
        <f t="shared" si="148"/>
        <v>0</v>
      </c>
      <c r="AI196" s="21" t="s">
        <v>591</v>
      </c>
      <c r="AJ196" s="28">
        <f t="shared" si="149"/>
        <v>0</v>
      </c>
      <c r="AK196" s="28">
        <f t="shared" si="150"/>
        <v>0</v>
      </c>
      <c r="AL196" s="28">
        <f t="shared" si="151"/>
        <v>0</v>
      </c>
      <c r="AN196" s="28">
        <v>21</v>
      </c>
      <c r="AO196" s="28">
        <f>H196*1</f>
        <v>0</v>
      </c>
      <c r="AP196" s="28">
        <f>H196*(1-1)</f>
        <v>0</v>
      </c>
      <c r="AQ196" s="30" t="s">
        <v>900</v>
      </c>
      <c r="AV196" s="28">
        <f t="shared" si="152"/>
        <v>0</v>
      </c>
      <c r="AW196" s="28">
        <f t="shared" si="153"/>
        <v>0</v>
      </c>
      <c r="AX196" s="28">
        <f t="shared" si="154"/>
        <v>0</v>
      </c>
      <c r="AY196" s="30" t="s">
        <v>562</v>
      </c>
      <c r="AZ196" s="30" t="s">
        <v>627</v>
      </c>
      <c r="BA196" s="21" t="s">
        <v>762</v>
      </c>
      <c r="BC196" s="28">
        <f t="shared" si="155"/>
        <v>0</v>
      </c>
      <c r="BD196" s="28">
        <f t="shared" si="156"/>
        <v>0</v>
      </c>
      <c r="BE196" s="28">
        <v>0</v>
      </c>
      <c r="BF196" s="28">
        <f>196</f>
        <v>196</v>
      </c>
      <c r="BH196" s="28">
        <f t="shared" si="157"/>
        <v>0</v>
      </c>
      <c r="BI196" s="28">
        <f t="shared" si="158"/>
        <v>0</v>
      </c>
      <c r="BJ196" s="28">
        <f t="shared" si="159"/>
        <v>0</v>
      </c>
      <c r="BK196" s="28"/>
      <c r="BL196" s="28">
        <v>722</v>
      </c>
      <c r="BW196" s="28">
        <v>21</v>
      </c>
    </row>
    <row r="197" spans="1:75" ht="13.5" customHeight="1">
      <c r="A197" s="38" t="s">
        <v>974</v>
      </c>
      <c r="B197" s="39" t="s">
        <v>591</v>
      </c>
      <c r="C197" s="39" t="s">
        <v>1021</v>
      </c>
      <c r="D197" s="50" t="s">
        <v>509</v>
      </c>
      <c r="E197" s="51"/>
      <c r="F197" s="39" t="s">
        <v>228</v>
      </c>
      <c r="G197" s="28">
        <v>1</v>
      </c>
      <c r="H197" s="120">
        <v>0</v>
      </c>
      <c r="I197" s="120">
        <f t="shared" si="140"/>
        <v>0</v>
      </c>
      <c r="K197" s="8"/>
      <c r="Z197" s="28">
        <f t="shared" si="141"/>
        <v>0</v>
      </c>
      <c r="AB197" s="28">
        <f t="shared" si="142"/>
        <v>0</v>
      </c>
      <c r="AC197" s="28">
        <f t="shared" si="143"/>
        <v>0</v>
      </c>
      <c r="AD197" s="28">
        <f t="shared" si="144"/>
        <v>0</v>
      </c>
      <c r="AE197" s="28">
        <f t="shared" si="145"/>
        <v>0</v>
      </c>
      <c r="AF197" s="28">
        <f t="shared" si="146"/>
        <v>0</v>
      </c>
      <c r="AG197" s="28">
        <f t="shared" si="147"/>
        <v>0</v>
      </c>
      <c r="AH197" s="28">
        <f t="shared" si="148"/>
        <v>0</v>
      </c>
      <c r="AI197" s="21" t="s">
        <v>591</v>
      </c>
      <c r="AJ197" s="28">
        <f t="shared" si="149"/>
        <v>0</v>
      </c>
      <c r="AK197" s="28">
        <f t="shared" si="150"/>
        <v>0</v>
      </c>
      <c r="AL197" s="28">
        <f t="shared" si="151"/>
        <v>0</v>
      </c>
      <c r="AN197" s="28">
        <v>21</v>
      </c>
      <c r="AO197" s="28">
        <f>H197*0</f>
        <v>0</v>
      </c>
      <c r="AP197" s="28">
        <f>H197*(1-0)</f>
        <v>0</v>
      </c>
      <c r="AQ197" s="30" t="s">
        <v>900</v>
      </c>
      <c r="AV197" s="28">
        <f t="shared" si="152"/>
        <v>0</v>
      </c>
      <c r="AW197" s="28">
        <f t="shared" si="153"/>
        <v>0</v>
      </c>
      <c r="AX197" s="28">
        <f t="shared" si="154"/>
        <v>0</v>
      </c>
      <c r="AY197" s="30" t="s">
        <v>562</v>
      </c>
      <c r="AZ197" s="30" t="s">
        <v>627</v>
      </c>
      <c r="BA197" s="21" t="s">
        <v>762</v>
      </c>
      <c r="BC197" s="28">
        <f t="shared" si="155"/>
        <v>0</v>
      </c>
      <c r="BD197" s="28">
        <f t="shared" si="156"/>
        <v>0</v>
      </c>
      <c r="BE197" s="28">
        <v>0</v>
      </c>
      <c r="BF197" s="28">
        <f>197</f>
        <v>197</v>
      </c>
      <c r="BH197" s="28">
        <f t="shared" si="157"/>
        <v>0</v>
      </c>
      <c r="BI197" s="28">
        <f t="shared" si="158"/>
        <v>0</v>
      </c>
      <c r="BJ197" s="28">
        <f t="shared" si="159"/>
        <v>0</v>
      </c>
      <c r="BK197" s="28"/>
      <c r="BL197" s="28">
        <v>722</v>
      </c>
      <c r="BW197" s="28">
        <v>21</v>
      </c>
    </row>
    <row r="198" spans="1:47" ht="15" customHeight="1">
      <c r="A198" s="3" t="s">
        <v>626</v>
      </c>
      <c r="B198" s="43" t="s">
        <v>591</v>
      </c>
      <c r="C198" s="43" t="s">
        <v>550</v>
      </c>
      <c r="D198" s="103" t="s">
        <v>995</v>
      </c>
      <c r="E198" s="104"/>
      <c r="F198" s="37" t="s">
        <v>836</v>
      </c>
      <c r="G198" s="37" t="s">
        <v>836</v>
      </c>
      <c r="H198" s="118" t="s">
        <v>836</v>
      </c>
      <c r="I198" s="119">
        <f>SUM(I199:I199)</f>
        <v>0</v>
      </c>
      <c r="K198" s="8"/>
      <c r="AI198" s="21" t="s">
        <v>591</v>
      </c>
      <c r="AS198" s="31">
        <f>SUM(AJ199:AJ199)</f>
        <v>0</v>
      </c>
      <c r="AT198" s="31">
        <f>SUM(AK199:AK199)</f>
        <v>0</v>
      </c>
      <c r="AU198" s="31">
        <f>SUM(AL199:AL199)</f>
        <v>0</v>
      </c>
    </row>
    <row r="199" spans="1:75" ht="13.5" customHeight="1">
      <c r="A199" s="38" t="s">
        <v>507</v>
      </c>
      <c r="B199" s="39" t="s">
        <v>591</v>
      </c>
      <c r="C199" s="39" t="s">
        <v>759</v>
      </c>
      <c r="D199" s="50" t="s">
        <v>780</v>
      </c>
      <c r="E199" s="51"/>
      <c r="F199" s="39" t="s">
        <v>311</v>
      </c>
      <c r="G199" s="28">
        <v>1</v>
      </c>
      <c r="H199" s="120">
        <v>0</v>
      </c>
      <c r="I199" s="120">
        <f>G199*H199</f>
        <v>0</v>
      </c>
      <c r="K199" s="8"/>
      <c r="Z199" s="28">
        <f>IF(AQ199="5",BJ199,0)</f>
        <v>0</v>
      </c>
      <c r="AB199" s="28">
        <f>IF(AQ199="1",BH199,0)</f>
        <v>0</v>
      </c>
      <c r="AC199" s="28">
        <f>IF(AQ199="1",BI199,0)</f>
        <v>0</v>
      </c>
      <c r="AD199" s="28">
        <f>IF(AQ199="7",BH199,0)</f>
        <v>0</v>
      </c>
      <c r="AE199" s="28">
        <f>IF(AQ199="7",BI199,0)</f>
        <v>0</v>
      </c>
      <c r="AF199" s="28">
        <f>IF(AQ199="2",BH199,0)</f>
        <v>0</v>
      </c>
      <c r="AG199" s="28">
        <f>IF(AQ199="2",BI199,0)</f>
        <v>0</v>
      </c>
      <c r="AH199" s="28">
        <f>IF(AQ199="0",BJ199,0)</f>
        <v>0</v>
      </c>
      <c r="AI199" s="21" t="s">
        <v>591</v>
      </c>
      <c r="AJ199" s="28">
        <f>IF(AN199=0,I199,0)</f>
        <v>0</v>
      </c>
      <c r="AK199" s="28">
        <f>IF(AN199=12,I199,0)</f>
        <v>0</v>
      </c>
      <c r="AL199" s="28">
        <f>IF(AN199=21,I199,0)</f>
        <v>0</v>
      </c>
      <c r="AN199" s="28">
        <v>21</v>
      </c>
      <c r="AO199" s="28">
        <f>H199*0.346020761245675</f>
        <v>0</v>
      </c>
      <c r="AP199" s="28">
        <f>H199*(1-0.346020761245675)</f>
        <v>0</v>
      </c>
      <c r="AQ199" s="30" t="s">
        <v>900</v>
      </c>
      <c r="AV199" s="28">
        <f>AW199+AX199</f>
        <v>0</v>
      </c>
      <c r="AW199" s="28">
        <f>G199*AO199</f>
        <v>0</v>
      </c>
      <c r="AX199" s="28">
        <f>G199*AP199</f>
        <v>0</v>
      </c>
      <c r="AY199" s="30" t="s">
        <v>817</v>
      </c>
      <c r="AZ199" s="30" t="s">
        <v>230</v>
      </c>
      <c r="BA199" s="21" t="s">
        <v>762</v>
      </c>
      <c r="BC199" s="28">
        <f>AW199+AX199</f>
        <v>0</v>
      </c>
      <c r="BD199" s="28">
        <f>H199/(100-BE199)*100</f>
        <v>0</v>
      </c>
      <c r="BE199" s="28">
        <v>0</v>
      </c>
      <c r="BF199" s="28">
        <f>199</f>
        <v>199</v>
      </c>
      <c r="BH199" s="28">
        <f>G199*AO199</f>
        <v>0</v>
      </c>
      <c r="BI199" s="28">
        <f>G199*AP199</f>
        <v>0</v>
      </c>
      <c r="BJ199" s="28">
        <f>G199*H199</f>
        <v>0</v>
      </c>
      <c r="BK199" s="28"/>
      <c r="BL199" s="28">
        <v>73</v>
      </c>
      <c r="BW199" s="28">
        <v>21</v>
      </c>
    </row>
    <row r="200" spans="1:47" ht="15" customHeight="1">
      <c r="A200" s="3" t="s">
        <v>626</v>
      </c>
      <c r="B200" s="43" t="s">
        <v>591</v>
      </c>
      <c r="C200" s="43" t="s">
        <v>595</v>
      </c>
      <c r="D200" s="103" t="s">
        <v>898</v>
      </c>
      <c r="E200" s="104"/>
      <c r="F200" s="37" t="s">
        <v>836</v>
      </c>
      <c r="G200" s="37" t="s">
        <v>836</v>
      </c>
      <c r="H200" s="118" t="s">
        <v>836</v>
      </c>
      <c r="I200" s="119">
        <f>SUM(I201:I207)</f>
        <v>0</v>
      </c>
      <c r="K200" s="8"/>
      <c r="AI200" s="21" t="s">
        <v>591</v>
      </c>
      <c r="AS200" s="31">
        <f>SUM(AJ201:AJ207)</f>
        <v>0</v>
      </c>
      <c r="AT200" s="31">
        <f>SUM(AK201:AK207)</f>
        <v>0</v>
      </c>
      <c r="AU200" s="31">
        <f>SUM(AL201:AL207)</f>
        <v>0</v>
      </c>
    </row>
    <row r="201" spans="1:75" ht="13.5" customHeight="1">
      <c r="A201" s="38" t="s">
        <v>364</v>
      </c>
      <c r="B201" s="39" t="s">
        <v>591</v>
      </c>
      <c r="C201" s="39" t="s">
        <v>118</v>
      </c>
      <c r="D201" s="50" t="s">
        <v>325</v>
      </c>
      <c r="E201" s="51"/>
      <c r="F201" s="39" t="s">
        <v>311</v>
      </c>
      <c r="G201" s="28">
        <v>14</v>
      </c>
      <c r="H201" s="120">
        <v>0</v>
      </c>
      <c r="I201" s="120">
        <f aca="true" t="shared" si="160" ref="I201:I207">G201*H201</f>
        <v>0</v>
      </c>
      <c r="K201" s="8"/>
      <c r="Z201" s="28">
        <f aca="true" t="shared" si="161" ref="Z201:Z207">IF(AQ201="5",BJ201,0)</f>
        <v>0</v>
      </c>
      <c r="AB201" s="28">
        <f aca="true" t="shared" si="162" ref="AB201:AB207">IF(AQ201="1",BH201,0)</f>
        <v>0</v>
      </c>
      <c r="AC201" s="28">
        <f aca="true" t="shared" si="163" ref="AC201:AC207">IF(AQ201="1",BI201,0)</f>
        <v>0</v>
      </c>
      <c r="AD201" s="28">
        <f aca="true" t="shared" si="164" ref="AD201:AD207">IF(AQ201="7",BH201,0)</f>
        <v>0</v>
      </c>
      <c r="AE201" s="28">
        <f aca="true" t="shared" si="165" ref="AE201:AE207">IF(AQ201="7",BI201,0)</f>
        <v>0</v>
      </c>
      <c r="AF201" s="28">
        <f aca="true" t="shared" si="166" ref="AF201:AF207">IF(AQ201="2",BH201,0)</f>
        <v>0</v>
      </c>
      <c r="AG201" s="28">
        <f aca="true" t="shared" si="167" ref="AG201:AG207">IF(AQ201="2",BI201,0)</f>
        <v>0</v>
      </c>
      <c r="AH201" s="28">
        <f aca="true" t="shared" si="168" ref="AH201:AH207">IF(AQ201="0",BJ201,0)</f>
        <v>0</v>
      </c>
      <c r="AI201" s="21" t="s">
        <v>591</v>
      </c>
      <c r="AJ201" s="28">
        <f aca="true" t="shared" si="169" ref="AJ201:AJ207">IF(AN201=0,I201,0)</f>
        <v>0</v>
      </c>
      <c r="AK201" s="28">
        <f aca="true" t="shared" si="170" ref="AK201:AK207">IF(AN201=12,I201,0)</f>
        <v>0</v>
      </c>
      <c r="AL201" s="28">
        <f aca="true" t="shared" si="171" ref="AL201:AL207">IF(AN201=21,I201,0)</f>
        <v>0</v>
      </c>
      <c r="AN201" s="28">
        <v>21</v>
      </c>
      <c r="AO201" s="28">
        <f>H201*0.658518518518519</f>
        <v>0</v>
      </c>
      <c r="AP201" s="28">
        <f>H201*(1-0.658518518518519)</f>
        <v>0</v>
      </c>
      <c r="AQ201" s="30" t="s">
        <v>900</v>
      </c>
      <c r="AV201" s="28">
        <f aca="true" t="shared" si="172" ref="AV201:AV207">AW201+AX201</f>
        <v>0</v>
      </c>
      <c r="AW201" s="28">
        <f aca="true" t="shared" si="173" ref="AW201:AW207">G201*AO201</f>
        <v>0</v>
      </c>
      <c r="AX201" s="28">
        <f aca="true" t="shared" si="174" ref="AX201:AX207">G201*AP201</f>
        <v>0</v>
      </c>
      <c r="AY201" s="30" t="s">
        <v>399</v>
      </c>
      <c r="AZ201" s="30" t="s">
        <v>230</v>
      </c>
      <c r="BA201" s="21" t="s">
        <v>762</v>
      </c>
      <c r="BC201" s="28">
        <f aca="true" t="shared" si="175" ref="BC201:BC207">AW201+AX201</f>
        <v>0</v>
      </c>
      <c r="BD201" s="28">
        <f aca="true" t="shared" si="176" ref="BD201:BD207">H201/(100-BE201)*100</f>
        <v>0</v>
      </c>
      <c r="BE201" s="28">
        <v>0</v>
      </c>
      <c r="BF201" s="28">
        <f>201</f>
        <v>201</v>
      </c>
      <c r="BH201" s="28">
        <f aca="true" t="shared" si="177" ref="BH201:BH207">G201*AO201</f>
        <v>0</v>
      </c>
      <c r="BI201" s="28">
        <f aca="true" t="shared" si="178" ref="BI201:BI207">G201*AP201</f>
        <v>0</v>
      </c>
      <c r="BJ201" s="28">
        <f aca="true" t="shared" si="179" ref="BJ201:BJ207">G201*H201</f>
        <v>0</v>
      </c>
      <c r="BK201" s="28"/>
      <c r="BL201" s="28">
        <v>732</v>
      </c>
      <c r="BW201" s="28">
        <v>21</v>
      </c>
    </row>
    <row r="202" spans="1:75" ht="13.5" customHeight="1">
      <c r="A202" s="38" t="s">
        <v>254</v>
      </c>
      <c r="B202" s="39" t="s">
        <v>591</v>
      </c>
      <c r="C202" s="39" t="s">
        <v>703</v>
      </c>
      <c r="D202" s="50" t="s">
        <v>666</v>
      </c>
      <c r="E202" s="51"/>
      <c r="F202" s="39" t="s">
        <v>741</v>
      </c>
      <c r="G202" s="28">
        <v>3</v>
      </c>
      <c r="H202" s="120">
        <v>0</v>
      </c>
      <c r="I202" s="120">
        <f t="shared" si="160"/>
        <v>0</v>
      </c>
      <c r="K202" s="8"/>
      <c r="Z202" s="28">
        <f t="shared" si="161"/>
        <v>0</v>
      </c>
      <c r="AB202" s="28">
        <f t="shared" si="162"/>
        <v>0</v>
      </c>
      <c r="AC202" s="28">
        <f t="shared" si="163"/>
        <v>0</v>
      </c>
      <c r="AD202" s="28">
        <f t="shared" si="164"/>
        <v>0</v>
      </c>
      <c r="AE202" s="28">
        <f t="shared" si="165"/>
        <v>0</v>
      </c>
      <c r="AF202" s="28">
        <f t="shared" si="166"/>
        <v>0</v>
      </c>
      <c r="AG202" s="28">
        <f t="shared" si="167"/>
        <v>0</v>
      </c>
      <c r="AH202" s="28">
        <f t="shared" si="168"/>
        <v>0</v>
      </c>
      <c r="AI202" s="21" t="s">
        <v>591</v>
      </c>
      <c r="AJ202" s="28">
        <f t="shared" si="169"/>
        <v>0</v>
      </c>
      <c r="AK202" s="28">
        <f t="shared" si="170"/>
        <v>0</v>
      </c>
      <c r="AL202" s="28">
        <f t="shared" si="171"/>
        <v>0</v>
      </c>
      <c r="AN202" s="28">
        <v>21</v>
      </c>
      <c r="AO202" s="28">
        <f>H202*0</f>
        <v>0</v>
      </c>
      <c r="AP202" s="28">
        <f>H202*(1-0)</f>
        <v>0</v>
      </c>
      <c r="AQ202" s="30" t="s">
        <v>900</v>
      </c>
      <c r="AV202" s="28">
        <f t="shared" si="172"/>
        <v>0</v>
      </c>
      <c r="AW202" s="28">
        <f t="shared" si="173"/>
        <v>0</v>
      </c>
      <c r="AX202" s="28">
        <f t="shared" si="174"/>
        <v>0</v>
      </c>
      <c r="AY202" s="30" t="s">
        <v>399</v>
      </c>
      <c r="AZ202" s="30" t="s">
        <v>230</v>
      </c>
      <c r="BA202" s="21" t="s">
        <v>762</v>
      </c>
      <c r="BC202" s="28">
        <f t="shared" si="175"/>
        <v>0</v>
      </c>
      <c r="BD202" s="28">
        <f t="shared" si="176"/>
        <v>0</v>
      </c>
      <c r="BE202" s="28">
        <v>0</v>
      </c>
      <c r="BF202" s="28">
        <f>202</f>
        <v>202</v>
      </c>
      <c r="BH202" s="28">
        <f t="shared" si="177"/>
        <v>0</v>
      </c>
      <c r="BI202" s="28">
        <f t="shared" si="178"/>
        <v>0</v>
      </c>
      <c r="BJ202" s="28">
        <f t="shared" si="179"/>
        <v>0</v>
      </c>
      <c r="BK202" s="28"/>
      <c r="BL202" s="28">
        <v>732</v>
      </c>
      <c r="BW202" s="28">
        <v>21</v>
      </c>
    </row>
    <row r="203" spans="1:75" ht="13.5" customHeight="1">
      <c r="A203" s="38" t="s">
        <v>629</v>
      </c>
      <c r="B203" s="39" t="s">
        <v>591</v>
      </c>
      <c r="C203" s="39" t="s">
        <v>117</v>
      </c>
      <c r="D203" s="50" t="s">
        <v>34</v>
      </c>
      <c r="E203" s="51"/>
      <c r="F203" s="39" t="s">
        <v>228</v>
      </c>
      <c r="G203" s="28">
        <v>1</v>
      </c>
      <c r="H203" s="120">
        <v>0</v>
      </c>
      <c r="I203" s="120">
        <f t="shared" si="160"/>
        <v>0</v>
      </c>
      <c r="K203" s="8"/>
      <c r="Z203" s="28">
        <f t="shared" si="161"/>
        <v>0</v>
      </c>
      <c r="AB203" s="28">
        <f t="shared" si="162"/>
        <v>0</v>
      </c>
      <c r="AC203" s="28">
        <f t="shared" si="163"/>
        <v>0</v>
      </c>
      <c r="AD203" s="28">
        <f t="shared" si="164"/>
        <v>0</v>
      </c>
      <c r="AE203" s="28">
        <f t="shared" si="165"/>
        <v>0</v>
      </c>
      <c r="AF203" s="28">
        <f t="shared" si="166"/>
        <v>0</v>
      </c>
      <c r="AG203" s="28">
        <f t="shared" si="167"/>
        <v>0</v>
      </c>
      <c r="AH203" s="28">
        <f t="shared" si="168"/>
        <v>0</v>
      </c>
      <c r="AI203" s="21" t="s">
        <v>591</v>
      </c>
      <c r="AJ203" s="28">
        <f t="shared" si="169"/>
        <v>0</v>
      </c>
      <c r="AK203" s="28">
        <f t="shared" si="170"/>
        <v>0</v>
      </c>
      <c r="AL203" s="28">
        <f t="shared" si="171"/>
        <v>0</v>
      </c>
      <c r="AN203" s="28">
        <v>21</v>
      </c>
      <c r="AO203" s="28">
        <f>H203*0.674383346425766</f>
        <v>0</v>
      </c>
      <c r="AP203" s="28">
        <f>H203*(1-0.674383346425766)</f>
        <v>0</v>
      </c>
      <c r="AQ203" s="30" t="s">
        <v>900</v>
      </c>
      <c r="AV203" s="28">
        <f t="shared" si="172"/>
        <v>0</v>
      </c>
      <c r="AW203" s="28">
        <f t="shared" si="173"/>
        <v>0</v>
      </c>
      <c r="AX203" s="28">
        <f t="shared" si="174"/>
        <v>0</v>
      </c>
      <c r="AY203" s="30" t="s">
        <v>399</v>
      </c>
      <c r="AZ203" s="30" t="s">
        <v>230</v>
      </c>
      <c r="BA203" s="21" t="s">
        <v>762</v>
      </c>
      <c r="BC203" s="28">
        <f t="shared" si="175"/>
        <v>0</v>
      </c>
      <c r="BD203" s="28">
        <f t="shared" si="176"/>
        <v>0</v>
      </c>
      <c r="BE203" s="28">
        <v>0</v>
      </c>
      <c r="BF203" s="28">
        <f>203</f>
        <v>203</v>
      </c>
      <c r="BH203" s="28">
        <f t="shared" si="177"/>
        <v>0</v>
      </c>
      <c r="BI203" s="28">
        <f t="shared" si="178"/>
        <v>0</v>
      </c>
      <c r="BJ203" s="28">
        <f t="shared" si="179"/>
        <v>0</v>
      </c>
      <c r="BK203" s="28"/>
      <c r="BL203" s="28">
        <v>732</v>
      </c>
      <c r="BW203" s="28">
        <v>21</v>
      </c>
    </row>
    <row r="204" spans="1:75" ht="13.5" customHeight="1">
      <c r="A204" s="38" t="s">
        <v>838</v>
      </c>
      <c r="B204" s="39" t="s">
        <v>591</v>
      </c>
      <c r="C204" s="39" t="s">
        <v>290</v>
      </c>
      <c r="D204" s="50" t="s">
        <v>886</v>
      </c>
      <c r="E204" s="51"/>
      <c r="F204" s="39" t="s">
        <v>228</v>
      </c>
      <c r="G204" s="28">
        <v>3</v>
      </c>
      <c r="H204" s="120">
        <v>0</v>
      </c>
      <c r="I204" s="120">
        <f t="shared" si="160"/>
        <v>0</v>
      </c>
      <c r="K204" s="8"/>
      <c r="Z204" s="28">
        <f t="shared" si="161"/>
        <v>0</v>
      </c>
      <c r="AB204" s="28">
        <f t="shared" si="162"/>
        <v>0</v>
      </c>
      <c r="AC204" s="28">
        <f t="shared" si="163"/>
        <v>0</v>
      </c>
      <c r="AD204" s="28">
        <f t="shared" si="164"/>
        <v>0</v>
      </c>
      <c r="AE204" s="28">
        <f t="shared" si="165"/>
        <v>0</v>
      </c>
      <c r="AF204" s="28">
        <f t="shared" si="166"/>
        <v>0</v>
      </c>
      <c r="AG204" s="28">
        <f t="shared" si="167"/>
        <v>0</v>
      </c>
      <c r="AH204" s="28">
        <f t="shared" si="168"/>
        <v>0</v>
      </c>
      <c r="AI204" s="21" t="s">
        <v>591</v>
      </c>
      <c r="AJ204" s="28">
        <f t="shared" si="169"/>
        <v>0</v>
      </c>
      <c r="AK204" s="28">
        <f t="shared" si="170"/>
        <v>0</v>
      </c>
      <c r="AL204" s="28">
        <f t="shared" si="171"/>
        <v>0</v>
      </c>
      <c r="AN204" s="28">
        <v>21</v>
      </c>
      <c r="AO204" s="28">
        <f>H204*0.532435331230284</f>
        <v>0</v>
      </c>
      <c r="AP204" s="28">
        <f>H204*(1-0.532435331230284)</f>
        <v>0</v>
      </c>
      <c r="AQ204" s="30" t="s">
        <v>900</v>
      </c>
      <c r="AV204" s="28">
        <f t="shared" si="172"/>
        <v>0</v>
      </c>
      <c r="AW204" s="28">
        <f t="shared" si="173"/>
        <v>0</v>
      </c>
      <c r="AX204" s="28">
        <f t="shared" si="174"/>
        <v>0</v>
      </c>
      <c r="AY204" s="30" t="s">
        <v>399</v>
      </c>
      <c r="AZ204" s="30" t="s">
        <v>230</v>
      </c>
      <c r="BA204" s="21" t="s">
        <v>762</v>
      </c>
      <c r="BC204" s="28">
        <f t="shared" si="175"/>
        <v>0</v>
      </c>
      <c r="BD204" s="28">
        <f t="shared" si="176"/>
        <v>0</v>
      </c>
      <c r="BE204" s="28">
        <v>0</v>
      </c>
      <c r="BF204" s="28">
        <f>204</f>
        <v>204</v>
      </c>
      <c r="BH204" s="28">
        <f t="shared" si="177"/>
        <v>0</v>
      </c>
      <c r="BI204" s="28">
        <f t="shared" si="178"/>
        <v>0</v>
      </c>
      <c r="BJ204" s="28">
        <f t="shared" si="179"/>
        <v>0</v>
      </c>
      <c r="BK204" s="28"/>
      <c r="BL204" s="28">
        <v>732</v>
      </c>
      <c r="BW204" s="28">
        <v>21</v>
      </c>
    </row>
    <row r="205" spans="1:75" ht="13.5" customHeight="1">
      <c r="A205" s="38" t="s">
        <v>216</v>
      </c>
      <c r="B205" s="39" t="s">
        <v>591</v>
      </c>
      <c r="C205" s="39" t="s">
        <v>949</v>
      </c>
      <c r="D205" s="50" t="s">
        <v>1049</v>
      </c>
      <c r="E205" s="51"/>
      <c r="F205" s="39" t="s">
        <v>626</v>
      </c>
      <c r="G205" s="28">
        <v>1</v>
      </c>
      <c r="H205" s="120">
        <v>0</v>
      </c>
      <c r="I205" s="120">
        <f t="shared" si="160"/>
        <v>0</v>
      </c>
      <c r="K205" s="8"/>
      <c r="Z205" s="28">
        <f t="shared" si="161"/>
        <v>0</v>
      </c>
      <c r="AB205" s="28">
        <f t="shared" si="162"/>
        <v>0</v>
      </c>
      <c r="AC205" s="28">
        <f t="shared" si="163"/>
        <v>0</v>
      </c>
      <c r="AD205" s="28">
        <f t="shared" si="164"/>
        <v>0</v>
      </c>
      <c r="AE205" s="28">
        <f t="shared" si="165"/>
        <v>0</v>
      </c>
      <c r="AF205" s="28">
        <f t="shared" si="166"/>
        <v>0</v>
      </c>
      <c r="AG205" s="28">
        <f t="shared" si="167"/>
        <v>0</v>
      </c>
      <c r="AH205" s="28">
        <f t="shared" si="168"/>
        <v>0</v>
      </c>
      <c r="AI205" s="21" t="s">
        <v>591</v>
      </c>
      <c r="AJ205" s="28">
        <f t="shared" si="169"/>
        <v>0</v>
      </c>
      <c r="AK205" s="28">
        <f t="shared" si="170"/>
        <v>0</v>
      </c>
      <c r="AL205" s="28">
        <f t="shared" si="171"/>
        <v>0</v>
      </c>
      <c r="AN205" s="28">
        <v>21</v>
      </c>
      <c r="AO205" s="28">
        <f>H205*0.974240082431736</f>
        <v>0</v>
      </c>
      <c r="AP205" s="28">
        <f>H205*(1-0.974240082431736)</f>
        <v>0</v>
      </c>
      <c r="AQ205" s="30" t="s">
        <v>900</v>
      </c>
      <c r="AV205" s="28">
        <f t="shared" si="172"/>
        <v>0</v>
      </c>
      <c r="AW205" s="28">
        <f t="shared" si="173"/>
        <v>0</v>
      </c>
      <c r="AX205" s="28">
        <f t="shared" si="174"/>
        <v>0</v>
      </c>
      <c r="AY205" s="30" t="s">
        <v>399</v>
      </c>
      <c r="AZ205" s="30" t="s">
        <v>230</v>
      </c>
      <c r="BA205" s="21" t="s">
        <v>762</v>
      </c>
      <c r="BC205" s="28">
        <f t="shared" si="175"/>
        <v>0</v>
      </c>
      <c r="BD205" s="28">
        <f t="shared" si="176"/>
        <v>0</v>
      </c>
      <c r="BE205" s="28">
        <v>0</v>
      </c>
      <c r="BF205" s="28">
        <f>205</f>
        <v>205</v>
      </c>
      <c r="BH205" s="28">
        <f t="shared" si="177"/>
        <v>0</v>
      </c>
      <c r="BI205" s="28">
        <f t="shared" si="178"/>
        <v>0</v>
      </c>
      <c r="BJ205" s="28">
        <f t="shared" si="179"/>
        <v>0</v>
      </c>
      <c r="BK205" s="28"/>
      <c r="BL205" s="28">
        <v>732</v>
      </c>
      <c r="BW205" s="28">
        <v>21</v>
      </c>
    </row>
    <row r="206" spans="1:75" ht="13.5" customHeight="1">
      <c r="A206" s="38" t="s">
        <v>954</v>
      </c>
      <c r="B206" s="39" t="s">
        <v>591</v>
      </c>
      <c r="C206" s="39" t="s">
        <v>491</v>
      </c>
      <c r="D206" s="50" t="s">
        <v>123</v>
      </c>
      <c r="E206" s="51"/>
      <c r="F206" s="39" t="s">
        <v>311</v>
      </c>
      <c r="G206" s="28">
        <v>1</v>
      </c>
      <c r="H206" s="120">
        <v>0</v>
      </c>
      <c r="I206" s="120">
        <f t="shared" si="160"/>
        <v>0</v>
      </c>
      <c r="K206" s="8"/>
      <c r="Z206" s="28">
        <f t="shared" si="161"/>
        <v>0</v>
      </c>
      <c r="AB206" s="28">
        <f t="shared" si="162"/>
        <v>0</v>
      </c>
      <c r="AC206" s="28">
        <f t="shared" si="163"/>
        <v>0</v>
      </c>
      <c r="AD206" s="28">
        <f t="shared" si="164"/>
        <v>0</v>
      </c>
      <c r="AE206" s="28">
        <f t="shared" si="165"/>
        <v>0</v>
      </c>
      <c r="AF206" s="28">
        <f t="shared" si="166"/>
        <v>0</v>
      </c>
      <c r="AG206" s="28">
        <f t="shared" si="167"/>
        <v>0</v>
      </c>
      <c r="AH206" s="28">
        <f t="shared" si="168"/>
        <v>0</v>
      </c>
      <c r="AI206" s="21" t="s">
        <v>591</v>
      </c>
      <c r="AJ206" s="28">
        <f t="shared" si="169"/>
        <v>0</v>
      </c>
      <c r="AK206" s="28">
        <f t="shared" si="170"/>
        <v>0</v>
      </c>
      <c r="AL206" s="28">
        <f t="shared" si="171"/>
        <v>0</v>
      </c>
      <c r="AN206" s="28">
        <v>21</v>
      </c>
      <c r="AO206" s="28">
        <f>H206*0.642985041792658</f>
        <v>0</v>
      </c>
      <c r="AP206" s="28">
        <f>H206*(1-0.642985041792658)</f>
        <v>0</v>
      </c>
      <c r="AQ206" s="30" t="s">
        <v>900</v>
      </c>
      <c r="AV206" s="28">
        <f t="shared" si="172"/>
        <v>0</v>
      </c>
      <c r="AW206" s="28">
        <f t="shared" si="173"/>
        <v>0</v>
      </c>
      <c r="AX206" s="28">
        <f t="shared" si="174"/>
        <v>0</v>
      </c>
      <c r="AY206" s="30" t="s">
        <v>399</v>
      </c>
      <c r="AZ206" s="30" t="s">
        <v>230</v>
      </c>
      <c r="BA206" s="21" t="s">
        <v>762</v>
      </c>
      <c r="BC206" s="28">
        <f t="shared" si="175"/>
        <v>0</v>
      </c>
      <c r="BD206" s="28">
        <f t="shared" si="176"/>
        <v>0</v>
      </c>
      <c r="BE206" s="28">
        <v>0</v>
      </c>
      <c r="BF206" s="28">
        <f>206</f>
        <v>206</v>
      </c>
      <c r="BH206" s="28">
        <f t="shared" si="177"/>
        <v>0</v>
      </c>
      <c r="BI206" s="28">
        <f t="shared" si="178"/>
        <v>0</v>
      </c>
      <c r="BJ206" s="28">
        <f t="shared" si="179"/>
        <v>0</v>
      </c>
      <c r="BK206" s="28"/>
      <c r="BL206" s="28">
        <v>732</v>
      </c>
      <c r="BW206" s="28">
        <v>21</v>
      </c>
    </row>
    <row r="207" spans="1:75" ht="13.5" customHeight="1">
      <c r="A207" s="38" t="s">
        <v>359</v>
      </c>
      <c r="B207" s="39" t="s">
        <v>591</v>
      </c>
      <c r="C207" s="39" t="s">
        <v>834</v>
      </c>
      <c r="D207" s="50" t="s">
        <v>608</v>
      </c>
      <c r="E207" s="51"/>
      <c r="F207" s="39" t="s">
        <v>228</v>
      </c>
      <c r="G207" s="28">
        <v>1</v>
      </c>
      <c r="H207" s="120">
        <v>0</v>
      </c>
      <c r="I207" s="120">
        <f t="shared" si="160"/>
        <v>0</v>
      </c>
      <c r="K207" s="8"/>
      <c r="Z207" s="28">
        <f t="shared" si="161"/>
        <v>0</v>
      </c>
      <c r="AB207" s="28">
        <f t="shared" si="162"/>
        <v>0</v>
      </c>
      <c r="AC207" s="28">
        <f t="shared" si="163"/>
        <v>0</v>
      </c>
      <c r="AD207" s="28">
        <f t="shared" si="164"/>
        <v>0</v>
      </c>
      <c r="AE207" s="28">
        <f t="shared" si="165"/>
        <v>0</v>
      </c>
      <c r="AF207" s="28">
        <f t="shared" si="166"/>
        <v>0</v>
      </c>
      <c r="AG207" s="28">
        <f t="shared" si="167"/>
        <v>0</v>
      </c>
      <c r="AH207" s="28">
        <f t="shared" si="168"/>
        <v>0</v>
      </c>
      <c r="AI207" s="21" t="s">
        <v>591</v>
      </c>
      <c r="AJ207" s="28">
        <f t="shared" si="169"/>
        <v>0</v>
      </c>
      <c r="AK207" s="28">
        <f t="shared" si="170"/>
        <v>0</v>
      </c>
      <c r="AL207" s="28">
        <f t="shared" si="171"/>
        <v>0</v>
      </c>
      <c r="AN207" s="28">
        <v>21</v>
      </c>
      <c r="AO207" s="28">
        <f>H207*1</f>
        <v>0</v>
      </c>
      <c r="AP207" s="28">
        <f>H207*(1-1)</f>
        <v>0</v>
      </c>
      <c r="AQ207" s="30" t="s">
        <v>900</v>
      </c>
      <c r="AV207" s="28">
        <f t="shared" si="172"/>
        <v>0</v>
      </c>
      <c r="AW207" s="28">
        <f t="shared" si="173"/>
        <v>0</v>
      </c>
      <c r="AX207" s="28">
        <f t="shared" si="174"/>
        <v>0</v>
      </c>
      <c r="AY207" s="30" t="s">
        <v>399</v>
      </c>
      <c r="AZ207" s="30" t="s">
        <v>230</v>
      </c>
      <c r="BA207" s="21" t="s">
        <v>762</v>
      </c>
      <c r="BC207" s="28">
        <f t="shared" si="175"/>
        <v>0</v>
      </c>
      <c r="BD207" s="28">
        <f t="shared" si="176"/>
        <v>0</v>
      </c>
      <c r="BE207" s="28">
        <v>0</v>
      </c>
      <c r="BF207" s="28">
        <f>207</f>
        <v>207</v>
      </c>
      <c r="BH207" s="28">
        <f t="shared" si="177"/>
        <v>0</v>
      </c>
      <c r="BI207" s="28">
        <f t="shared" si="178"/>
        <v>0</v>
      </c>
      <c r="BJ207" s="28">
        <f t="shared" si="179"/>
        <v>0</v>
      </c>
      <c r="BK207" s="28"/>
      <c r="BL207" s="28">
        <v>732</v>
      </c>
      <c r="BW207" s="28">
        <v>21</v>
      </c>
    </row>
    <row r="208" spans="1:47" ht="15" customHeight="1">
      <c r="A208" s="3" t="s">
        <v>626</v>
      </c>
      <c r="B208" s="43" t="s">
        <v>591</v>
      </c>
      <c r="C208" s="43" t="s">
        <v>922</v>
      </c>
      <c r="D208" s="103" t="s">
        <v>754</v>
      </c>
      <c r="E208" s="104"/>
      <c r="F208" s="37" t="s">
        <v>836</v>
      </c>
      <c r="G208" s="37" t="s">
        <v>836</v>
      </c>
      <c r="H208" s="118" t="s">
        <v>836</v>
      </c>
      <c r="I208" s="119">
        <f>SUM(I209:I219)</f>
        <v>0</v>
      </c>
      <c r="K208" s="8"/>
      <c r="AI208" s="21" t="s">
        <v>591</v>
      </c>
      <c r="AS208" s="31">
        <f>SUM(AJ209:AJ219)</f>
        <v>0</v>
      </c>
      <c r="AT208" s="31">
        <f>SUM(AK209:AK219)</f>
        <v>0</v>
      </c>
      <c r="AU208" s="31">
        <f>SUM(AL209:AL219)</f>
        <v>0</v>
      </c>
    </row>
    <row r="209" spans="1:75" ht="13.5" customHeight="1">
      <c r="A209" s="38" t="s">
        <v>822</v>
      </c>
      <c r="B209" s="39" t="s">
        <v>591</v>
      </c>
      <c r="C209" s="39" t="s">
        <v>919</v>
      </c>
      <c r="D209" s="50" t="s">
        <v>556</v>
      </c>
      <c r="E209" s="51"/>
      <c r="F209" s="39" t="s">
        <v>228</v>
      </c>
      <c r="G209" s="28">
        <v>8</v>
      </c>
      <c r="H209" s="120">
        <v>0</v>
      </c>
      <c r="I209" s="120">
        <f aca="true" t="shared" si="180" ref="I209:I219">G209*H209</f>
        <v>0</v>
      </c>
      <c r="K209" s="8"/>
      <c r="Z209" s="28">
        <f aca="true" t="shared" si="181" ref="Z209:Z219">IF(AQ209="5",BJ209,0)</f>
        <v>0</v>
      </c>
      <c r="AB209" s="28">
        <f aca="true" t="shared" si="182" ref="AB209:AB219">IF(AQ209="1",BH209,0)</f>
        <v>0</v>
      </c>
      <c r="AC209" s="28">
        <f aca="true" t="shared" si="183" ref="AC209:AC219">IF(AQ209="1",BI209,0)</f>
        <v>0</v>
      </c>
      <c r="AD209" s="28">
        <f aca="true" t="shared" si="184" ref="AD209:AD219">IF(AQ209="7",BH209,0)</f>
        <v>0</v>
      </c>
      <c r="AE209" s="28">
        <f aca="true" t="shared" si="185" ref="AE209:AE219">IF(AQ209="7",BI209,0)</f>
        <v>0</v>
      </c>
      <c r="AF209" s="28">
        <f aca="true" t="shared" si="186" ref="AF209:AF219">IF(AQ209="2",BH209,0)</f>
        <v>0</v>
      </c>
      <c r="AG209" s="28">
        <f aca="true" t="shared" si="187" ref="AG209:AG219">IF(AQ209="2",BI209,0)</f>
        <v>0</v>
      </c>
      <c r="AH209" s="28">
        <f aca="true" t="shared" si="188" ref="AH209:AH219">IF(AQ209="0",BJ209,0)</f>
        <v>0</v>
      </c>
      <c r="AI209" s="21" t="s">
        <v>591</v>
      </c>
      <c r="AJ209" s="28">
        <f aca="true" t="shared" si="189" ref="AJ209:AJ219">IF(AN209=0,I209,0)</f>
        <v>0</v>
      </c>
      <c r="AK209" s="28">
        <f aca="true" t="shared" si="190" ref="AK209:AK219">IF(AN209=12,I209,0)</f>
        <v>0</v>
      </c>
      <c r="AL209" s="28">
        <f aca="true" t="shared" si="191" ref="AL209:AL219">IF(AN209=21,I209,0)</f>
        <v>0</v>
      </c>
      <c r="AN209" s="28">
        <v>21</v>
      </c>
      <c r="AO209" s="28">
        <f>H209*0.620309050772627</f>
        <v>0</v>
      </c>
      <c r="AP209" s="28">
        <f>H209*(1-0.620309050772627)</f>
        <v>0</v>
      </c>
      <c r="AQ209" s="30" t="s">
        <v>900</v>
      </c>
      <c r="AV209" s="28">
        <f aca="true" t="shared" si="192" ref="AV209:AV219">AW209+AX209</f>
        <v>0</v>
      </c>
      <c r="AW209" s="28">
        <f aca="true" t="shared" si="193" ref="AW209:AW219">G209*AO209</f>
        <v>0</v>
      </c>
      <c r="AX209" s="28">
        <f aca="true" t="shared" si="194" ref="AX209:AX219">G209*AP209</f>
        <v>0</v>
      </c>
      <c r="AY209" s="30" t="s">
        <v>92</v>
      </c>
      <c r="AZ209" s="30" t="s">
        <v>230</v>
      </c>
      <c r="BA209" s="21" t="s">
        <v>762</v>
      </c>
      <c r="BC209" s="28">
        <f aca="true" t="shared" si="195" ref="BC209:BC219">AW209+AX209</f>
        <v>0</v>
      </c>
      <c r="BD209" s="28">
        <f aca="true" t="shared" si="196" ref="BD209:BD219">H209/(100-BE209)*100</f>
        <v>0</v>
      </c>
      <c r="BE209" s="28">
        <v>0</v>
      </c>
      <c r="BF209" s="28">
        <f>209</f>
        <v>209</v>
      </c>
      <c r="BH209" s="28">
        <f aca="true" t="shared" si="197" ref="BH209:BH219">G209*AO209</f>
        <v>0</v>
      </c>
      <c r="BI209" s="28">
        <f aca="true" t="shared" si="198" ref="BI209:BI219">G209*AP209</f>
        <v>0</v>
      </c>
      <c r="BJ209" s="28">
        <f aca="true" t="shared" si="199" ref="BJ209:BJ219">G209*H209</f>
        <v>0</v>
      </c>
      <c r="BK209" s="28"/>
      <c r="BL209" s="28">
        <v>733</v>
      </c>
      <c r="BW209" s="28">
        <v>21</v>
      </c>
    </row>
    <row r="210" spans="1:75" ht="13.5" customHeight="1">
      <c r="A210" s="38" t="s">
        <v>657</v>
      </c>
      <c r="B210" s="39" t="s">
        <v>591</v>
      </c>
      <c r="C210" s="39" t="s">
        <v>937</v>
      </c>
      <c r="D210" s="50" t="s">
        <v>101</v>
      </c>
      <c r="E210" s="51"/>
      <c r="F210" s="39" t="s">
        <v>228</v>
      </c>
      <c r="G210" s="28">
        <v>6</v>
      </c>
      <c r="H210" s="120">
        <v>0</v>
      </c>
      <c r="I210" s="120">
        <f t="shared" si="180"/>
        <v>0</v>
      </c>
      <c r="K210" s="8"/>
      <c r="Z210" s="28">
        <f t="shared" si="181"/>
        <v>0</v>
      </c>
      <c r="AB210" s="28">
        <f t="shared" si="182"/>
        <v>0</v>
      </c>
      <c r="AC210" s="28">
        <f t="shared" si="183"/>
        <v>0</v>
      </c>
      <c r="AD210" s="28">
        <f t="shared" si="184"/>
        <v>0</v>
      </c>
      <c r="AE210" s="28">
        <f t="shared" si="185"/>
        <v>0</v>
      </c>
      <c r="AF210" s="28">
        <f t="shared" si="186"/>
        <v>0</v>
      </c>
      <c r="AG210" s="28">
        <f t="shared" si="187"/>
        <v>0</v>
      </c>
      <c r="AH210" s="28">
        <f t="shared" si="188"/>
        <v>0</v>
      </c>
      <c r="AI210" s="21" t="s">
        <v>591</v>
      </c>
      <c r="AJ210" s="28">
        <f t="shared" si="189"/>
        <v>0</v>
      </c>
      <c r="AK210" s="28">
        <f t="shared" si="190"/>
        <v>0</v>
      </c>
      <c r="AL210" s="28">
        <f t="shared" si="191"/>
        <v>0</v>
      </c>
      <c r="AN210" s="28">
        <v>21</v>
      </c>
      <c r="AO210" s="28">
        <f>H210*0.259191290824261</f>
        <v>0</v>
      </c>
      <c r="AP210" s="28">
        <f>H210*(1-0.259191290824261)</f>
        <v>0</v>
      </c>
      <c r="AQ210" s="30" t="s">
        <v>900</v>
      </c>
      <c r="AV210" s="28">
        <f t="shared" si="192"/>
        <v>0</v>
      </c>
      <c r="AW210" s="28">
        <f t="shared" si="193"/>
        <v>0</v>
      </c>
      <c r="AX210" s="28">
        <f t="shared" si="194"/>
        <v>0</v>
      </c>
      <c r="AY210" s="30" t="s">
        <v>92</v>
      </c>
      <c r="AZ210" s="30" t="s">
        <v>230</v>
      </c>
      <c r="BA210" s="21" t="s">
        <v>762</v>
      </c>
      <c r="BC210" s="28">
        <f t="shared" si="195"/>
        <v>0</v>
      </c>
      <c r="BD210" s="28">
        <f t="shared" si="196"/>
        <v>0</v>
      </c>
      <c r="BE210" s="28">
        <v>0</v>
      </c>
      <c r="BF210" s="28">
        <f>210</f>
        <v>210</v>
      </c>
      <c r="BH210" s="28">
        <f t="shared" si="197"/>
        <v>0</v>
      </c>
      <c r="BI210" s="28">
        <f t="shared" si="198"/>
        <v>0</v>
      </c>
      <c r="BJ210" s="28">
        <f t="shared" si="199"/>
        <v>0</v>
      </c>
      <c r="BK210" s="28"/>
      <c r="BL210" s="28">
        <v>733</v>
      </c>
      <c r="BW210" s="28">
        <v>21</v>
      </c>
    </row>
    <row r="211" spans="1:75" ht="13.5" customHeight="1">
      <c r="A211" s="38" t="s">
        <v>846</v>
      </c>
      <c r="B211" s="39" t="s">
        <v>591</v>
      </c>
      <c r="C211" s="39" t="s">
        <v>237</v>
      </c>
      <c r="D211" s="50" t="s">
        <v>622</v>
      </c>
      <c r="E211" s="51"/>
      <c r="F211" s="39" t="s">
        <v>228</v>
      </c>
      <c r="G211" s="28">
        <v>6</v>
      </c>
      <c r="H211" s="120">
        <v>0</v>
      </c>
      <c r="I211" s="120">
        <f t="shared" si="180"/>
        <v>0</v>
      </c>
      <c r="K211" s="8"/>
      <c r="Z211" s="28">
        <f t="shared" si="181"/>
        <v>0</v>
      </c>
      <c r="AB211" s="28">
        <f t="shared" si="182"/>
        <v>0</v>
      </c>
      <c r="AC211" s="28">
        <f t="shared" si="183"/>
        <v>0</v>
      </c>
      <c r="AD211" s="28">
        <f t="shared" si="184"/>
        <v>0</v>
      </c>
      <c r="AE211" s="28">
        <f t="shared" si="185"/>
        <v>0</v>
      </c>
      <c r="AF211" s="28">
        <f t="shared" si="186"/>
        <v>0</v>
      </c>
      <c r="AG211" s="28">
        <f t="shared" si="187"/>
        <v>0</v>
      </c>
      <c r="AH211" s="28">
        <f t="shared" si="188"/>
        <v>0</v>
      </c>
      <c r="AI211" s="21" t="s">
        <v>591</v>
      </c>
      <c r="AJ211" s="28">
        <f t="shared" si="189"/>
        <v>0</v>
      </c>
      <c r="AK211" s="28">
        <f t="shared" si="190"/>
        <v>0</v>
      </c>
      <c r="AL211" s="28">
        <f t="shared" si="191"/>
        <v>0</v>
      </c>
      <c r="AN211" s="28">
        <v>21</v>
      </c>
      <c r="AO211" s="28">
        <f>H211*0.345851428571429</f>
        <v>0</v>
      </c>
      <c r="AP211" s="28">
        <f>H211*(1-0.345851428571429)</f>
        <v>0</v>
      </c>
      <c r="AQ211" s="30" t="s">
        <v>900</v>
      </c>
      <c r="AV211" s="28">
        <f t="shared" si="192"/>
        <v>0</v>
      </c>
      <c r="AW211" s="28">
        <f t="shared" si="193"/>
        <v>0</v>
      </c>
      <c r="AX211" s="28">
        <f t="shared" si="194"/>
        <v>0</v>
      </c>
      <c r="AY211" s="30" t="s">
        <v>92</v>
      </c>
      <c r="AZ211" s="30" t="s">
        <v>230</v>
      </c>
      <c r="BA211" s="21" t="s">
        <v>762</v>
      </c>
      <c r="BC211" s="28">
        <f t="shared" si="195"/>
        <v>0</v>
      </c>
      <c r="BD211" s="28">
        <f t="shared" si="196"/>
        <v>0</v>
      </c>
      <c r="BE211" s="28">
        <v>0</v>
      </c>
      <c r="BF211" s="28">
        <f>211</f>
        <v>211</v>
      </c>
      <c r="BH211" s="28">
        <f t="shared" si="197"/>
        <v>0</v>
      </c>
      <c r="BI211" s="28">
        <f t="shared" si="198"/>
        <v>0</v>
      </c>
      <c r="BJ211" s="28">
        <f t="shared" si="199"/>
        <v>0</v>
      </c>
      <c r="BK211" s="28"/>
      <c r="BL211" s="28">
        <v>733</v>
      </c>
      <c r="BW211" s="28">
        <v>21</v>
      </c>
    </row>
    <row r="212" spans="1:75" ht="13.5" customHeight="1">
      <c r="A212" s="38" t="s">
        <v>166</v>
      </c>
      <c r="B212" s="39" t="s">
        <v>591</v>
      </c>
      <c r="C212" s="39" t="s">
        <v>329</v>
      </c>
      <c r="D212" s="50" t="s">
        <v>575</v>
      </c>
      <c r="E212" s="51"/>
      <c r="F212" s="39" t="s">
        <v>741</v>
      </c>
      <c r="G212" s="28">
        <v>16</v>
      </c>
      <c r="H212" s="120">
        <v>0</v>
      </c>
      <c r="I212" s="120">
        <f t="shared" si="180"/>
        <v>0</v>
      </c>
      <c r="K212" s="8"/>
      <c r="Z212" s="28">
        <f t="shared" si="181"/>
        <v>0</v>
      </c>
      <c r="AB212" s="28">
        <f t="shared" si="182"/>
        <v>0</v>
      </c>
      <c r="AC212" s="28">
        <f t="shared" si="183"/>
        <v>0</v>
      </c>
      <c r="AD212" s="28">
        <f t="shared" si="184"/>
        <v>0</v>
      </c>
      <c r="AE212" s="28">
        <f t="shared" si="185"/>
        <v>0</v>
      </c>
      <c r="AF212" s="28">
        <f t="shared" si="186"/>
        <v>0</v>
      </c>
      <c r="AG212" s="28">
        <f t="shared" si="187"/>
        <v>0</v>
      </c>
      <c r="AH212" s="28">
        <f t="shared" si="188"/>
        <v>0</v>
      </c>
      <c r="AI212" s="21" t="s">
        <v>591</v>
      </c>
      <c r="AJ212" s="28">
        <f t="shared" si="189"/>
        <v>0</v>
      </c>
      <c r="AK212" s="28">
        <f t="shared" si="190"/>
        <v>0</v>
      </c>
      <c r="AL212" s="28">
        <f t="shared" si="191"/>
        <v>0</v>
      </c>
      <c r="AN212" s="28">
        <v>21</v>
      </c>
      <c r="AO212" s="28">
        <f>H212*0.212764227642276</f>
        <v>0</v>
      </c>
      <c r="AP212" s="28">
        <f>H212*(1-0.212764227642276)</f>
        <v>0</v>
      </c>
      <c r="AQ212" s="30" t="s">
        <v>900</v>
      </c>
      <c r="AV212" s="28">
        <f t="shared" si="192"/>
        <v>0</v>
      </c>
      <c r="AW212" s="28">
        <f t="shared" si="193"/>
        <v>0</v>
      </c>
      <c r="AX212" s="28">
        <f t="shared" si="194"/>
        <v>0</v>
      </c>
      <c r="AY212" s="30" t="s">
        <v>92</v>
      </c>
      <c r="AZ212" s="30" t="s">
        <v>230</v>
      </c>
      <c r="BA212" s="21" t="s">
        <v>762</v>
      </c>
      <c r="BC212" s="28">
        <f t="shared" si="195"/>
        <v>0</v>
      </c>
      <c r="BD212" s="28">
        <f t="shared" si="196"/>
        <v>0</v>
      </c>
      <c r="BE212" s="28">
        <v>0</v>
      </c>
      <c r="BF212" s="28">
        <f>212</f>
        <v>212</v>
      </c>
      <c r="BH212" s="28">
        <f t="shared" si="197"/>
        <v>0</v>
      </c>
      <c r="BI212" s="28">
        <f t="shared" si="198"/>
        <v>0</v>
      </c>
      <c r="BJ212" s="28">
        <f t="shared" si="199"/>
        <v>0</v>
      </c>
      <c r="BK212" s="28"/>
      <c r="BL212" s="28">
        <v>733</v>
      </c>
      <c r="BW212" s="28">
        <v>21</v>
      </c>
    </row>
    <row r="213" spans="1:75" ht="13.5" customHeight="1">
      <c r="A213" s="38" t="s">
        <v>409</v>
      </c>
      <c r="B213" s="39" t="s">
        <v>591</v>
      </c>
      <c r="C213" s="39" t="s">
        <v>859</v>
      </c>
      <c r="D213" s="50" t="s">
        <v>137</v>
      </c>
      <c r="E213" s="51"/>
      <c r="F213" s="39" t="s">
        <v>741</v>
      </c>
      <c r="G213" s="28">
        <v>6</v>
      </c>
      <c r="H213" s="120">
        <v>0</v>
      </c>
      <c r="I213" s="120">
        <f t="shared" si="180"/>
        <v>0</v>
      </c>
      <c r="K213" s="8"/>
      <c r="Z213" s="28">
        <f t="shared" si="181"/>
        <v>0</v>
      </c>
      <c r="AB213" s="28">
        <f t="shared" si="182"/>
        <v>0</v>
      </c>
      <c r="AC213" s="28">
        <f t="shared" si="183"/>
        <v>0</v>
      </c>
      <c r="AD213" s="28">
        <f t="shared" si="184"/>
        <v>0</v>
      </c>
      <c r="AE213" s="28">
        <f t="shared" si="185"/>
        <v>0</v>
      </c>
      <c r="AF213" s="28">
        <f t="shared" si="186"/>
        <v>0</v>
      </c>
      <c r="AG213" s="28">
        <f t="shared" si="187"/>
        <v>0</v>
      </c>
      <c r="AH213" s="28">
        <f t="shared" si="188"/>
        <v>0</v>
      </c>
      <c r="AI213" s="21" t="s">
        <v>591</v>
      </c>
      <c r="AJ213" s="28">
        <f t="shared" si="189"/>
        <v>0</v>
      </c>
      <c r="AK213" s="28">
        <f t="shared" si="190"/>
        <v>0</v>
      </c>
      <c r="AL213" s="28">
        <f t="shared" si="191"/>
        <v>0</v>
      </c>
      <c r="AN213" s="28">
        <v>21</v>
      </c>
      <c r="AO213" s="28">
        <f>H213*0.58344860710855</f>
        <v>0</v>
      </c>
      <c r="AP213" s="28">
        <f>H213*(1-0.58344860710855)</f>
        <v>0</v>
      </c>
      <c r="AQ213" s="30" t="s">
        <v>900</v>
      </c>
      <c r="AV213" s="28">
        <f t="shared" si="192"/>
        <v>0</v>
      </c>
      <c r="AW213" s="28">
        <f t="shared" si="193"/>
        <v>0</v>
      </c>
      <c r="AX213" s="28">
        <f t="shared" si="194"/>
        <v>0</v>
      </c>
      <c r="AY213" s="30" t="s">
        <v>92</v>
      </c>
      <c r="AZ213" s="30" t="s">
        <v>230</v>
      </c>
      <c r="BA213" s="21" t="s">
        <v>762</v>
      </c>
      <c r="BC213" s="28">
        <f t="shared" si="195"/>
        <v>0</v>
      </c>
      <c r="BD213" s="28">
        <f t="shared" si="196"/>
        <v>0</v>
      </c>
      <c r="BE213" s="28">
        <v>0</v>
      </c>
      <c r="BF213" s="28">
        <f>213</f>
        <v>213</v>
      </c>
      <c r="BH213" s="28">
        <f t="shared" si="197"/>
        <v>0</v>
      </c>
      <c r="BI213" s="28">
        <f t="shared" si="198"/>
        <v>0</v>
      </c>
      <c r="BJ213" s="28">
        <f t="shared" si="199"/>
        <v>0</v>
      </c>
      <c r="BK213" s="28"/>
      <c r="BL213" s="28">
        <v>733</v>
      </c>
      <c r="BW213" s="28">
        <v>21</v>
      </c>
    </row>
    <row r="214" spans="1:75" ht="13.5" customHeight="1">
      <c r="A214" s="38" t="s">
        <v>475</v>
      </c>
      <c r="B214" s="39" t="s">
        <v>591</v>
      </c>
      <c r="C214" s="39" t="s">
        <v>689</v>
      </c>
      <c r="D214" s="50" t="s">
        <v>770</v>
      </c>
      <c r="E214" s="51"/>
      <c r="F214" s="39" t="s">
        <v>741</v>
      </c>
      <c r="G214" s="28">
        <v>10</v>
      </c>
      <c r="H214" s="120">
        <v>0</v>
      </c>
      <c r="I214" s="120">
        <f t="shared" si="180"/>
        <v>0</v>
      </c>
      <c r="K214" s="8"/>
      <c r="Z214" s="28">
        <f t="shared" si="181"/>
        <v>0</v>
      </c>
      <c r="AB214" s="28">
        <f t="shared" si="182"/>
        <v>0</v>
      </c>
      <c r="AC214" s="28">
        <f t="shared" si="183"/>
        <v>0</v>
      </c>
      <c r="AD214" s="28">
        <f t="shared" si="184"/>
        <v>0</v>
      </c>
      <c r="AE214" s="28">
        <f t="shared" si="185"/>
        <v>0</v>
      </c>
      <c r="AF214" s="28">
        <f t="shared" si="186"/>
        <v>0</v>
      </c>
      <c r="AG214" s="28">
        <f t="shared" si="187"/>
        <v>0</v>
      </c>
      <c r="AH214" s="28">
        <f t="shared" si="188"/>
        <v>0</v>
      </c>
      <c r="AI214" s="21" t="s">
        <v>591</v>
      </c>
      <c r="AJ214" s="28">
        <f t="shared" si="189"/>
        <v>0</v>
      </c>
      <c r="AK214" s="28">
        <f t="shared" si="190"/>
        <v>0</v>
      </c>
      <c r="AL214" s="28">
        <f t="shared" si="191"/>
        <v>0</v>
      </c>
      <c r="AN214" s="28">
        <v>21</v>
      </c>
      <c r="AO214" s="28">
        <f>H214*0.144233333333333</f>
        <v>0</v>
      </c>
      <c r="AP214" s="28">
        <f>H214*(1-0.144233333333333)</f>
        <v>0</v>
      </c>
      <c r="AQ214" s="30" t="s">
        <v>900</v>
      </c>
      <c r="AV214" s="28">
        <f t="shared" si="192"/>
        <v>0</v>
      </c>
      <c r="AW214" s="28">
        <f t="shared" si="193"/>
        <v>0</v>
      </c>
      <c r="AX214" s="28">
        <f t="shared" si="194"/>
        <v>0</v>
      </c>
      <c r="AY214" s="30" t="s">
        <v>92</v>
      </c>
      <c r="AZ214" s="30" t="s">
        <v>230</v>
      </c>
      <c r="BA214" s="21" t="s">
        <v>762</v>
      </c>
      <c r="BC214" s="28">
        <f t="shared" si="195"/>
        <v>0</v>
      </c>
      <c r="BD214" s="28">
        <f t="shared" si="196"/>
        <v>0</v>
      </c>
      <c r="BE214" s="28">
        <v>0</v>
      </c>
      <c r="BF214" s="28">
        <f>214</f>
        <v>214</v>
      </c>
      <c r="BH214" s="28">
        <f t="shared" si="197"/>
        <v>0</v>
      </c>
      <c r="BI214" s="28">
        <f t="shared" si="198"/>
        <v>0</v>
      </c>
      <c r="BJ214" s="28">
        <f t="shared" si="199"/>
        <v>0</v>
      </c>
      <c r="BK214" s="28"/>
      <c r="BL214" s="28">
        <v>733</v>
      </c>
      <c r="BW214" s="28">
        <v>21</v>
      </c>
    </row>
    <row r="215" spans="1:75" ht="13.5" customHeight="1">
      <c r="A215" s="38" t="s">
        <v>810</v>
      </c>
      <c r="B215" s="39" t="s">
        <v>591</v>
      </c>
      <c r="C215" s="39" t="s">
        <v>843</v>
      </c>
      <c r="D215" s="50" t="s">
        <v>536</v>
      </c>
      <c r="E215" s="51"/>
      <c r="F215" s="39" t="s">
        <v>741</v>
      </c>
      <c r="G215" s="28">
        <v>0.5</v>
      </c>
      <c r="H215" s="120">
        <v>0</v>
      </c>
      <c r="I215" s="120">
        <f t="shared" si="180"/>
        <v>0</v>
      </c>
      <c r="K215" s="8"/>
      <c r="Z215" s="28">
        <f t="shared" si="181"/>
        <v>0</v>
      </c>
      <c r="AB215" s="28">
        <f t="shared" si="182"/>
        <v>0</v>
      </c>
      <c r="AC215" s="28">
        <f t="shared" si="183"/>
        <v>0</v>
      </c>
      <c r="AD215" s="28">
        <f t="shared" si="184"/>
        <v>0</v>
      </c>
      <c r="AE215" s="28">
        <f t="shared" si="185"/>
        <v>0</v>
      </c>
      <c r="AF215" s="28">
        <f t="shared" si="186"/>
        <v>0</v>
      </c>
      <c r="AG215" s="28">
        <f t="shared" si="187"/>
        <v>0</v>
      </c>
      <c r="AH215" s="28">
        <f t="shared" si="188"/>
        <v>0</v>
      </c>
      <c r="AI215" s="21" t="s">
        <v>591</v>
      </c>
      <c r="AJ215" s="28">
        <f t="shared" si="189"/>
        <v>0</v>
      </c>
      <c r="AK215" s="28">
        <f t="shared" si="190"/>
        <v>0</v>
      </c>
      <c r="AL215" s="28">
        <f t="shared" si="191"/>
        <v>0</v>
      </c>
      <c r="AN215" s="28">
        <v>21</v>
      </c>
      <c r="AO215" s="28">
        <f>H215*0.0775828460038986</f>
        <v>0</v>
      </c>
      <c r="AP215" s="28">
        <f>H215*(1-0.0775828460038986)</f>
        <v>0</v>
      </c>
      <c r="AQ215" s="30" t="s">
        <v>900</v>
      </c>
      <c r="AV215" s="28">
        <f t="shared" si="192"/>
        <v>0</v>
      </c>
      <c r="AW215" s="28">
        <f t="shared" si="193"/>
        <v>0</v>
      </c>
      <c r="AX215" s="28">
        <f t="shared" si="194"/>
        <v>0</v>
      </c>
      <c r="AY215" s="30" t="s">
        <v>92</v>
      </c>
      <c r="AZ215" s="30" t="s">
        <v>230</v>
      </c>
      <c r="BA215" s="21" t="s">
        <v>762</v>
      </c>
      <c r="BC215" s="28">
        <f t="shared" si="195"/>
        <v>0</v>
      </c>
      <c r="BD215" s="28">
        <f t="shared" si="196"/>
        <v>0</v>
      </c>
      <c r="BE215" s="28">
        <v>0</v>
      </c>
      <c r="BF215" s="28">
        <f>215</f>
        <v>215</v>
      </c>
      <c r="BH215" s="28">
        <f t="shared" si="197"/>
        <v>0</v>
      </c>
      <c r="BI215" s="28">
        <f t="shared" si="198"/>
        <v>0</v>
      </c>
      <c r="BJ215" s="28">
        <f t="shared" si="199"/>
        <v>0</v>
      </c>
      <c r="BK215" s="28"/>
      <c r="BL215" s="28">
        <v>733</v>
      </c>
      <c r="BW215" s="28">
        <v>21</v>
      </c>
    </row>
    <row r="216" spans="1:75" ht="13.5" customHeight="1">
      <c r="A216" s="38" t="s">
        <v>914</v>
      </c>
      <c r="B216" s="39" t="s">
        <v>591</v>
      </c>
      <c r="C216" s="39" t="s">
        <v>260</v>
      </c>
      <c r="D216" s="50" t="s">
        <v>287</v>
      </c>
      <c r="E216" s="51"/>
      <c r="F216" s="39" t="s">
        <v>741</v>
      </c>
      <c r="G216" s="28">
        <v>16.5</v>
      </c>
      <c r="H216" s="120">
        <v>0</v>
      </c>
      <c r="I216" s="120">
        <f t="shared" si="180"/>
        <v>0</v>
      </c>
      <c r="K216" s="8"/>
      <c r="Z216" s="28">
        <f t="shared" si="181"/>
        <v>0</v>
      </c>
      <c r="AB216" s="28">
        <f t="shared" si="182"/>
        <v>0</v>
      </c>
      <c r="AC216" s="28">
        <f t="shared" si="183"/>
        <v>0</v>
      </c>
      <c r="AD216" s="28">
        <f t="shared" si="184"/>
        <v>0</v>
      </c>
      <c r="AE216" s="28">
        <f t="shared" si="185"/>
        <v>0</v>
      </c>
      <c r="AF216" s="28">
        <f t="shared" si="186"/>
        <v>0</v>
      </c>
      <c r="AG216" s="28">
        <f t="shared" si="187"/>
        <v>0</v>
      </c>
      <c r="AH216" s="28">
        <f t="shared" si="188"/>
        <v>0</v>
      </c>
      <c r="AI216" s="21" t="s">
        <v>591</v>
      </c>
      <c r="AJ216" s="28">
        <f t="shared" si="189"/>
        <v>0</v>
      </c>
      <c r="AK216" s="28">
        <f t="shared" si="190"/>
        <v>0</v>
      </c>
      <c r="AL216" s="28">
        <f t="shared" si="191"/>
        <v>0</v>
      </c>
      <c r="AN216" s="28">
        <v>21</v>
      </c>
      <c r="AO216" s="28">
        <f>H216*0</f>
        <v>0</v>
      </c>
      <c r="AP216" s="28">
        <f>H216*(1-0)</f>
        <v>0</v>
      </c>
      <c r="AQ216" s="30" t="s">
        <v>900</v>
      </c>
      <c r="AV216" s="28">
        <f t="shared" si="192"/>
        <v>0</v>
      </c>
      <c r="AW216" s="28">
        <f t="shared" si="193"/>
        <v>0</v>
      </c>
      <c r="AX216" s="28">
        <f t="shared" si="194"/>
        <v>0</v>
      </c>
      <c r="AY216" s="30" t="s">
        <v>92</v>
      </c>
      <c r="AZ216" s="30" t="s">
        <v>230</v>
      </c>
      <c r="BA216" s="21" t="s">
        <v>762</v>
      </c>
      <c r="BC216" s="28">
        <f t="shared" si="195"/>
        <v>0</v>
      </c>
      <c r="BD216" s="28">
        <f t="shared" si="196"/>
        <v>0</v>
      </c>
      <c r="BE216" s="28">
        <v>0</v>
      </c>
      <c r="BF216" s="28">
        <f>216</f>
        <v>216</v>
      </c>
      <c r="BH216" s="28">
        <f t="shared" si="197"/>
        <v>0</v>
      </c>
      <c r="BI216" s="28">
        <f t="shared" si="198"/>
        <v>0</v>
      </c>
      <c r="BJ216" s="28">
        <f t="shared" si="199"/>
        <v>0</v>
      </c>
      <c r="BK216" s="28"/>
      <c r="BL216" s="28">
        <v>733</v>
      </c>
      <c r="BW216" s="28">
        <v>21</v>
      </c>
    </row>
    <row r="217" spans="1:75" ht="13.5" customHeight="1">
      <c r="A217" s="38" t="s">
        <v>5</v>
      </c>
      <c r="B217" s="39" t="s">
        <v>591</v>
      </c>
      <c r="C217" s="39" t="s">
        <v>278</v>
      </c>
      <c r="D217" s="50" t="s">
        <v>1068</v>
      </c>
      <c r="E217" s="51"/>
      <c r="F217" s="39" t="s">
        <v>741</v>
      </c>
      <c r="G217" s="28">
        <v>6</v>
      </c>
      <c r="H217" s="120">
        <v>0</v>
      </c>
      <c r="I217" s="120">
        <f t="shared" si="180"/>
        <v>0</v>
      </c>
      <c r="K217" s="8"/>
      <c r="Z217" s="28">
        <f t="shared" si="181"/>
        <v>0</v>
      </c>
      <c r="AB217" s="28">
        <f t="shared" si="182"/>
        <v>0</v>
      </c>
      <c r="AC217" s="28">
        <f t="shared" si="183"/>
        <v>0</v>
      </c>
      <c r="AD217" s="28">
        <f t="shared" si="184"/>
        <v>0</v>
      </c>
      <c r="AE217" s="28">
        <f t="shared" si="185"/>
        <v>0</v>
      </c>
      <c r="AF217" s="28">
        <f t="shared" si="186"/>
        <v>0</v>
      </c>
      <c r="AG217" s="28">
        <f t="shared" si="187"/>
        <v>0</v>
      </c>
      <c r="AH217" s="28">
        <f t="shared" si="188"/>
        <v>0</v>
      </c>
      <c r="AI217" s="21" t="s">
        <v>591</v>
      </c>
      <c r="AJ217" s="28">
        <f t="shared" si="189"/>
        <v>0</v>
      </c>
      <c r="AK217" s="28">
        <f t="shared" si="190"/>
        <v>0</v>
      </c>
      <c r="AL217" s="28">
        <f t="shared" si="191"/>
        <v>0</v>
      </c>
      <c r="AN217" s="28">
        <v>21</v>
      </c>
      <c r="AO217" s="28">
        <f>H217*1</f>
        <v>0</v>
      </c>
      <c r="AP217" s="28">
        <f>H217*(1-1)</f>
        <v>0</v>
      </c>
      <c r="AQ217" s="30" t="s">
        <v>900</v>
      </c>
      <c r="AV217" s="28">
        <f t="shared" si="192"/>
        <v>0</v>
      </c>
      <c r="AW217" s="28">
        <f t="shared" si="193"/>
        <v>0</v>
      </c>
      <c r="AX217" s="28">
        <f t="shared" si="194"/>
        <v>0</v>
      </c>
      <c r="AY217" s="30" t="s">
        <v>92</v>
      </c>
      <c r="AZ217" s="30" t="s">
        <v>230</v>
      </c>
      <c r="BA217" s="21" t="s">
        <v>762</v>
      </c>
      <c r="BC217" s="28">
        <f t="shared" si="195"/>
        <v>0</v>
      </c>
      <c r="BD217" s="28">
        <f t="shared" si="196"/>
        <v>0</v>
      </c>
      <c r="BE217" s="28">
        <v>0</v>
      </c>
      <c r="BF217" s="28">
        <f>217</f>
        <v>217</v>
      </c>
      <c r="BH217" s="28">
        <f t="shared" si="197"/>
        <v>0</v>
      </c>
      <c r="BI217" s="28">
        <f t="shared" si="198"/>
        <v>0</v>
      </c>
      <c r="BJ217" s="28">
        <f t="shared" si="199"/>
        <v>0</v>
      </c>
      <c r="BK217" s="28"/>
      <c r="BL217" s="28">
        <v>733</v>
      </c>
      <c r="BW217" s="28">
        <v>21</v>
      </c>
    </row>
    <row r="218" spans="1:75" ht="13.5" customHeight="1">
      <c r="A218" s="38" t="s">
        <v>37</v>
      </c>
      <c r="B218" s="39" t="s">
        <v>591</v>
      </c>
      <c r="C218" s="39" t="s">
        <v>825</v>
      </c>
      <c r="D218" s="50" t="s">
        <v>1069</v>
      </c>
      <c r="E218" s="51"/>
      <c r="F218" s="39" t="s">
        <v>741</v>
      </c>
      <c r="G218" s="28">
        <v>10</v>
      </c>
      <c r="H218" s="120">
        <v>0</v>
      </c>
      <c r="I218" s="120">
        <f t="shared" si="180"/>
        <v>0</v>
      </c>
      <c r="K218" s="8"/>
      <c r="Z218" s="28">
        <f t="shared" si="181"/>
        <v>0</v>
      </c>
      <c r="AB218" s="28">
        <f t="shared" si="182"/>
        <v>0</v>
      </c>
      <c r="AC218" s="28">
        <f t="shared" si="183"/>
        <v>0</v>
      </c>
      <c r="AD218" s="28">
        <f t="shared" si="184"/>
        <v>0</v>
      </c>
      <c r="AE218" s="28">
        <f t="shared" si="185"/>
        <v>0</v>
      </c>
      <c r="AF218" s="28">
        <f t="shared" si="186"/>
        <v>0</v>
      </c>
      <c r="AG218" s="28">
        <f t="shared" si="187"/>
        <v>0</v>
      </c>
      <c r="AH218" s="28">
        <f t="shared" si="188"/>
        <v>0</v>
      </c>
      <c r="AI218" s="21" t="s">
        <v>591</v>
      </c>
      <c r="AJ218" s="28">
        <f t="shared" si="189"/>
        <v>0</v>
      </c>
      <c r="AK218" s="28">
        <f t="shared" si="190"/>
        <v>0</v>
      </c>
      <c r="AL218" s="28">
        <f t="shared" si="191"/>
        <v>0</v>
      </c>
      <c r="AN218" s="28">
        <v>21</v>
      </c>
      <c r="AO218" s="28">
        <f>H218*1</f>
        <v>0</v>
      </c>
      <c r="AP218" s="28">
        <f>H218*(1-1)</f>
        <v>0</v>
      </c>
      <c r="AQ218" s="30" t="s">
        <v>900</v>
      </c>
      <c r="AV218" s="28">
        <f t="shared" si="192"/>
        <v>0</v>
      </c>
      <c r="AW218" s="28">
        <f t="shared" si="193"/>
        <v>0</v>
      </c>
      <c r="AX218" s="28">
        <f t="shared" si="194"/>
        <v>0</v>
      </c>
      <c r="AY218" s="30" t="s">
        <v>92</v>
      </c>
      <c r="AZ218" s="30" t="s">
        <v>230</v>
      </c>
      <c r="BA218" s="21" t="s">
        <v>762</v>
      </c>
      <c r="BC218" s="28">
        <f t="shared" si="195"/>
        <v>0</v>
      </c>
      <c r="BD218" s="28">
        <f t="shared" si="196"/>
        <v>0</v>
      </c>
      <c r="BE218" s="28">
        <v>0</v>
      </c>
      <c r="BF218" s="28">
        <f>218</f>
        <v>218</v>
      </c>
      <c r="BH218" s="28">
        <f t="shared" si="197"/>
        <v>0</v>
      </c>
      <c r="BI218" s="28">
        <f t="shared" si="198"/>
        <v>0</v>
      </c>
      <c r="BJ218" s="28">
        <f t="shared" si="199"/>
        <v>0</v>
      </c>
      <c r="BK218" s="28"/>
      <c r="BL218" s="28">
        <v>733</v>
      </c>
      <c r="BW218" s="28">
        <v>21</v>
      </c>
    </row>
    <row r="219" spans="1:75" ht="13.5" customHeight="1">
      <c r="A219" s="38" t="s">
        <v>56</v>
      </c>
      <c r="B219" s="39" t="s">
        <v>591</v>
      </c>
      <c r="C219" s="39" t="s">
        <v>587</v>
      </c>
      <c r="D219" s="50" t="s">
        <v>1070</v>
      </c>
      <c r="E219" s="51"/>
      <c r="F219" s="39" t="s">
        <v>741</v>
      </c>
      <c r="G219" s="28">
        <v>0.5</v>
      </c>
      <c r="H219" s="120">
        <v>0</v>
      </c>
      <c r="I219" s="120">
        <f t="shared" si="180"/>
        <v>0</v>
      </c>
      <c r="K219" s="8"/>
      <c r="Z219" s="28">
        <f t="shared" si="181"/>
        <v>0</v>
      </c>
      <c r="AB219" s="28">
        <f t="shared" si="182"/>
        <v>0</v>
      </c>
      <c r="AC219" s="28">
        <f t="shared" si="183"/>
        <v>0</v>
      </c>
      <c r="AD219" s="28">
        <f t="shared" si="184"/>
        <v>0</v>
      </c>
      <c r="AE219" s="28">
        <f t="shared" si="185"/>
        <v>0</v>
      </c>
      <c r="AF219" s="28">
        <f t="shared" si="186"/>
        <v>0</v>
      </c>
      <c r="AG219" s="28">
        <f t="shared" si="187"/>
        <v>0</v>
      </c>
      <c r="AH219" s="28">
        <f t="shared" si="188"/>
        <v>0</v>
      </c>
      <c r="AI219" s="21" t="s">
        <v>591</v>
      </c>
      <c r="AJ219" s="28">
        <f t="shared" si="189"/>
        <v>0</v>
      </c>
      <c r="AK219" s="28">
        <f t="shared" si="190"/>
        <v>0</v>
      </c>
      <c r="AL219" s="28">
        <f t="shared" si="191"/>
        <v>0</v>
      </c>
      <c r="AN219" s="28">
        <v>21</v>
      </c>
      <c r="AO219" s="28">
        <f>H219*1</f>
        <v>0</v>
      </c>
      <c r="AP219" s="28">
        <f>H219*(1-1)</f>
        <v>0</v>
      </c>
      <c r="AQ219" s="30" t="s">
        <v>900</v>
      </c>
      <c r="AV219" s="28">
        <f t="shared" si="192"/>
        <v>0</v>
      </c>
      <c r="AW219" s="28">
        <f t="shared" si="193"/>
        <v>0</v>
      </c>
      <c r="AX219" s="28">
        <f t="shared" si="194"/>
        <v>0</v>
      </c>
      <c r="AY219" s="30" t="s">
        <v>92</v>
      </c>
      <c r="AZ219" s="30" t="s">
        <v>230</v>
      </c>
      <c r="BA219" s="21" t="s">
        <v>762</v>
      </c>
      <c r="BC219" s="28">
        <f t="shared" si="195"/>
        <v>0</v>
      </c>
      <c r="BD219" s="28">
        <f t="shared" si="196"/>
        <v>0</v>
      </c>
      <c r="BE219" s="28">
        <v>0</v>
      </c>
      <c r="BF219" s="28">
        <f>219</f>
        <v>219</v>
      </c>
      <c r="BH219" s="28">
        <f t="shared" si="197"/>
        <v>0</v>
      </c>
      <c r="BI219" s="28">
        <f t="shared" si="198"/>
        <v>0</v>
      </c>
      <c r="BJ219" s="28">
        <f t="shared" si="199"/>
        <v>0</v>
      </c>
      <c r="BK219" s="28"/>
      <c r="BL219" s="28">
        <v>733</v>
      </c>
      <c r="BW219" s="28">
        <v>21</v>
      </c>
    </row>
    <row r="220" spans="1:47" ht="15" customHeight="1">
      <c r="A220" s="3" t="s">
        <v>626</v>
      </c>
      <c r="B220" s="43" t="s">
        <v>591</v>
      </c>
      <c r="C220" s="43" t="s">
        <v>761</v>
      </c>
      <c r="D220" s="103" t="s">
        <v>589</v>
      </c>
      <c r="E220" s="104"/>
      <c r="F220" s="37" t="s">
        <v>836</v>
      </c>
      <c r="G220" s="37" t="s">
        <v>836</v>
      </c>
      <c r="H220" s="118" t="s">
        <v>836</v>
      </c>
      <c r="I220" s="119">
        <f>SUM(I221:I235)</f>
        <v>0</v>
      </c>
      <c r="K220" s="8"/>
      <c r="AI220" s="21" t="s">
        <v>591</v>
      </c>
      <c r="AS220" s="31">
        <f>SUM(AJ221:AJ235)</f>
        <v>0</v>
      </c>
      <c r="AT220" s="31">
        <f>SUM(AK221:AK235)</f>
        <v>0</v>
      </c>
      <c r="AU220" s="31">
        <f>SUM(AL221:AL235)</f>
        <v>0</v>
      </c>
    </row>
    <row r="221" spans="1:75" ht="13.5" customHeight="1">
      <c r="A221" s="38" t="s">
        <v>665</v>
      </c>
      <c r="B221" s="39" t="s">
        <v>591</v>
      </c>
      <c r="C221" s="39" t="s">
        <v>582</v>
      </c>
      <c r="D221" s="50" t="s">
        <v>309</v>
      </c>
      <c r="E221" s="51"/>
      <c r="F221" s="39" t="s">
        <v>228</v>
      </c>
      <c r="G221" s="28">
        <v>8</v>
      </c>
      <c r="H221" s="120">
        <v>0</v>
      </c>
      <c r="I221" s="120">
        <f aca="true" t="shared" si="200" ref="I221:I235">G221*H221</f>
        <v>0</v>
      </c>
      <c r="K221" s="8"/>
      <c r="Z221" s="28">
        <f aca="true" t="shared" si="201" ref="Z221:Z235">IF(AQ221="5",BJ221,0)</f>
        <v>0</v>
      </c>
      <c r="AB221" s="28">
        <f aca="true" t="shared" si="202" ref="AB221:AB235">IF(AQ221="1",BH221,0)</f>
        <v>0</v>
      </c>
      <c r="AC221" s="28">
        <f aca="true" t="shared" si="203" ref="AC221:AC235">IF(AQ221="1",BI221,0)</f>
        <v>0</v>
      </c>
      <c r="AD221" s="28">
        <f aca="true" t="shared" si="204" ref="AD221:AD235">IF(AQ221="7",BH221,0)</f>
        <v>0</v>
      </c>
      <c r="AE221" s="28">
        <f aca="true" t="shared" si="205" ref="AE221:AE235">IF(AQ221="7",BI221,0)</f>
        <v>0</v>
      </c>
      <c r="AF221" s="28">
        <f aca="true" t="shared" si="206" ref="AF221:AF235">IF(AQ221="2",BH221,0)</f>
        <v>0</v>
      </c>
      <c r="AG221" s="28">
        <f aca="true" t="shared" si="207" ref="AG221:AG235">IF(AQ221="2",BI221,0)</f>
        <v>0</v>
      </c>
      <c r="AH221" s="28">
        <f aca="true" t="shared" si="208" ref="AH221:AH235">IF(AQ221="0",BJ221,0)</f>
        <v>0</v>
      </c>
      <c r="AI221" s="21" t="s">
        <v>591</v>
      </c>
      <c r="AJ221" s="28">
        <f aca="true" t="shared" si="209" ref="AJ221:AJ235">IF(AN221=0,I221,0)</f>
        <v>0</v>
      </c>
      <c r="AK221" s="28">
        <f aca="true" t="shared" si="210" ref="AK221:AK235">IF(AN221=12,I221,0)</f>
        <v>0</v>
      </c>
      <c r="AL221" s="28">
        <f aca="true" t="shared" si="211" ref="AL221:AL235">IF(AN221=21,I221,0)</f>
        <v>0</v>
      </c>
      <c r="AN221" s="28">
        <v>21</v>
      </c>
      <c r="AO221" s="28">
        <f>H221*0.289347179920003</f>
        <v>0</v>
      </c>
      <c r="AP221" s="28">
        <f>H221*(1-0.289347179920003)</f>
        <v>0</v>
      </c>
      <c r="AQ221" s="30" t="s">
        <v>900</v>
      </c>
      <c r="AV221" s="28">
        <f aca="true" t="shared" si="212" ref="AV221:AV235">AW221+AX221</f>
        <v>0</v>
      </c>
      <c r="AW221" s="28">
        <f aca="true" t="shared" si="213" ref="AW221:AW235">G221*AO221</f>
        <v>0</v>
      </c>
      <c r="AX221" s="28">
        <f aca="true" t="shared" si="214" ref="AX221:AX235">G221*AP221</f>
        <v>0</v>
      </c>
      <c r="AY221" s="30" t="s">
        <v>178</v>
      </c>
      <c r="AZ221" s="30" t="s">
        <v>230</v>
      </c>
      <c r="BA221" s="21" t="s">
        <v>762</v>
      </c>
      <c r="BC221" s="28">
        <f aca="true" t="shared" si="215" ref="BC221:BC235">AW221+AX221</f>
        <v>0</v>
      </c>
      <c r="BD221" s="28">
        <f aca="true" t="shared" si="216" ref="BD221:BD235">H221/(100-BE221)*100</f>
        <v>0</v>
      </c>
      <c r="BE221" s="28">
        <v>0</v>
      </c>
      <c r="BF221" s="28">
        <f>221</f>
        <v>221</v>
      </c>
      <c r="BH221" s="28">
        <f aca="true" t="shared" si="217" ref="BH221:BH235">G221*AO221</f>
        <v>0</v>
      </c>
      <c r="BI221" s="28">
        <f aca="true" t="shared" si="218" ref="BI221:BI235">G221*AP221</f>
        <v>0</v>
      </c>
      <c r="BJ221" s="28">
        <f aca="true" t="shared" si="219" ref="BJ221:BJ235">G221*H221</f>
        <v>0</v>
      </c>
      <c r="BK221" s="28"/>
      <c r="BL221" s="28">
        <v>734</v>
      </c>
      <c r="BW221" s="28">
        <v>21</v>
      </c>
    </row>
    <row r="222" spans="1:75" ht="13.5" customHeight="1">
      <c r="A222" s="38" t="s">
        <v>1008</v>
      </c>
      <c r="B222" s="39" t="s">
        <v>591</v>
      </c>
      <c r="C222" s="39" t="s">
        <v>625</v>
      </c>
      <c r="D222" s="50" t="s">
        <v>634</v>
      </c>
      <c r="E222" s="51"/>
      <c r="F222" s="39" t="s">
        <v>228</v>
      </c>
      <c r="G222" s="28">
        <v>6</v>
      </c>
      <c r="H222" s="120">
        <v>0</v>
      </c>
      <c r="I222" s="120">
        <f t="shared" si="200"/>
        <v>0</v>
      </c>
      <c r="K222" s="8"/>
      <c r="Z222" s="28">
        <f t="shared" si="201"/>
        <v>0</v>
      </c>
      <c r="AB222" s="28">
        <f t="shared" si="202"/>
        <v>0</v>
      </c>
      <c r="AC222" s="28">
        <f t="shared" si="203"/>
        <v>0</v>
      </c>
      <c r="AD222" s="28">
        <f t="shared" si="204"/>
        <v>0</v>
      </c>
      <c r="AE222" s="28">
        <f t="shared" si="205"/>
        <v>0</v>
      </c>
      <c r="AF222" s="28">
        <f t="shared" si="206"/>
        <v>0</v>
      </c>
      <c r="AG222" s="28">
        <f t="shared" si="207"/>
        <v>0</v>
      </c>
      <c r="AH222" s="28">
        <f t="shared" si="208"/>
        <v>0</v>
      </c>
      <c r="AI222" s="21" t="s">
        <v>591</v>
      </c>
      <c r="AJ222" s="28">
        <f t="shared" si="209"/>
        <v>0</v>
      </c>
      <c r="AK222" s="28">
        <f t="shared" si="210"/>
        <v>0</v>
      </c>
      <c r="AL222" s="28">
        <f t="shared" si="211"/>
        <v>0</v>
      </c>
      <c r="AN222" s="28">
        <v>21</v>
      </c>
      <c r="AO222" s="28">
        <f>H222*0.0054421768707483</f>
        <v>0</v>
      </c>
      <c r="AP222" s="28">
        <f>H222*(1-0.0054421768707483)</f>
        <v>0</v>
      </c>
      <c r="AQ222" s="30" t="s">
        <v>900</v>
      </c>
      <c r="AV222" s="28">
        <f t="shared" si="212"/>
        <v>0</v>
      </c>
      <c r="AW222" s="28">
        <f t="shared" si="213"/>
        <v>0</v>
      </c>
      <c r="AX222" s="28">
        <f t="shared" si="214"/>
        <v>0</v>
      </c>
      <c r="AY222" s="30" t="s">
        <v>178</v>
      </c>
      <c r="AZ222" s="30" t="s">
        <v>230</v>
      </c>
      <c r="BA222" s="21" t="s">
        <v>762</v>
      </c>
      <c r="BC222" s="28">
        <f t="shared" si="215"/>
        <v>0</v>
      </c>
      <c r="BD222" s="28">
        <f t="shared" si="216"/>
        <v>0</v>
      </c>
      <c r="BE222" s="28">
        <v>0</v>
      </c>
      <c r="BF222" s="28">
        <f>222</f>
        <v>222</v>
      </c>
      <c r="BH222" s="28">
        <f t="shared" si="217"/>
        <v>0</v>
      </c>
      <c r="BI222" s="28">
        <f t="shared" si="218"/>
        <v>0</v>
      </c>
      <c r="BJ222" s="28">
        <f t="shared" si="219"/>
        <v>0</v>
      </c>
      <c r="BK222" s="28"/>
      <c r="BL222" s="28">
        <v>734</v>
      </c>
      <c r="BW222" s="28">
        <v>21</v>
      </c>
    </row>
    <row r="223" spans="1:75" ht="13.5" customHeight="1">
      <c r="A223" s="38" t="s">
        <v>248</v>
      </c>
      <c r="B223" s="39" t="s">
        <v>591</v>
      </c>
      <c r="C223" s="39" t="s">
        <v>292</v>
      </c>
      <c r="D223" s="50" t="s">
        <v>1071</v>
      </c>
      <c r="E223" s="51"/>
      <c r="F223" s="39" t="s">
        <v>228</v>
      </c>
      <c r="G223" s="28">
        <v>2</v>
      </c>
      <c r="H223" s="120">
        <v>0</v>
      </c>
      <c r="I223" s="120">
        <f t="shared" si="200"/>
        <v>0</v>
      </c>
      <c r="K223" s="8"/>
      <c r="Z223" s="28">
        <f t="shared" si="201"/>
        <v>0</v>
      </c>
      <c r="AB223" s="28">
        <f t="shared" si="202"/>
        <v>0</v>
      </c>
      <c r="AC223" s="28">
        <f t="shared" si="203"/>
        <v>0</v>
      </c>
      <c r="AD223" s="28">
        <f t="shared" si="204"/>
        <v>0</v>
      </c>
      <c r="AE223" s="28">
        <f t="shared" si="205"/>
        <v>0</v>
      </c>
      <c r="AF223" s="28">
        <f t="shared" si="206"/>
        <v>0</v>
      </c>
      <c r="AG223" s="28">
        <f t="shared" si="207"/>
        <v>0</v>
      </c>
      <c r="AH223" s="28">
        <f t="shared" si="208"/>
        <v>0</v>
      </c>
      <c r="AI223" s="21" t="s">
        <v>591</v>
      </c>
      <c r="AJ223" s="28">
        <f t="shared" si="209"/>
        <v>0</v>
      </c>
      <c r="AK223" s="28">
        <f t="shared" si="210"/>
        <v>0</v>
      </c>
      <c r="AL223" s="28">
        <f t="shared" si="211"/>
        <v>0</v>
      </c>
      <c r="AN223" s="28">
        <v>21</v>
      </c>
      <c r="AO223" s="28">
        <f>H223*0.925843353557639</f>
        <v>0</v>
      </c>
      <c r="AP223" s="28">
        <f>H223*(1-0.925843353557639)</f>
        <v>0</v>
      </c>
      <c r="AQ223" s="30" t="s">
        <v>900</v>
      </c>
      <c r="AV223" s="28">
        <f t="shared" si="212"/>
        <v>0</v>
      </c>
      <c r="AW223" s="28">
        <f t="shared" si="213"/>
        <v>0</v>
      </c>
      <c r="AX223" s="28">
        <f t="shared" si="214"/>
        <v>0</v>
      </c>
      <c r="AY223" s="30" t="s">
        <v>178</v>
      </c>
      <c r="AZ223" s="30" t="s">
        <v>230</v>
      </c>
      <c r="BA223" s="21" t="s">
        <v>762</v>
      </c>
      <c r="BC223" s="28">
        <f t="shared" si="215"/>
        <v>0</v>
      </c>
      <c r="BD223" s="28">
        <f t="shared" si="216"/>
        <v>0</v>
      </c>
      <c r="BE223" s="28">
        <v>0</v>
      </c>
      <c r="BF223" s="28">
        <f>223</f>
        <v>223</v>
      </c>
      <c r="BH223" s="28">
        <f t="shared" si="217"/>
        <v>0</v>
      </c>
      <c r="BI223" s="28">
        <f t="shared" si="218"/>
        <v>0</v>
      </c>
      <c r="BJ223" s="28">
        <f t="shared" si="219"/>
        <v>0</v>
      </c>
      <c r="BK223" s="28"/>
      <c r="BL223" s="28">
        <v>734</v>
      </c>
      <c r="BW223" s="28">
        <v>21</v>
      </c>
    </row>
    <row r="224" spans="1:75" ht="13.5" customHeight="1">
      <c r="A224" s="38" t="s">
        <v>64</v>
      </c>
      <c r="B224" s="39" t="s">
        <v>591</v>
      </c>
      <c r="C224" s="39" t="s">
        <v>623</v>
      </c>
      <c r="D224" s="50" t="s">
        <v>479</v>
      </c>
      <c r="E224" s="51"/>
      <c r="F224" s="39" t="s">
        <v>228</v>
      </c>
      <c r="G224" s="28">
        <v>8</v>
      </c>
      <c r="H224" s="120">
        <v>0</v>
      </c>
      <c r="I224" s="120">
        <f t="shared" si="200"/>
        <v>0</v>
      </c>
      <c r="K224" s="8"/>
      <c r="Z224" s="28">
        <f t="shared" si="201"/>
        <v>0</v>
      </c>
      <c r="AB224" s="28">
        <f t="shared" si="202"/>
        <v>0</v>
      </c>
      <c r="AC224" s="28">
        <f t="shared" si="203"/>
        <v>0</v>
      </c>
      <c r="AD224" s="28">
        <f t="shared" si="204"/>
        <v>0</v>
      </c>
      <c r="AE224" s="28">
        <f t="shared" si="205"/>
        <v>0</v>
      </c>
      <c r="AF224" s="28">
        <f t="shared" si="206"/>
        <v>0</v>
      </c>
      <c r="AG224" s="28">
        <f t="shared" si="207"/>
        <v>0</v>
      </c>
      <c r="AH224" s="28">
        <f t="shared" si="208"/>
        <v>0</v>
      </c>
      <c r="AI224" s="21" t="s">
        <v>591</v>
      </c>
      <c r="AJ224" s="28">
        <f t="shared" si="209"/>
        <v>0</v>
      </c>
      <c r="AK224" s="28">
        <f t="shared" si="210"/>
        <v>0</v>
      </c>
      <c r="AL224" s="28">
        <f t="shared" si="211"/>
        <v>0</v>
      </c>
      <c r="AN224" s="28">
        <v>21</v>
      </c>
      <c r="AO224" s="28">
        <f>H224*0.711852348993289</f>
        <v>0</v>
      </c>
      <c r="AP224" s="28">
        <f>H224*(1-0.711852348993289)</f>
        <v>0</v>
      </c>
      <c r="AQ224" s="30" t="s">
        <v>900</v>
      </c>
      <c r="AV224" s="28">
        <f t="shared" si="212"/>
        <v>0</v>
      </c>
      <c r="AW224" s="28">
        <f t="shared" si="213"/>
        <v>0</v>
      </c>
      <c r="AX224" s="28">
        <f t="shared" si="214"/>
        <v>0</v>
      </c>
      <c r="AY224" s="30" t="s">
        <v>178</v>
      </c>
      <c r="AZ224" s="30" t="s">
        <v>230</v>
      </c>
      <c r="BA224" s="21" t="s">
        <v>762</v>
      </c>
      <c r="BC224" s="28">
        <f t="shared" si="215"/>
        <v>0</v>
      </c>
      <c r="BD224" s="28">
        <f t="shared" si="216"/>
        <v>0</v>
      </c>
      <c r="BE224" s="28">
        <v>0</v>
      </c>
      <c r="BF224" s="28">
        <f>224</f>
        <v>224</v>
      </c>
      <c r="BH224" s="28">
        <f t="shared" si="217"/>
        <v>0</v>
      </c>
      <c r="BI224" s="28">
        <f t="shared" si="218"/>
        <v>0</v>
      </c>
      <c r="BJ224" s="28">
        <f t="shared" si="219"/>
        <v>0</v>
      </c>
      <c r="BK224" s="28"/>
      <c r="BL224" s="28">
        <v>734</v>
      </c>
      <c r="BW224" s="28">
        <v>21</v>
      </c>
    </row>
    <row r="225" spans="1:75" ht="13.5" customHeight="1">
      <c r="A225" s="38" t="s">
        <v>143</v>
      </c>
      <c r="B225" s="39" t="s">
        <v>591</v>
      </c>
      <c r="C225" s="39" t="s">
        <v>141</v>
      </c>
      <c r="D225" s="50" t="s">
        <v>716</v>
      </c>
      <c r="E225" s="51"/>
      <c r="F225" s="39" t="s">
        <v>228</v>
      </c>
      <c r="G225" s="28">
        <v>3</v>
      </c>
      <c r="H225" s="120">
        <v>0</v>
      </c>
      <c r="I225" s="120">
        <f t="shared" si="200"/>
        <v>0</v>
      </c>
      <c r="K225" s="8"/>
      <c r="Z225" s="28">
        <f t="shared" si="201"/>
        <v>0</v>
      </c>
      <c r="AB225" s="28">
        <f t="shared" si="202"/>
        <v>0</v>
      </c>
      <c r="AC225" s="28">
        <f t="shared" si="203"/>
        <v>0</v>
      </c>
      <c r="AD225" s="28">
        <f t="shared" si="204"/>
        <v>0</v>
      </c>
      <c r="AE225" s="28">
        <f t="shared" si="205"/>
        <v>0</v>
      </c>
      <c r="AF225" s="28">
        <f t="shared" si="206"/>
        <v>0</v>
      </c>
      <c r="AG225" s="28">
        <f t="shared" si="207"/>
        <v>0</v>
      </c>
      <c r="AH225" s="28">
        <f t="shared" si="208"/>
        <v>0</v>
      </c>
      <c r="AI225" s="21" t="s">
        <v>591</v>
      </c>
      <c r="AJ225" s="28">
        <f t="shared" si="209"/>
        <v>0</v>
      </c>
      <c r="AK225" s="28">
        <f t="shared" si="210"/>
        <v>0</v>
      </c>
      <c r="AL225" s="28">
        <f t="shared" si="211"/>
        <v>0</v>
      </c>
      <c r="AN225" s="28">
        <v>21</v>
      </c>
      <c r="AO225" s="28">
        <f>H225*0.893467248908297</f>
        <v>0</v>
      </c>
      <c r="AP225" s="28">
        <f>H225*(1-0.893467248908297)</f>
        <v>0</v>
      </c>
      <c r="AQ225" s="30" t="s">
        <v>900</v>
      </c>
      <c r="AV225" s="28">
        <f t="shared" si="212"/>
        <v>0</v>
      </c>
      <c r="AW225" s="28">
        <f t="shared" si="213"/>
        <v>0</v>
      </c>
      <c r="AX225" s="28">
        <f t="shared" si="214"/>
        <v>0</v>
      </c>
      <c r="AY225" s="30" t="s">
        <v>178</v>
      </c>
      <c r="AZ225" s="30" t="s">
        <v>230</v>
      </c>
      <c r="BA225" s="21" t="s">
        <v>762</v>
      </c>
      <c r="BC225" s="28">
        <f t="shared" si="215"/>
        <v>0</v>
      </c>
      <c r="BD225" s="28">
        <f t="shared" si="216"/>
        <v>0</v>
      </c>
      <c r="BE225" s="28">
        <v>0</v>
      </c>
      <c r="BF225" s="28">
        <f>225</f>
        <v>225</v>
      </c>
      <c r="BH225" s="28">
        <f t="shared" si="217"/>
        <v>0</v>
      </c>
      <c r="BI225" s="28">
        <f t="shared" si="218"/>
        <v>0</v>
      </c>
      <c r="BJ225" s="28">
        <f t="shared" si="219"/>
        <v>0</v>
      </c>
      <c r="BK225" s="28"/>
      <c r="BL225" s="28">
        <v>734</v>
      </c>
      <c r="BW225" s="28">
        <v>21</v>
      </c>
    </row>
    <row r="226" spans="1:75" ht="13.5" customHeight="1">
      <c r="A226" s="38" t="s">
        <v>821</v>
      </c>
      <c r="B226" s="39" t="s">
        <v>591</v>
      </c>
      <c r="C226" s="39" t="s">
        <v>720</v>
      </c>
      <c r="D226" s="50" t="s">
        <v>401</v>
      </c>
      <c r="E226" s="51"/>
      <c r="F226" s="39" t="s">
        <v>228</v>
      </c>
      <c r="G226" s="28">
        <v>1</v>
      </c>
      <c r="H226" s="120">
        <v>0</v>
      </c>
      <c r="I226" s="120">
        <f t="shared" si="200"/>
        <v>0</v>
      </c>
      <c r="K226" s="8"/>
      <c r="Z226" s="28">
        <f t="shared" si="201"/>
        <v>0</v>
      </c>
      <c r="AB226" s="28">
        <f t="shared" si="202"/>
        <v>0</v>
      </c>
      <c r="AC226" s="28">
        <f t="shared" si="203"/>
        <v>0</v>
      </c>
      <c r="AD226" s="28">
        <f t="shared" si="204"/>
        <v>0</v>
      </c>
      <c r="AE226" s="28">
        <f t="shared" si="205"/>
        <v>0</v>
      </c>
      <c r="AF226" s="28">
        <f t="shared" si="206"/>
        <v>0</v>
      </c>
      <c r="AG226" s="28">
        <f t="shared" si="207"/>
        <v>0</v>
      </c>
      <c r="AH226" s="28">
        <f t="shared" si="208"/>
        <v>0</v>
      </c>
      <c r="AI226" s="21" t="s">
        <v>591</v>
      </c>
      <c r="AJ226" s="28">
        <f t="shared" si="209"/>
        <v>0</v>
      </c>
      <c r="AK226" s="28">
        <f t="shared" si="210"/>
        <v>0</v>
      </c>
      <c r="AL226" s="28">
        <f t="shared" si="211"/>
        <v>0</v>
      </c>
      <c r="AN226" s="28">
        <v>21</v>
      </c>
      <c r="AO226" s="28">
        <f>H226*0.945546104928458</f>
        <v>0</v>
      </c>
      <c r="AP226" s="28">
        <f>H226*(1-0.945546104928458)</f>
        <v>0</v>
      </c>
      <c r="AQ226" s="30" t="s">
        <v>900</v>
      </c>
      <c r="AV226" s="28">
        <f t="shared" si="212"/>
        <v>0</v>
      </c>
      <c r="AW226" s="28">
        <f t="shared" si="213"/>
        <v>0</v>
      </c>
      <c r="AX226" s="28">
        <f t="shared" si="214"/>
        <v>0</v>
      </c>
      <c r="AY226" s="30" t="s">
        <v>178</v>
      </c>
      <c r="AZ226" s="30" t="s">
        <v>230</v>
      </c>
      <c r="BA226" s="21" t="s">
        <v>762</v>
      </c>
      <c r="BC226" s="28">
        <f t="shared" si="215"/>
        <v>0</v>
      </c>
      <c r="BD226" s="28">
        <f t="shared" si="216"/>
        <v>0</v>
      </c>
      <c r="BE226" s="28">
        <v>0</v>
      </c>
      <c r="BF226" s="28">
        <f>226</f>
        <v>226</v>
      </c>
      <c r="BH226" s="28">
        <f t="shared" si="217"/>
        <v>0</v>
      </c>
      <c r="BI226" s="28">
        <f t="shared" si="218"/>
        <v>0</v>
      </c>
      <c r="BJ226" s="28">
        <f t="shared" si="219"/>
        <v>0</v>
      </c>
      <c r="BK226" s="28"/>
      <c r="BL226" s="28">
        <v>734</v>
      </c>
      <c r="BW226" s="28">
        <v>21</v>
      </c>
    </row>
    <row r="227" spans="1:75" ht="13.5" customHeight="1">
      <c r="A227" s="38" t="s">
        <v>543</v>
      </c>
      <c r="B227" s="39" t="s">
        <v>591</v>
      </c>
      <c r="C227" s="39" t="s">
        <v>848</v>
      </c>
      <c r="D227" s="50" t="s">
        <v>440</v>
      </c>
      <c r="E227" s="51"/>
      <c r="F227" s="39" t="s">
        <v>228</v>
      </c>
      <c r="G227" s="28">
        <v>1</v>
      </c>
      <c r="H227" s="120">
        <v>0</v>
      </c>
      <c r="I227" s="120">
        <f t="shared" si="200"/>
        <v>0</v>
      </c>
      <c r="K227" s="8"/>
      <c r="Z227" s="28">
        <f t="shared" si="201"/>
        <v>0</v>
      </c>
      <c r="AB227" s="28">
        <f t="shared" si="202"/>
        <v>0</v>
      </c>
      <c r="AC227" s="28">
        <f t="shared" si="203"/>
        <v>0</v>
      </c>
      <c r="AD227" s="28">
        <f t="shared" si="204"/>
        <v>0</v>
      </c>
      <c r="AE227" s="28">
        <f t="shared" si="205"/>
        <v>0</v>
      </c>
      <c r="AF227" s="28">
        <f t="shared" si="206"/>
        <v>0</v>
      </c>
      <c r="AG227" s="28">
        <f t="shared" si="207"/>
        <v>0</v>
      </c>
      <c r="AH227" s="28">
        <f t="shared" si="208"/>
        <v>0</v>
      </c>
      <c r="AI227" s="21" t="s">
        <v>591</v>
      </c>
      <c r="AJ227" s="28">
        <f t="shared" si="209"/>
        <v>0</v>
      </c>
      <c r="AK227" s="28">
        <f t="shared" si="210"/>
        <v>0</v>
      </c>
      <c r="AL227" s="28">
        <f t="shared" si="211"/>
        <v>0</v>
      </c>
      <c r="AN227" s="28">
        <v>21</v>
      </c>
      <c r="AO227" s="28">
        <f>H227*0.913686165273909</f>
        <v>0</v>
      </c>
      <c r="AP227" s="28">
        <f>H227*(1-0.913686165273909)</f>
        <v>0</v>
      </c>
      <c r="AQ227" s="30" t="s">
        <v>900</v>
      </c>
      <c r="AV227" s="28">
        <f t="shared" si="212"/>
        <v>0</v>
      </c>
      <c r="AW227" s="28">
        <f t="shared" si="213"/>
        <v>0</v>
      </c>
      <c r="AX227" s="28">
        <f t="shared" si="214"/>
        <v>0</v>
      </c>
      <c r="AY227" s="30" t="s">
        <v>178</v>
      </c>
      <c r="AZ227" s="30" t="s">
        <v>230</v>
      </c>
      <c r="BA227" s="21" t="s">
        <v>762</v>
      </c>
      <c r="BC227" s="28">
        <f t="shared" si="215"/>
        <v>0</v>
      </c>
      <c r="BD227" s="28">
        <f t="shared" si="216"/>
        <v>0</v>
      </c>
      <c r="BE227" s="28">
        <v>0</v>
      </c>
      <c r="BF227" s="28">
        <f>227</f>
        <v>227</v>
      </c>
      <c r="BH227" s="28">
        <f t="shared" si="217"/>
        <v>0</v>
      </c>
      <c r="BI227" s="28">
        <f t="shared" si="218"/>
        <v>0</v>
      </c>
      <c r="BJ227" s="28">
        <f t="shared" si="219"/>
        <v>0</v>
      </c>
      <c r="BK227" s="28"/>
      <c r="BL227" s="28">
        <v>734</v>
      </c>
      <c r="BW227" s="28">
        <v>21</v>
      </c>
    </row>
    <row r="228" spans="1:75" ht="13.5" customHeight="1">
      <c r="A228" s="38" t="s">
        <v>247</v>
      </c>
      <c r="B228" s="39" t="s">
        <v>591</v>
      </c>
      <c r="C228" s="39" t="s">
        <v>471</v>
      </c>
      <c r="D228" s="50" t="s">
        <v>1072</v>
      </c>
      <c r="E228" s="51"/>
      <c r="F228" s="39" t="s">
        <v>228</v>
      </c>
      <c r="G228" s="28">
        <v>4</v>
      </c>
      <c r="H228" s="120">
        <v>0</v>
      </c>
      <c r="I228" s="120">
        <f t="shared" si="200"/>
        <v>0</v>
      </c>
      <c r="K228" s="8"/>
      <c r="Z228" s="28">
        <f t="shared" si="201"/>
        <v>0</v>
      </c>
      <c r="AB228" s="28">
        <f t="shared" si="202"/>
        <v>0</v>
      </c>
      <c r="AC228" s="28">
        <f t="shared" si="203"/>
        <v>0</v>
      </c>
      <c r="AD228" s="28">
        <f t="shared" si="204"/>
        <v>0</v>
      </c>
      <c r="AE228" s="28">
        <f t="shared" si="205"/>
        <v>0</v>
      </c>
      <c r="AF228" s="28">
        <f t="shared" si="206"/>
        <v>0</v>
      </c>
      <c r="AG228" s="28">
        <f t="shared" si="207"/>
        <v>0</v>
      </c>
      <c r="AH228" s="28">
        <f t="shared" si="208"/>
        <v>0</v>
      </c>
      <c r="AI228" s="21" t="s">
        <v>591</v>
      </c>
      <c r="AJ228" s="28">
        <f t="shared" si="209"/>
        <v>0</v>
      </c>
      <c r="AK228" s="28">
        <f t="shared" si="210"/>
        <v>0</v>
      </c>
      <c r="AL228" s="28">
        <f t="shared" si="211"/>
        <v>0</v>
      </c>
      <c r="AN228" s="28">
        <v>21</v>
      </c>
      <c r="AO228" s="28">
        <f>H228*0.869366700715015</f>
        <v>0</v>
      </c>
      <c r="AP228" s="28">
        <f>H228*(1-0.869366700715015)</f>
        <v>0</v>
      </c>
      <c r="AQ228" s="30" t="s">
        <v>900</v>
      </c>
      <c r="AV228" s="28">
        <f t="shared" si="212"/>
        <v>0</v>
      </c>
      <c r="AW228" s="28">
        <f t="shared" si="213"/>
        <v>0</v>
      </c>
      <c r="AX228" s="28">
        <f t="shared" si="214"/>
        <v>0</v>
      </c>
      <c r="AY228" s="30" t="s">
        <v>178</v>
      </c>
      <c r="AZ228" s="30" t="s">
        <v>230</v>
      </c>
      <c r="BA228" s="21" t="s">
        <v>762</v>
      </c>
      <c r="BC228" s="28">
        <f t="shared" si="215"/>
        <v>0</v>
      </c>
      <c r="BD228" s="28">
        <f t="shared" si="216"/>
        <v>0</v>
      </c>
      <c r="BE228" s="28">
        <v>0</v>
      </c>
      <c r="BF228" s="28">
        <f>228</f>
        <v>228</v>
      </c>
      <c r="BH228" s="28">
        <f t="shared" si="217"/>
        <v>0</v>
      </c>
      <c r="BI228" s="28">
        <f t="shared" si="218"/>
        <v>0</v>
      </c>
      <c r="BJ228" s="28">
        <f t="shared" si="219"/>
        <v>0</v>
      </c>
      <c r="BK228" s="28"/>
      <c r="BL228" s="28">
        <v>734</v>
      </c>
      <c r="BW228" s="28">
        <v>21</v>
      </c>
    </row>
    <row r="229" spans="1:75" ht="13.5" customHeight="1">
      <c r="A229" s="38" t="s">
        <v>730</v>
      </c>
      <c r="B229" s="39" t="s">
        <v>591</v>
      </c>
      <c r="C229" s="39" t="s">
        <v>923</v>
      </c>
      <c r="D229" s="50" t="s">
        <v>1073</v>
      </c>
      <c r="E229" s="51"/>
      <c r="F229" s="39" t="s">
        <v>228</v>
      </c>
      <c r="G229" s="28">
        <v>1</v>
      </c>
      <c r="H229" s="120">
        <v>0</v>
      </c>
      <c r="I229" s="120">
        <f t="shared" si="200"/>
        <v>0</v>
      </c>
      <c r="K229" s="8"/>
      <c r="Z229" s="28">
        <f t="shared" si="201"/>
        <v>0</v>
      </c>
      <c r="AB229" s="28">
        <f t="shared" si="202"/>
        <v>0</v>
      </c>
      <c r="AC229" s="28">
        <f t="shared" si="203"/>
        <v>0</v>
      </c>
      <c r="AD229" s="28">
        <f t="shared" si="204"/>
        <v>0</v>
      </c>
      <c r="AE229" s="28">
        <f t="shared" si="205"/>
        <v>0</v>
      </c>
      <c r="AF229" s="28">
        <f t="shared" si="206"/>
        <v>0</v>
      </c>
      <c r="AG229" s="28">
        <f t="shared" si="207"/>
        <v>0</v>
      </c>
      <c r="AH229" s="28">
        <f t="shared" si="208"/>
        <v>0</v>
      </c>
      <c r="AI229" s="21" t="s">
        <v>591</v>
      </c>
      <c r="AJ229" s="28">
        <f t="shared" si="209"/>
        <v>0</v>
      </c>
      <c r="AK229" s="28">
        <f t="shared" si="210"/>
        <v>0</v>
      </c>
      <c r="AL229" s="28">
        <f t="shared" si="211"/>
        <v>0</v>
      </c>
      <c r="AN229" s="28">
        <v>21</v>
      </c>
      <c r="AO229" s="28">
        <f>H229*0.929993168165776</f>
        <v>0</v>
      </c>
      <c r="AP229" s="28">
        <f>H229*(1-0.929993168165776)</f>
        <v>0</v>
      </c>
      <c r="AQ229" s="30" t="s">
        <v>900</v>
      </c>
      <c r="AV229" s="28">
        <f t="shared" si="212"/>
        <v>0</v>
      </c>
      <c r="AW229" s="28">
        <f t="shared" si="213"/>
        <v>0</v>
      </c>
      <c r="AX229" s="28">
        <f t="shared" si="214"/>
        <v>0</v>
      </c>
      <c r="AY229" s="30" t="s">
        <v>178</v>
      </c>
      <c r="AZ229" s="30" t="s">
        <v>230</v>
      </c>
      <c r="BA229" s="21" t="s">
        <v>762</v>
      </c>
      <c r="BC229" s="28">
        <f t="shared" si="215"/>
        <v>0</v>
      </c>
      <c r="BD229" s="28">
        <f t="shared" si="216"/>
        <v>0</v>
      </c>
      <c r="BE229" s="28">
        <v>0</v>
      </c>
      <c r="BF229" s="28">
        <f>229</f>
        <v>229</v>
      </c>
      <c r="BH229" s="28">
        <f t="shared" si="217"/>
        <v>0</v>
      </c>
      <c r="BI229" s="28">
        <f t="shared" si="218"/>
        <v>0</v>
      </c>
      <c r="BJ229" s="28">
        <f t="shared" si="219"/>
        <v>0</v>
      </c>
      <c r="BK229" s="28"/>
      <c r="BL229" s="28">
        <v>734</v>
      </c>
      <c r="BW229" s="28">
        <v>21</v>
      </c>
    </row>
    <row r="230" spans="1:75" ht="13.5" customHeight="1">
      <c r="A230" s="38" t="s">
        <v>939</v>
      </c>
      <c r="B230" s="39" t="s">
        <v>591</v>
      </c>
      <c r="C230" s="39" t="s">
        <v>502</v>
      </c>
      <c r="D230" s="50" t="s">
        <v>1074</v>
      </c>
      <c r="E230" s="51"/>
      <c r="F230" s="39" t="s">
        <v>228</v>
      </c>
      <c r="G230" s="28">
        <v>1</v>
      </c>
      <c r="H230" s="120">
        <v>0</v>
      </c>
      <c r="I230" s="120">
        <f t="shared" si="200"/>
        <v>0</v>
      </c>
      <c r="K230" s="8"/>
      <c r="Z230" s="28">
        <f t="shared" si="201"/>
        <v>0</v>
      </c>
      <c r="AB230" s="28">
        <f t="shared" si="202"/>
        <v>0</v>
      </c>
      <c r="AC230" s="28">
        <f t="shared" si="203"/>
        <v>0</v>
      </c>
      <c r="AD230" s="28">
        <f t="shared" si="204"/>
        <v>0</v>
      </c>
      <c r="AE230" s="28">
        <f t="shared" si="205"/>
        <v>0</v>
      </c>
      <c r="AF230" s="28">
        <f t="shared" si="206"/>
        <v>0</v>
      </c>
      <c r="AG230" s="28">
        <f t="shared" si="207"/>
        <v>0</v>
      </c>
      <c r="AH230" s="28">
        <f t="shared" si="208"/>
        <v>0</v>
      </c>
      <c r="AI230" s="21" t="s">
        <v>591</v>
      </c>
      <c r="AJ230" s="28">
        <f t="shared" si="209"/>
        <v>0</v>
      </c>
      <c r="AK230" s="28">
        <f t="shared" si="210"/>
        <v>0</v>
      </c>
      <c r="AL230" s="28">
        <f t="shared" si="211"/>
        <v>0</v>
      </c>
      <c r="AN230" s="28">
        <v>21</v>
      </c>
      <c r="AO230" s="28">
        <f>H230*0.76990099009901</f>
        <v>0</v>
      </c>
      <c r="AP230" s="28">
        <f>H230*(1-0.76990099009901)</f>
        <v>0</v>
      </c>
      <c r="AQ230" s="30" t="s">
        <v>900</v>
      </c>
      <c r="AV230" s="28">
        <f t="shared" si="212"/>
        <v>0</v>
      </c>
      <c r="AW230" s="28">
        <f t="shared" si="213"/>
        <v>0</v>
      </c>
      <c r="AX230" s="28">
        <f t="shared" si="214"/>
        <v>0</v>
      </c>
      <c r="AY230" s="30" t="s">
        <v>178</v>
      </c>
      <c r="AZ230" s="30" t="s">
        <v>230</v>
      </c>
      <c r="BA230" s="21" t="s">
        <v>762</v>
      </c>
      <c r="BC230" s="28">
        <f t="shared" si="215"/>
        <v>0</v>
      </c>
      <c r="BD230" s="28">
        <f t="shared" si="216"/>
        <v>0</v>
      </c>
      <c r="BE230" s="28">
        <v>0</v>
      </c>
      <c r="BF230" s="28">
        <f>230</f>
        <v>230</v>
      </c>
      <c r="BH230" s="28">
        <f t="shared" si="217"/>
        <v>0</v>
      </c>
      <c r="BI230" s="28">
        <f t="shared" si="218"/>
        <v>0</v>
      </c>
      <c r="BJ230" s="28">
        <f t="shared" si="219"/>
        <v>0</v>
      </c>
      <c r="BK230" s="28"/>
      <c r="BL230" s="28">
        <v>734</v>
      </c>
      <c r="BW230" s="28">
        <v>21</v>
      </c>
    </row>
    <row r="231" spans="1:75" ht="13.5" customHeight="1">
      <c r="A231" s="38" t="s">
        <v>224</v>
      </c>
      <c r="B231" s="39" t="s">
        <v>591</v>
      </c>
      <c r="C231" s="39" t="s">
        <v>203</v>
      </c>
      <c r="D231" s="50" t="s">
        <v>1075</v>
      </c>
      <c r="E231" s="51"/>
      <c r="F231" s="39" t="s">
        <v>228</v>
      </c>
      <c r="G231" s="28">
        <v>1</v>
      </c>
      <c r="H231" s="120">
        <v>0</v>
      </c>
      <c r="I231" s="120">
        <f t="shared" si="200"/>
        <v>0</v>
      </c>
      <c r="K231" s="8"/>
      <c r="Z231" s="28">
        <f t="shared" si="201"/>
        <v>0</v>
      </c>
      <c r="AB231" s="28">
        <f t="shared" si="202"/>
        <v>0</v>
      </c>
      <c r="AC231" s="28">
        <f t="shared" si="203"/>
        <v>0</v>
      </c>
      <c r="AD231" s="28">
        <f t="shared" si="204"/>
        <v>0</v>
      </c>
      <c r="AE231" s="28">
        <f t="shared" si="205"/>
        <v>0</v>
      </c>
      <c r="AF231" s="28">
        <f t="shared" si="206"/>
        <v>0</v>
      </c>
      <c r="AG231" s="28">
        <f t="shared" si="207"/>
        <v>0</v>
      </c>
      <c r="AH231" s="28">
        <f t="shared" si="208"/>
        <v>0</v>
      </c>
      <c r="AI231" s="21" t="s">
        <v>591</v>
      </c>
      <c r="AJ231" s="28">
        <f t="shared" si="209"/>
        <v>0</v>
      </c>
      <c r="AK231" s="28">
        <f t="shared" si="210"/>
        <v>0</v>
      </c>
      <c r="AL231" s="28">
        <f t="shared" si="211"/>
        <v>0</v>
      </c>
      <c r="AN231" s="28">
        <v>21</v>
      </c>
      <c r="AO231" s="28">
        <f>H231*0.872981818181818</f>
        <v>0</v>
      </c>
      <c r="AP231" s="28">
        <f>H231*(1-0.872981818181818)</f>
        <v>0</v>
      </c>
      <c r="AQ231" s="30" t="s">
        <v>900</v>
      </c>
      <c r="AV231" s="28">
        <f t="shared" si="212"/>
        <v>0</v>
      </c>
      <c r="AW231" s="28">
        <f t="shared" si="213"/>
        <v>0</v>
      </c>
      <c r="AX231" s="28">
        <f t="shared" si="214"/>
        <v>0</v>
      </c>
      <c r="AY231" s="30" t="s">
        <v>178</v>
      </c>
      <c r="AZ231" s="30" t="s">
        <v>230</v>
      </c>
      <c r="BA231" s="21" t="s">
        <v>762</v>
      </c>
      <c r="BC231" s="28">
        <f t="shared" si="215"/>
        <v>0</v>
      </c>
      <c r="BD231" s="28">
        <f t="shared" si="216"/>
        <v>0</v>
      </c>
      <c r="BE231" s="28">
        <v>0</v>
      </c>
      <c r="BF231" s="28">
        <f>231</f>
        <v>231</v>
      </c>
      <c r="BH231" s="28">
        <f t="shared" si="217"/>
        <v>0</v>
      </c>
      <c r="BI231" s="28">
        <f t="shared" si="218"/>
        <v>0</v>
      </c>
      <c r="BJ231" s="28">
        <f t="shared" si="219"/>
        <v>0</v>
      </c>
      <c r="BK231" s="28"/>
      <c r="BL231" s="28">
        <v>734</v>
      </c>
      <c r="BW231" s="28">
        <v>21</v>
      </c>
    </row>
    <row r="232" spans="1:75" ht="13.5" customHeight="1">
      <c r="A232" s="38" t="s">
        <v>964</v>
      </c>
      <c r="B232" s="39" t="s">
        <v>591</v>
      </c>
      <c r="C232" s="39" t="s">
        <v>365</v>
      </c>
      <c r="D232" s="50" t="s">
        <v>243</v>
      </c>
      <c r="E232" s="51"/>
      <c r="F232" s="39" t="s">
        <v>311</v>
      </c>
      <c r="G232" s="28">
        <v>1</v>
      </c>
      <c r="H232" s="120">
        <v>0</v>
      </c>
      <c r="I232" s="120">
        <f t="shared" si="200"/>
        <v>0</v>
      </c>
      <c r="K232" s="8"/>
      <c r="Z232" s="28">
        <f t="shared" si="201"/>
        <v>0</v>
      </c>
      <c r="AB232" s="28">
        <f t="shared" si="202"/>
        <v>0</v>
      </c>
      <c r="AC232" s="28">
        <f t="shared" si="203"/>
        <v>0</v>
      </c>
      <c r="AD232" s="28">
        <f t="shared" si="204"/>
        <v>0</v>
      </c>
      <c r="AE232" s="28">
        <f t="shared" si="205"/>
        <v>0</v>
      </c>
      <c r="AF232" s="28">
        <f t="shared" si="206"/>
        <v>0</v>
      </c>
      <c r="AG232" s="28">
        <f t="shared" si="207"/>
        <v>0</v>
      </c>
      <c r="AH232" s="28">
        <f t="shared" si="208"/>
        <v>0</v>
      </c>
      <c r="AI232" s="21" t="s">
        <v>591</v>
      </c>
      <c r="AJ232" s="28">
        <f t="shared" si="209"/>
        <v>0</v>
      </c>
      <c r="AK232" s="28">
        <f t="shared" si="210"/>
        <v>0</v>
      </c>
      <c r="AL232" s="28">
        <f t="shared" si="211"/>
        <v>0</v>
      </c>
      <c r="AN232" s="28">
        <v>21</v>
      </c>
      <c r="AO232" s="28">
        <f>H232*0.924761904761905</f>
        <v>0</v>
      </c>
      <c r="AP232" s="28">
        <f>H232*(1-0.924761904761905)</f>
        <v>0</v>
      </c>
      <c r="AQ232" s="30" t="s">
        <v>900</v>
      </c>
      <c r="AV232" s="28">
        <f t="shared" si="212"/>
        <v>0</v>
      </c>
      <c r="AW232" s="28">
        <f t="shared" si="213"/>
        <v>0</v>
      </c>
      <c r="AX232" s="28">
        <f t="shared" si="214"/>
        <v>0</v>
      </c>
      <c r="AY232" s="30" t="s">
        <v>178</v>
      </c>
      <c r="AZ232" s="30" t="s">
        <v>230</v>
      </c>
      <c r="BA232" s="21" t="s">
        <v>762</v>
      </c>
      <c r="BC232" s="28">
        <f t="shared" si="215"/>
        <v>0</v>
      </c>
      <c r="BD232" s="28">
        <f t="shared" si="216"/>
        <v>0</v>
      </c>
      <c r="BE232" s="28">
        <v>0</v>
      </c>
      <c r="BF232" s="28">
        <f>232</f>
        <v>232</v>
      </c>
      <c r="BH232" s="28">
        <f t="shared" si="217"/>
        <v>0</v>
      </c>
      <c r="BI232" s="28">
        <f t="shared" si="218"/>
        <v>0</v>
      </c>
      <c r="BJ232" s="28">
        <f t="shared" si="219"/>
        <v>0</v>
      </c>
      <c r="BK232" s="28"/>
      <c r="BL232" s="28">
        <v>734</v>
      </c>
      <c r="BW232" s="28">
        <v>21</v>
      </c>
    </row>
    <row r="233" spans="1:75" ht="13.5" customHeight="1">
      <c r="A233" s="38" t="s">
        <v>281</v>
      </c>
      <c r="B233" s="39" t="s">
        <v>591</v>
      </c>
      <c r="C233" s="39" t="s">
        <v>501</v>
      </c>
      <c r="D233" s="50" t="s">
        <v>362</v>
      </c>
      <c r="E233" s="51"/>
      <c r="F233" s="39" t="s">
        <v>228</v>
      </c>
      <c r="G233" s="28">
        <v>1</v>
      </c>
      <c r="H233" s="120">
        <v>0</v>
      </c>
      <c r="I233" s="120">
        <f t="shared" si="200"/>
        <v>0</v>
      </c>
      <c r="K233" s="8"/>
      <c r="Z233" s="28">
        <f t="shared" si="201"/>
        <v>0</v>
      </c>
      <c r="AB233" s="28">
        <f t="shared" si="202"/>
        <v>0</v>
      </c>
      <c r="AC233" s="28">
        <f t="shared" si="203"/>
        <v>0</v>
      </c>
      <c r="AD233" s="28">
        <f t="shared" si="204"/>
        <v>0</v>
      </c>
      <c r="AE233" s="28">
        <f t="shared" si="205"/>
        <v>0</v>
      </c>
      <c r="AF233" s="28">
        <f t="shared" si="206"/>
        <v>0</v>
      </c>
      <c r="AG233" s="28">
        <f t="shared" si="207"/>
        <v>0</v>
      </c>
      <c r="AH233" s="28">
        <f t="shared" si="208"/>
        <v>0</v>
      </c>
      <c r="AI233" s="21" t="s">
        <v>591</v>
      </c>
      <c r="AJ233" s="28">
        <f t="shared" si="209"/>
        <v>0</v>
      </c>
      <c r="AK233" s="28">
        <f t="shared" si="210"/>
        <v>0</v>
      </c>
      <c r="AL233" s="28">
        <f t="shared" si="211"/>
        <v>0</v>
      </c>
      <c r="AN233" s="28">
        <v>21</v>
      </c>
      <c r="AO233" s="28">
        <f>H233*0.698084842146545</f>
        <v>0</v>
      </c>
      <c r="AP233" s="28">
        <f>H233*(1-0.698084842146545)</f>
        <v>0</v>
      </c>
      <c r="AQ233" s="30" t="s">
        <v>900</v>
      </c>
      <c r="AV233" s="28">
        <f t="shared" si="212"/>
        <v>0</v>
      </c>
      <c r="AW233" s="28">
        <f t="shared" si="213"/>
        <v>0</v>
      </c>
      <c r="AX233" s="28">
        <f t="shared" si="214"/>
        <v>0</v>
      </c>
      <c r="AY233" s="30" t="s">
        <v>178</v>
      </c>
      <c r="AZ233" s="30" t="s">
        <v>230</v>
      </c>
      <c r="BA233" s="21" t="s">
        <v>762</v>
      </c>
      <c r="BC233" s="28">
        <f t="shared" si="215"/>
        <v>0</v>
      </c>
      <c r="BD233" s="28">
        <f t="shared" si="216"/>
        <v>0</v>
      </c>
      <c r="BE233" s="28">
        <v>0</v>
      </c>
      <c r="BF233" s="28">
        <f>233</f>
        <v>233</v>
      </c>
      <c r="BH233" s="28">
        <f t="shared" si="217"/>
        <v>0</v>
      </c>
      <c r="BI233" s="28">
        <f t="shared" si="218"/>
        <v>0</v>
      </c>
      <c r="BJ233" s="28">
        <f t="shared" si="219"/>
        <v>0</v>
      </c>
      <c r="BK233" s="28"/>
      <c r="BL233" s="28">
        <v>734</v>
      </c>
      <c r="BW233" s="28">
        <v>21</v>
      </c>
    </row>
    <row r="234" spans="1:75" ht="13.5" customHeight="1">
      <c r="A234" s="38" t="s">
        <v>725</v>
      </c>
      <c r="B234" s="39" t="s">
        <v>591</v>
      </c>
      <c r="C234" s="39" t="s">
        <v>321</v>
      </c>
      <c r="D234" s="50" t="s">
        <v>1076</v>
      </c>
      <c r="E234" s="51"/>
      <c r="F234" s="39" t="s">
        <v>228</v>
      </c>
      <c r="G234" s="28">
        <v>1</v>
      </c>
      <c r="H234" s="120">
        <v>0</v>
      </c>
      <c r="I234" s="120">
        <f t="shared" si="200"/>
        <v>0</v>
      </c>
      <c r="K234" s="8"/>
      <c r="Z234" s="28">
        <f t="shared" si="201"/>
        <v>0</v>
      </c>
      <c r="AB234" s="28">
        <f t="shared" si="202"/>
        <v>0</v>
      </c>
      <c r="AC234" s="28">
        <f t="shared" si="203"/>
        <v>0</v>
      </c>
      <c r="AD234" s="28">
        <f t="shared" si="204"/>
        <v>0</v>
      </c>
      <c r="AE234" s="28">
        <f t="shared" si="205"/>
        <v>0</v>
      </c>
      <c r="AF234" s="28">
        <f t="shared" si="206"/>
        <v>0</v>
      </c>
      <c r="AG234" s="28">
        <f t="shared" si="207"/>
        <v>0</v>
      </c>
      <c r="AH234" s="28">
        <f t="shared" si="208"/>
        <v>0</v>
      </c>
      <c r="AI234" s="21" t="s">
        <v>591</v>
      </c>
      <c r="AJ234" s="28">
        <f t="shared" si="209"/>
        <v>0</v>
      </c>
      <c r="AK234" s="28">
        <f t="shared" si="210"/>
        <v>0</v>
      </c>
      <c r="AL234" s="28">
        <f t="shared" si="211"/>
        <v>0</v>
      </c>
      <c r="AN234" s="28">
        <v>21</v>
      </c>
      <c r="AO234" s="28">
        <f>H234*0.796243845047714</f>
        <v>0</v>
      </c>
      <c r="AP234" s="28">
        <f>H234*(1-0.796243845047714)</f>
        <v>0</v>
      </c>
      <c r="AQ234" s="30" t="s">
        <v>900</v>
      </c>
      <c r="AV234" s="28">
        <f t="shared" si="212"/>
        <v>0</v>
      </c>
      <c r="AW234" s="28">
        <f t="shared" si="213"/>
        <v>0</v>
      </c>
      <c r="AX234" s="28">
        <f t="shared" si="214"/>
        <v>0</v>
      </c>
      <c r="AY234" s="30" t="s">
        <v>178</v>
      </c>
      <c r="AZ234" s="30" t="s">
        <v>230</v>
      </c>
      <c r="BA234" s="21" t="s">
        <v>762</v>
      </c>
      <c r="BC234" s="28">
        <f t="shared" si="215"/>
        <v>0</v>
      </c>
      <c r="BD234" s="28">
        <f t="shared" si="216"/>
        <v>0</v>
      </c>
      <c r="BE234" s="28">
        <v>0</v>
      </c>
      <c r="BF234" s="28">
        <f>234</f>
        <v>234</v>
      </c>
      <c r="BH234" s="28">
        <f t="shared" si="217"/>
        <v>0</v>
      </c>
      <c r="BI234" s="28">
        <f t="shared" si="218"/>
        <v>0</v>
      </c>
      <c r="BJ234" s="28">
        <f t="shared" si="219"/>
        <v>0</v>
      </c>
      <c r="BK234" s="28"/>
      <c r="BL234" s="28">
        <v>734</v>
      </c>
      <c r="BW234" s="28">
        <v>21</v>
      </c>
    </row>
    <row r="235" spans="1:75" ht="13.5" customHeight="1">
      <c r="A235" s="38" t="s">
        <v>452</v>
      </c>
      <c r="B235" s="39" t="s">
        <v>591</v>
      </c>
      <c r="C235" s="39" t="s">
        <v>944</v>
      </c>
      <c r="D235" s="50" t="s">
        <v>1077</v>
      </c>
      <c r="E235" s="51"/>
      <c r="F235" s="39" t="s">
        <v>228</v>
      </c>
      <c r="G235" s="28">
        <v>3</v>
      </c>
      <c r="H235" s="120">
        <v>0</v>
      </c>
      <c r="I235" s="120">
        <f t="shared" si="200"/>
        <v>0</v>
      </c>
      <c r="K235" s="8"/>
      <c r="Z235" s="28">
        <f t="shared" si="201"/>
        <v>0</v>
      </c>
      <c r="AB235" s="28">
        <f t="shared" si="202"/>
        <v>0</v>
      </c>
      <c r="AC235" s="28">
        <f t="shared" si="203"/>
        <v>0</v>
      </c>
      <c r="AD235" s="28">
        <f t="shared" si="204"/>
        <v>0</v>
      </c>
      <c r="AE235" s="28">
        <f t="shared" si="205"/>
        <v>0</v>
      </c>
      <c r="AF235" s="28">
        <f t="shared" si="206"/>
        <v>0</v>
      </c>
      <c r="AG235" s="28">
        <f t="shared" si="207"/>
        <v>0</v>
      </c>
      <c r="AH235" s="28">
        <f t="shared" si="208"/>
        <v>0</v>
      </c>
      <c r="AI235" s="21" t="s">
        <v>591</v>
      </c>
      <c r="AJ235" s="28">
        <f t="shared" si="209"/>
        <v>0</v>
      </c>
      <c r="AK235" s="28">
        <f t="shared" si="210"/>
        <v>0</v>
      </c>
      <c r="AL235" s="28">
        <f t="shared" si="211"/>
        <v>0</v>
      </c>
      <c r="AN235" s="28">
        <v>21</v>
      </c>
      <c r="AO235" s="28">
        <f>H235*0.893386019482375</f>
        <v>0</v>
      </c>
      <c r="AP235" s="28">
        <f>H235*(1-0.893386019482375)</f>
        <v>0</v>
      </c>
      <c r="AQ235" s="30" t="s">
        <v>900</v>
      </c>
      <c r="AV235" s="28">
        <f t="shared" si="212"/>
        <v>0</v>
      </c>
      <c r="AW235" s="28">
        <f t="shared" si="213"/>
        <v>0</v>
      </c>
      <c r="AX235" s="28">
        <f t="shared" si="214"/>
        <v>0</v>
      </c>
      <c r="AY235" s="30" t="s">
        <v>178</v>
      </c>
      <c r="AZ235" s="30" t="s">
        <v>230</v>
      </c>
      <c r="BA235" s="21" t="s">
        <v>762</v>
      </c>
      <c r="BC235" s="28">
        <f t="shared" si="215"/>
        <v>0</v>
      </c>
      <c r="BD235" s="28">
        <f t="shared" si="216"/>
        <v>0</v>
      </c>
      <c r="BE235" s="28">
        <v>0</v>
      </c>
      <c r="BF235" s="28">
        <f>235</f>
        <v>235</v>
      </c>
      <c r="BH235" s="28">
        <f t="shared" si="217"/>
        <v>0</v>
      </c>
      <c r="BI235" s="28">
        <f t="shared" si="218"/>
        <v>0</v>
      </c>
      <c r="BJ235" s="28">
        <f t="shared" si="219"/>
        <v>0</v>
      </c>
      <c r="BK235" s="28"/>
      <c r="BL235" s="28">
        <v>734</v>
      </c>
      <c r="BW235" s="28">
        <v>21</v>
      </c>
    </row>
    <row r="236" spans="1:47" ht="15" customHeight="1">
      <c r="A236" s="3" t="s">
        <v>626</v>
      </c>
      <c r="B236" s="43" t="s">
        <v>591</v>
      </c>
      <c r="C236" s="43" t="s">
        <v>390</v>
      </c>
      <c r="D236" s="103" t="s">
        <v>274</v>
      </c>
      <c r="E236" s="104"/>
      <c r="F236" s="37" t="s">
        <v>836</v>
      </c>
      <c r="G236" s="37" t="s">
        <v>836</v>
      </c>
      <c r="H236" s="118" t="s">
        <v>836</v>
      </c>
      <c r="I236" s="119">
        <f>SUM(I237:I238)</f>
        <v>0</v>
      </c>
      <c r="K236" s="8"/>
      <c r="AI236" s="21" t="s">
        <v>591</v>
      </c>
      <c r="AS236" s="31">
        <f>SUM(AJ237:AJ238)</f>
        <v>0</v>
      </c>
      <c r="AT236" s="31">
        <f>SUM(AK237:AK238)</f>
        <v>0</v>
      </c>
      <c r="AU236" s="31">
        <f>SUM(AL237:AL238)</f>
        <v>0</v>
      </c>
    </row>
    <row r="237" spans="1:75" ht="13.5" customHeight="1">
      <c r="A237" s="38" t="s">
        <v>25</v>
      </c>
      <c r="B237" s="39" t="s">
        <v>591</v>
      </c>
      <c r="C237" s="39" t="s">
        <v>774</v>
      </c>
      <c r="D237" s="50" t="s">
        <v>1027</v>
      </c>
      <c r="E237" s="51"/>
      <c r="F237" s="39" t="s">
        <v>853</v>
      </c>
      <c r="G237" s="28">
        <v>50</v>
      </c>
      <c r="H237" s="120">
        <v>0</v>
      </c>
      <c r="I237" s="120">
        <f>G237*H237</f>
        <v>0</v>
      </c>
      <c r="K237" s="8"/>
      <c r="Z237" s="28">
        <f>IF(AQ237="5",BJ237,0)</f>
        <v>0</v>
      </c>
      <c r="AB237" s="28">
        <f>IF(AQ237="1",BH237,0)</f>
        <v>0</v>
      </c>
      <c r="AC237" s="28">
        <f>IF(AQ237="1",BI237,0)</f>
        <v>0</v>
      </c>
      <c r="AD237" s="28">
        <f>IF(AQ237="7",BH237,0)</f>
        <v>0</v>
      </c>
      <c r="AE237" s="28">
        <f>IF(AQ237="7",BI237,0)</f>
        <v>0</v>
      </c>
      <c r="AF237" s="28">
        <f>IF(AQ237="2",BH237,0)</f>
        <v>0</v>
      </c>
      <c r="AG237" s="28">
        <f>IF(AQ237="2",BI237,0)</f>
        <v>0</v>
      </c>
      <c r="AH237" s="28">
        <f>IF(AQ237="0",BJ237,0)</f>
        <v>0</v>
      </c>
      <c r="AI237" s="21" t="s">
        <v>591</v>
      </c>
      <c r="AJ237" s="28">
        <f>IF(AN237=0,I237,0)</f>
        <v>0</v>
      </c>
      <c r="AK237" s="28">
        <f>IF(AN237=12,I237,0)</f>
        <v>0</v>
      </c>
      <c r="AL237" s="28">
        <f>IF(AN237=21,I237,0)</f>
        <v>0</v>
      </c>
      <c r="AN237" s="28">
        <v>21</v>
      </c>
      <c r="AO237" s="28">
        <f>H237*0.166280991735537</f>
        <v>0</v>
      </c>
      <c r="AP237" s="28">
        <f>H237*(1-0.166280991735537)</f>
        <v>0</v>
      </c>
      <c r="AQ237" s="30" t="s">
        <v>900</v>
      </c>
      <c r="AV237" s="28">
        <f>AW237+AX237</f>
        <v>0</v>
      </c>
      <c r="AW237" s="28">
        <f>G237*AO237</f>
        <v>0</v>
      </c>
      <c r="AX237" s="28">
        <f>G237*AP237</f>
        <v>0</v>
      </c>
      <c r="AY237" s="30" t="s">
        <v>250</v>
      </c>
      <c r="AZ237" s="30" t="s">
        <v>692</v>
      </c>
      <c r="BA237" s="21" t="s">
        <v>762</v>
      </c>
      <c r="BC237" s="28">
        <f>AW237+AX237</f>
        <v>0</v>
      </c>
      <c r="BD237" s="28">
        <f>H237/(100-BE237)*100</f>
        <v>0</v>
      </c>
      <c r="BE237" s="28">
        <v>0</v>
      </c>
      <c r="BF237" s="28">
        <f>237</f>
        <v>237</v>
      </c>
      <c r="BH237" s="28">
        <f>G237*AO237</f>
        <v>0</v>
      </c>
      <c r="BI237" s="28">
        <f>G237*AP237</f>
        <v>0</v>
      </c>
      <c r="BJ237" s="28">
        <f>G237*H237</f>
        <v>0</v>
      </c>
      <c r="BK237" s="28"/>
      <c r="BL237" s="28">
        <v>767</v>
      </c>
      <c r="BW237" s="28">
        <v>21</v>
      </c>
    </row>
    <row r="238" spans="1:75" ht="13.5" customHeight="1">
      <c r="A238" s="38" t="s">
        <v>672</v>
      </c>
      <c r="B238" s="39" t="s">
        <v>591</v>
      </c>
      <c r="C238" s="39" t="s">
        <v>783</v>
      </c>
      <c r="D238" s="50" t="s">
        <v>39</v>
      </c>
      <c r="E238" s="51"/>
      <c r="F238" s="39" t="s">
        <v>853</v>
      </c>
      <c r="G238" s="28">
        <v>120</v>
      </c>
      <c r="H238" s="120">
        <v>0</v>
      </c>
      <c r="I238" s="120">
        <f>G238*H238</f>
        <v>0</v>
      </c>
      <c r="K238" s="8"/>
      <c r="Z238" s="28">
        <f>IF(AQ238="5",BJ238,0)</f>
        <v>0</v>
      </c>
      <c r="AB238" s="28">
        <f>IF(AQ238="1",BH238,0)</f>
        <v>0</v>
      </c>
      <c r="AC238" s="28">
        <f>IF(AQ238="1",BI238,0)</f>
        <v>0</v>
      </c>
      <c r="AD238" s="28">
        <f>IF(AQ238="7",BH238,0)</f>
        <v>0</v>
      </c>
      <c r="AE238" s="28">
        <f>IF(AQ238="7",BI238,0)</f>
        <v>0</v>
      </c>
      <c r="AF238" s="28">
        <f>IF(AQ238="2",BH238,0)</f>
        <v>0</v>
      </c>
      <c r="AG238" s="28">
        <f>IF(AQ238="2",BI238,0)</f>
        <v>0</v>
      </c>
      <c r="AH238" s="28">
        <f>IF(AQ238="0",BJ238,0)</f>
        <v>0</v>
      </c>
      <c r="AI238" s="21" t="s">
        <v>591</v>
      </c>
      <c r="AJ238" s="28">
        <f>IF(AN238=0,I238,0)</f>
        <v>0</v>
      </c>
      <c r="AK238" s="28">
        <f>IF(AN238=12,I238,0)</f>
        <v>0</v>
      </c>
      <c r="AL238" s="28">
        <f>IF(AN238=21,I238,0)</f>
        <v>0</v>
      </c>
      <c r="AN238" s="28">
        <v>21</v>
      </c>
      <c r="AO238" s="28">
        <f>H238*0.329041487839771</f>
        <v>0</v>
      </c>
      <c r="AP238" s="28">
        <f>H238*(1-0.329041487839771)</f>
        <v>0</v>
      </c>
      <c r="AQ238" s="30" t="s">
        <v>900</v>
      </c>
      <c r="AV238" s="28">
        <f>AW238+AX238</f>
        <v>0</v>
      </c>
      <c r="AW238" s="28">
        <f>G238*AO238</f>
        <v>0</v>
      </c>
      <c r="AX238" s="28">
        <f>G238*AP238</f>
        <v>0</v>
      </c>
      <c r="AY238" s="30" t="s">
        <v>250</v>
      </c>
      <c r="AZ238" s="30" t="s">
        <v>692</v>
      </c>
      <c r="BA238" s="21" t="s">
        <v>762</v>
      </c>
      <c r="BC238" s="28">
        <f>AW238+AX238</f>
        <v>0</v>
      </c>
      <c r="BD238" s="28">
        <f>H238/(100-BE238)*100</f>
        <v>0</v>
      </c>
      <c r="BE238" s="28">
        <v>0</v>
      </c>
      <c r="BF238" s="28">
        <f>238</f>
        <v>238</v>
      </c>
      <c r="BH238" s="28">
        <f>G238*AO238</f>
        <v>0</v>
      </c>
      <c r="BI238" s="28">
        <f>G238*AP238</f>
        <v>0</v>
      </c>
      <c r="BJ238" s="28">
        <f>G238*H238</f>
        <v>0</v>
      </c>
      <c r="BK238" s="28"/>
      <c r="BL238" s="28">
        <v>767</v>
      </c>
      <c r="BW238" s="28">
        <v>21</v>
      </c>
    </row>
    <row r="239" spans="1:11" ht="15" customHeight="1">
      <c r="A239" s="3" t="s">
        <v>626</v>
      </c>
      <c r="B239" s="43" t="s">
        <v>334</v>
      </c>
      <c r="C239" s="43" t="s">
        <v>626</v>
      </c>
      <c r="D239" s="103" t="s">
        <v>62</v>
      </c>
      <c r="E239" s="104"/>
      <c r="F239" s="37" t="s">
        <v>836</v>
      </c>
      <c r="G239" s="37" t="s">
        <v>836</v>
      </c>
      <c r="H239" s="118" t="s">
        <v>836</v>
      </c>
      <c r="I239" s="119">
        <f>I240+I250+I252+I265+I267+I275+I287+I303+I307</f>
        <v>0</v>
      </c>
      <c r="K239" s="8"/>
    </row>
    <row r="240" spans="1:47" ht="15" customHeight="1">
      <c r="A240" s="3" t="s">
        <v>626</v>
      </c>
      <c r="B240" s="43" t="s">
        <v>334</v>
      </c>
      <c r="C240" s="43" t="s">
        <v>451</v>
      </c>
      <c r="D240" s="103" t="s">
        <v>538</v>
      </c>
      <c r="E240" s="104"/>
      <c r="F240" s="37" t="s">
        <v>836</v>
      </c>
      <c r="G240" s="37" t="s">
        <v>836</v>
      </c>
      <c r="H240" s="118" t="s">
        <v>836</v>
      </c>
      <c r="I240" s="119">
        <f>SUM(I241:I249)</f>
        <v>0</v>
      </c>
      <c r="K240" s="8"/>
      <c r="AI240" s="21" t="s">
        <v>334</v>
      </c>
      <c r="AS240" s="31">
        <f>SUM(AJ241:AJ249)</f>
        <v>0</v>
      </c>
      <c r="AT240" s="31">
        <f>SUM(AK241:AK249)</f>
        <v>0</v>
      </c>
      <c r="AU240" s="31">
        <f>SUM(AL241:AL249)</f>
        <v>0</v>
      </c>
    </row>
    <row r="241" spans="1:75" ht="13.5" customHeight="1">
      <c r="A241" s="38" t="s">
        <v>970</v>
      </c>
      <c r="B241" s="39" t="s">
        <v>334</v>
      </c>
      <c r="C241" s="39" t="s">
        <v>840</v>
      </c>
      <c r="D241" s="50" t="s">
        <v>483</v>
      </c>
      <c r="E241" s="51"/>
      <c r="F241" s="39" t="s">
        <v>228</v>
      </c>
      <c r="G241" s="28">
        <v>1</v>
      </c>
      <c r="H241" s="120">
        <v>0</v>
      </c>
      <c r="I241" s="120">
        <f aca="true" t="shared" si="220" ref="I241:I249">G241*H241</f>
        <v>0</v>
      </c>
      <c r="K241" s="8"/>
      <c r="Z241" s="28">
        <f aca="true" t="shared" si="221" ref="Z241:Z249">IF(AQ241="5",BJ241,0)</f>
        <v>0</v>
      </c>
      <c r="AB241" s="28">
        <f aca="true" t="shared" si="222" ref="AB241:AB249">IF(AQ241="1",BH241,0)</f>
        <v>0</v>
      </c>
      <c r="AC241" s="28">
        <f aca="true" t="shared" si="223" ref="AC241:AC249">IF(AQ241="1",BI241,0)</f>
        <v>0</v>
      </c>
      <c r="AD241" s="28">
        <f aca="true" t="shared" si="224" ref="AD241:AD249">IF(AQ241="7",BH241,0)</f>
        <v>0</v>
      </c>
      <c r="AE241" s="28">
        <f aca="true" t="shared" si="225" ref="AE241:AE249">IF(AQ241="7",BI241,0)</f>
        <v>0</v>
      </c>
      <c r="AF241" s="28">
        <f aca="true" t="shared" si="226" ref="AF241:AF249">IF(AQ241="2",BH241,0)</f>
        <v>0</v>
      </c>
      <c r="AG241" s="28">
        <f aca="true" t="shared" si="227" ref="AG241:AG249">IF(AQ241="2",BI241,0)</f>
        <v>0</v>
      </c>
      <c r="AH241" s="28">
        <f aca="true" t="shared" si="228" ref="AH241:AH249">IF(AQ241="0",BJ241,0)</f>
        <v>0</v>
      </c>
      <c r="AI241" s="21" t="s">
        <v>334</v>
      </c>
      <c r="AJ241" s="28">
        <f aca="true" t="shared" si="229" ref="AJ241:AJ249">IF(AN241=0,I241,0)</f>
        <v>0</v>
      </c>
      <c r="AK241" s="28">
        <f aca="true" t="shared" si="230" ref="AK241:AK249">IF(AN241=12,I241,0)</f>
        <v>0</v>
      </c>
      <c r="AL241" s="28">
        <f aca="true" t="shared" si="231" ref="AL241:AL249">IF(AN241=21,I241,0)</f>
        <v>0</v>
      </c>
      <c r="AN241" s="28">
        <v>21</v>
      </c>
      <c r="AO241" s="28">
        <f>H241*0</f>
        <v>0</v>
      </c>
      <c r="AP241" s="28">
        <f>H241*(1-0)</f>
        <v>0</v>
      </c>
      <c r="AQ241" s="30" t="s">
        <v>893</v>
      </c>
      <c r="AV241" s="28">
        <f aca="true" t="shared" si="232" ref="AV241:AV249">AW241+AX241</f>
        <v>0</v>
      </c>
      <c r="AW241" s="28">
        <f aca="true" t="shared" si="233" ref="AW241:AW249">G241*AO241</f>
        <v>0</v>
      </c>
      <c r="AX241" s="28">
        <f aca="true" t="shared" si="234" ref="AX241:AX249">G241*AP241</f>
        <v>0</v>
      </c>
      <c r="AY241" s="30" t="s">
        <v>792</v>
      </c>
      <c r="AZ241" s="30" t="s">
        <v>286</v>
      </c>
      <c r="BA241" s="21" t="s">
        <v>497</v>
      </c>
      <c r="BC241" s="28">
        <f aca="true" t="shared" si="235" ref="BC241:BC249">AW241+AX241</f>
        <v>0</v>
      </c>
      <c r="BD241" s="28">
        <f aca="true" t="shared" si="236" ref="BD241:BD249">H241/(100-BE241)*100</f>
        <v>0</v>
      </c>
      <c r="BE241" s="28">
        <v>0</v>
      </c>
      <c r="BF241" s="28">
        <f>241</f>
        <v>241</v>
      </c>
      <c r="BH241" s="28">
        <f aca="true" t="shared" si="237" ref="BH241:BH249">G241*AO241</f>
        <v>0</v>
      </c>
      <c r="BI241" s="28">
        <f aca="true" t="shared" si="238" ref="BI241:BI249">G241*AP241</f>
        <v>0</v>
      </c>
      <c r="BJ241" s="28">
        <f aca="true" t="shared" si="239" ref="BJ241:BJ249">G241*H241</f>
        <v>0</v>
      </c>
      <c r="BK241" s="28"/>
      <c r="BL241" s="28">
        <v>0</v>
      </c>
      <c r="BW241" s="28">
        <v>21</v>
      </c>
    </row>
    <row r="242" spans="1:75" ht="13.5" customHeight="1">
      <c r="A242" s="38" t="s">
        <v>888</v>
      </c>
      <c r="B242" s="39" t="s">
        <v>334</v>
      </c>
      <c r="C242" s="39" t="s">
        <v>624</v>
      </c>
      <c r="D242" s="50" t="s">
        <v>763</v>
      </c>
      <c r="E242" s="51"/>
      <c r="F242" s="39" t="s">
        <v>473</v>
      </c>
      <c r="G242" s="28">
        <v>8</v>
      </c>
      <c r="H242" s="120">
        <v>0</v>
      </c>
      <c r="I242" s="120">
        <f t="shared" si="220"/>
        <v>0</v>
      </c>
      <c r="K242" s="8"/>
      <c r="Z242" s="28">
        <f t="shared" si="221"/>
        <v>0</v>
      </c>
      <c r="AB242" s="28">
        <f t="shared" si="222"/>
        <v>0</v>
      </c>
      <c r="AC242" s="28">
        <f t="shared" si="223"/>
        <v>0</v>
      </c>
      <c r="AD242" s="28">
        <f t="shared" si="224"/>
        <v>0</v>
      </c>
      <c r="AE242" s="28">
        <f t="shared" si="225"/>
        <v>0</v>
      </c>
      <c r="AF242" s="28">
        <f t="shared" si="226"/>
        <v>0</v>
      </c>
      <c r="AG242" s="28">
        <f t="shared" si="227"/>
        <v>0</v>
      </c>
      <c r="AH242" s="28">
        <f t="shared" si="228"/>
        <v>0</v>
      </c>
      <c r="AI242" s="21" t="s">
        <v>334</v>
      </c>
      <c r="AJ242" s="28">
        <f t="shared" si="229"/>
        <v>0</v>
      </c>
      <c r="AK242" s="28">
        <f t="shared" si="230"/>
        <v>0</v>
      </c>
      <c r="AL242" s="28">
        <f t="shared" si="231"/>
        <v>0</v>
      </c>
      <c r="AN242" s="28">
        <v>21</v>
      </c>
      <c r="AO242" s="28">
        <f>H242*0</f>
        <v>0</v>
      </c>
      <c r="AP242" s="28">
        <f>H242*(1-0)</f>
        <v>0</v>
      </c>
      <c r="AQ242" s="30" t="s">
        <v>893</v>
      </c>
      <c r="AV242" s="28">
        <f t="shared" si="232"/>
        <v>0</v>
      </c>
      <c r="AW242" s="28">
        <f t="shared" si="233"/>
        <v>0</v>
      </c>
      <c r="AX242" s="28">
        <f t="shared" si="234"/>
        <v>0</v>
      </c>
      <c r="AY242" s="30" t="s">
        <v>792</v>
      </c>
      <c r="AZ242" s="30" t="s">
        <v>286</v>
      </c>
      <c r="BA242" s="21" t="s">
        <v>497</v>
      </c>
      <c r="BC242" s="28">
        <f t="shared" si="235"/>
        <v>0</v>
      </c>
      <c r="BD242" s="28">
        <f t="shared" si="236"/>
        <v>0</v>
      </c>
      <c r="BE242" s="28">
        <v>0</v>
      </c>
      <c r="BF242" s="28">
        <f>242</f>
        <v>242</v>
      </c>
      <c r="BH242" s="28">
        <f t="shared" si="237"/>
        <v>0</v>
      </c>
      <c r="BI242" s="28">
        <f t="shared" si="238"/>
        <v>0</v>
      </c>
      <c r="BJ242" s="28">
        <f t="shared" si="239"/>
        <v>0</v>
      </c>
      <c r="BK242" s="28"/>
      <c r="BL242" s="28">
        <v>0</v>
      </c>
      <c r="BW242" s="28">
        <v>21</v>
      </c>
    </row>
    <row r="243" spans="1:75" ht="27" customHeight="1">
      <c r="A243" s="38" t="s">
        <v>686</v>
      </c>
      <c r="B243" s="39" t="s">
        <v>334</v>
      </c>
      <c r="C243" s="39" t="s">
        <v>618</v>
      </c>
      <c r="D243" s="50" t="s">
        <v>616</v>
      </c>
      <c r="E243" s="51"/>
      <c r="F243" s="39" t="s">
        <v>578</v>
      </c>
      <c r="G243" s="28">
        <v>8</v>
      </c>
      <c r="H243" s="120">
        <v>0</v>
      </c>
      <c r="I243" s="120">
        <f t="shared" si="220"/>
        <v>0</v>
      </c>
      <c r="K243" s="8"/>
      <c r="Z243" s="28">
        <f t="shared" si="221"/>
        <v>0</v>
      </c>
      <c r="AB243" s="28">
        <f t="shared" si="222"/>
        <v>0</v>
      </c>
      <c r="AC243" s="28">
        <f t="shared" si="223"/>
        <v>0</v>
      </c>
      <c r="AD243" s="28">
        <f t="shared" si="224"/>
        <v>0</v>
      </c>
      <c r="AE243" s="28">
        <f t="shared" si="225"/>
        <v>0</v>
      </c>
      <c r="AF243" s="28">
        <f t="shared" si="226"/>
        <v>0</v>
      </c>
      <c r="AG243" s="28">
        <f t="shared" si="227"/>
        <v>0</v>
      </c>
      <c r="AH243" s="28">
        <f t="shared" si="228"/>
        <v>0</v>
      </c>
      <c r="AI243" s="21" t="s">
        <v>334</v>
      </c>
      <c r="AJ243" s="28">
        <f t="shared" si="229"/>
        <v>0</v>
      </c>
      <c r="AK243" s="28">
        <f t="shared" si="230"/>
        <v>0</v>
      </c>
      <c r="AL243" s="28">
        <f t="shared" si="231"/>
        <v>0</v>
      </c>
      <c r="AN243" s="28">
        <v>21</v>
      </c>
      <c r="AO243" s="28">
        <f>H243*0.298352654057352</f>
        <v>0</v>
      </c>
      <c r="AP243" s="28">
        <f>H243*(1-0.298352654057352)</f>
        <v>0</v>
      </c>
      <c r="AQ243" s="30" t="s">
        <v>893</v>
      </c>
      <c r="AV243" s="28">
        <f t="shared" si="232"/>
        <v>0</v>
      </c>
      <c r="AW243" s="28">
        <f t="shared" si="233"/>
        <v>0</v>
      </c>
      <c r="AX243" s="28">
        <f t="shared" si="234"/>
        <v>0</v>
      </c>
      <c r="AY243" s="30" t="s">
        <v>792</v>
      </c>
      <c r="AZ243" s="30" t="s">
        <v>286</v>
      </c>
      <c r="BA243" s="21" t="s">
        <v>497</v>
      </c>
      <c r="BC243" s="28">
        <f t="shared" si="235"/>
        <v>0</v>
      </c>
      <c r="BD243" s="28">
        <f t="shared" si="236"/>
        <v>0</v>
      </c>
      <c r="BE243" s="28">
        <v>0</v>
      </c>
      <c r="BF243" s="28">
        <f>243</f>
        <v>243</v>
      </c>
      <c r="BH243" s="28">
        <f t="shared" si="237"/>
        <v>0</v>
      </c>
      <c r="BI243" s="28">
        <f t="shared" si="238"/>
        <v>0</v>
      </c>
      <c r="BJ243" s="28">
        <f t="shared" si="239"/>
        <v>0</v>
      </c>
      <c r="BK243" s="28"/>
      <c r="BL243" s="28">
        <v>0</v>
      </c>
      <c r="BW243" s="28">
        <v>21</v>
      </c>
    </row>
    <row r="244" spans="1:75" ht="13.5" customHeight="1">
      <c r="A244" s="38" t="s">
        <v>559</v>
      </c>
      <c r="B244" s="39" t="s">
        <v>334</v>
      </c>
      <c r="C244" s="39" t="s">
        <v>181</v>
      </c>
      <c r="D244" s="50" t="s">
        <v>28</v>
      </c>
      <c r="E244" s="51"/>
      <c r="F244" s="39" t="s">
        <v>311</v>
      </c>
      <c r="G244" s="28">
        <v>1</v>
      </c>
      <c r="H244" s="120">
        <v>0</v>
      </c>
      <c r="I244" s="120">
        <f t="shared" si="220"/>
        <v>0</v>
      </c>
      <c r="K244" s="8"/>
      <c r="Z244" s="28">
        <f t="shared" si="221"/>
        <v>0</v>
      </c>
      <c r="AB244" s="28">
        <f t="shared" si="222"/>
        <v>0</v>
      </c>
      <c r="AC244" s="28">
        <f t="shared" si="223"/>
        <v>0</v>
      </c>
      <c r="AD244" s="28">
        <f t="shared" si="224"/>
        <v>0</v>
      </c>
      <c r="AE244" s="28">
        <f t="shared" si="225"/>
        <v>0</v>
      </c>
      <c r="AF244" s="28">
        <f t="shared" si="226"/>
        <v>0</v>
      </c>
      <c r="AG244" s="28">
        <f t="shared" si="227"/>
        <v>0</v>
      </c>
      <c r="AH244" s="28">
        <f t="shared" si="228"/>
        <v>0</v>
      </c>
      <c r="AI244" s="21" t="s">
        <v>334</v>
      </c>
      <c r="AJ244" s="28">
        <f t="shared" si="229"/>
        <v>0</v>
      </c>
      <c r="AK244" s="28">
        <f t="shared" si="230"/>
        <v>0</v>
      </c>
      <c r="AL244" s="28">
        <f t="shared" si="231"/>
        <v>0</v>
      </c>
      <c r="AN244" s="28">
        <v>21</v>
      </c>
      <c r="AO244" s="28">
        <f>H244*0</f>
        <v>0</v>
      </c>
      <c r="AP244" s="28">
        <f>H244*(1-0)</f>
        <v>0</v>
      </c>
      <c r="AQ244" s="30" t="s">
        <v>893</v>
      </c>
      <c r="AV244" s="28">
        <f t="shared" si="232"/>
        <v>0</v>
      </c>
      <c r="AW244" s="28">
        <f t="shared" si="233"/>
        <v>0</v>
      </c>
      <c r="AX244" s="28">
        <f t="shared" si="234"/>
        <v>0</v>
      </c>
      <c r="AY244" s="30" t="s">
        <v>792</v>
      </c>
      <c r="AZ244" s="30" t="s">
        <v>286</v>
      </c>
      <c r="BA244" s="21" t="s">
        <v>497</v>
      </c>
      <c r="BC244" s="28">
        <f t="shared" si="235"/>
        <v>0</v>
      </c>
      <c r="BD244" s="28">
        <f t="shared" si="236"/>
        <v>0</v>
      </c>
      <c r="BE244" s="28">
        <v>0</v>
      </c>
      <c r="BF244" s="28">
        <f>244</f>
        <v>244</v>
      </c>
      <c r="BH244" s="28">
        <f t="shared" si="237"/>
        <v>0</v>
      </c>
      <c r="BI244" s="28">
        <f t="shared" si="238"/>
        <v>0</v>
      </c>
      <c r="BJ244" s="28">
        <f t="shared" si="239"/>
        <v>0</v>
      </c>
      <c r="BK244" s="28"/>
      <c r="BL244" s="28">
        <v>0</v>
      </c>
      <c r="BW244" s="28">
        <v>21</v>
      </c>
    </row>
    <row r="245" spans="1:75" ht="13.5" customHeight="1">
      <c r="A245" s="38" t="s">
        <v>85</v>
      </c>
      <c r="B245" s="39" t="s">
        <v>334</v>
      </c>
      <c r="C245" s="39" t="s">
        <v>370</v>
      </c>
      <c r="D245" s="50" t="s">
        <v>32</v>
      </c>
      <c r="E245" s="51"/>
      <c r="F245" s="39" t="s">
        <v>311</v>
      </c>
      <c r="G245" s="28">
        <v>1</v>
      </c>
      <c r="H245" s="120">
        <v>0</v>
      </c>
      <c r="I245" s="120">
        <f t="shared" si="220"/>
        <v>0</v>
      </c>
      <c r="K245" s="8"/>
      <c r="Z245" s="28">
        <f t="shared" si="221"/>
        <v>0</v>
      </c>
      <c r="AB245" s="28">
        <f t="shared" si="222"/>
        <v>0</v>
      </c>
      <c r="AC245" s="28">
        <f t="shared" si="223"/>
        <v>0</v>
      </c>
      <c r="AD245" s="28">
        <f t="shared" si="224"/>
        <v>0</v>
      </c>
      <c r="AE245" s="28">
        <f t="shared" si="225"/>
        <v>0</v>
      </c>
      <c r="AF245" s="28">
        <f t="shared" si="226"/>
        <v>0</v>
      </c>
      <c r="AG245" s="28">
        <f t="shared" si="227"/>
        <v>0</v>
      </c>
      <c r="AH245" s="28">
        <f t="shared" si="228"/>
        <v>0</v>
      </c>
      <c r="AI245" s="21" t="s">
        <v>334</v>
      </c>
      <c r="AJ245" s="28">
        <f t="shared" si="229"/>
        <v>0</v>
      </c>
      <c r="AK245" s="28">
        <f t="shared" si="230"/>
        <v>0</v>
      </c>
      <c r="AL245" s="28">
        <f t="shared" si="231"/>
        <v>0</v>
      </c>
      <c r="AN245" s="28">
        <v>21</v>
      </c>
      <c r="AO245" s="28">
        <f>H245*0</f>
        <v>0</v>
      </c>
      <c r="AP245" s="28">
        <f>H245*(1-0)</f>
        <v>0</v>
      </c>
      <c r="AQ245" s="30" t="s">
        <v>893</v>
      </c>
      <c r="AV245" s="28">
        <f t="shared" si="232"/>
        <v>0</v>
      </c>
      <c r="AW245" s="28">
        <f t="shared" si="233"/>
        <v>0</v>
      </c>
      <c r="AX245" s="28">
        <f t="shared" si="234"/>
        <v>0</v>
      </c>
      <c r="AY245" s="30" t="s">
        <v>792</v>
      </c>
      <c r="AZ245" s="30" t="s">
        <v>286</v>
      </c>
      <c r="BA245" s="21" t="s">
        <v>497</v>
      </c>
      <c r="BC245" s="28">
        <f t="shared" si="235"/>
        <v>0</v>
      </c>
      <c r="BD245" s="28">
        <f t="shared" si="236"/>
        <v>0</v>
      </c>
      <c r="BE245" s="28">
        <v>0</v>
      </c>
      <c r="BF245" s="28">
        <f>245</f>
        <v>245</v>
      </c>
      <c r="BH245" s="28">
        <f t="shared" si="237"/>
        <v>0</v>
      </c>
      <c r="BI245" s="28">
        <f t="shared" si="238"/>
        <v>0</v>
      </c>
      <c r="BJ245" s="28">
        <f t="shared" si="239"/>
        <v>0</v>
      </c>
      <c r="BK245" s="28"/>
      <c r="BL245" s="28">
        <v>0</v>
      </c>
      <c r="BW245" s="28">
        <v>21</v>
      </c>
    </row>
    <row r="246" spans="1:75" ht="13.5" customHeight="1">
      <c r="A246" s="38" t="s">
        <v>615</v>
      </c>
      <c r="B246" s="39" t="s">
        <v>334</v>
      </c>
      <c r="C246" s="39" t="s">
        <v>861</v>
      </c>
      <c r="D246" s="50" t="s">
        <v>11</v>
      </c>
      <c r="E246" s="51"/>
      <c r="F246" s="39" t="s">
        <v>311</v>
      </c>
      <c r="G246" s="28">
        <v>1</v>
      </c>
      <c r="H246" s="120">
        <v>0</v>
      </c>
      <c r="I246" s="120">
        <f t="shared" si="220"/>
        <v>0</v>
      </c>
      <c r="K246" s="8"/>
      <c r="Z246" s="28">
        <f t="shared" si="221"/>
        <v>0</v>
      </c>
      <c r="AB246" s="28">
        <f t="shared" si="222"/>
        <v>0</v>
      </c>
      <c r="AC246" s="28">
        <f t="shared" si="223"/>
        <v>0</v>
      </c>
      <c r="AD246" s="28">
        <f t="shared" si="224"/>
        <v>0</v>
      </c>
      <c r="AE246" s="28">
        <f t="shared" si="225"/>
        <v>0</v>
      </c>
      <c r="AF246" s="28">
        <f t="shared" si="226"/>
        <v>0</v>
      </c>
      <c r="AG246" s="28">
        <f t="shared" si="227"/>
        <v>0</v>
      </c>
      <c r="AH246" s="28">
        <f t="shared" si="228"/>
        <v>0</v>
      </c>
      <c r="AI246" s="21" t="s">
        <v>334</v>
      </c>
      <c r="AJ246" s="28">
        <f t="shared" si="229"/>
        <v>0</v>
      </c>
      <c r="AK246" s="28">
        <f t="shared" si="230"/>
        <v>0</v>
      </c>
      <c r="AL246" s="28">
        <f t="shared" si="231"/>
        <v>0</v>
      </c>
      <c r="AN246" s="28">
        <v>21</v>
      </c>
      <c r="AO246" s="28">
        <f>H246*0.632508123680949</f>
        <v>0</v>
      </c>
      <c r="AP246" s="28">
        <f>H246*(1-0.632508123680949)</f>
        <v>0</v>
      </c>
      <c r="AQ246" s="30" t="s">
        <v>893</v>
      </c>
      <c r="AV246" s="28">
        <f t="shared" si="232"/>
        <v>0</v>
      </c>
      <c r="AW246" s="28">
        <f t="shared" si="233"/>
        <v>0</v>
      </c>
      <c r="AX246" s="28">
        <f t="shared" si="234"/>
        <v>0</v>
      </c>
      <c r="AY246" s="30" t="s">
        <v>792</v>
      </c>
      <c r="AZ246" s="30" t="s">
        <v>286</v>
      </c>
      <c r="BA246" s="21" t="s">
        <v>497</v>
      </c>
      <c r="BC246" s="28">
        <f t="shared" si="235"/>
        <v>0</v>
      </c>
      <c r="BD246" s="28">
        <f t="shared" si="236"/>
        <v>0</v>
      </c>
      <c r="BE246" s="28">
        <v>0</v>
      </c>
      <c r="BF246" s="28">
        <f>246</f>
        <v>246</v>
      </c>
      <c r="BH246" s="28">
        <f t="shared" si="237"/>
        <v>0</v>
      </c>
      <c r="BI246" s="28">
        <f t="shared" si="238"/>
        <v>0</v>
      </c>
      <c r="BJ246" s="28">
        <f t="shared" si="239"/>
        <v>0</v>
      </c>
      <c r="BK246" s="28"/>
      <c r="BL246" s="28">
        <v>0</v>
      </c>
      <c r="BW246" s="28">
        <v>21</v>
      </c>
    </row>
    <row r="247" spans="1:75" ht="13.5" customHeight="1">
      <c r="A247" s="38" t="s">
        <v>691</v>
      </c>
      <c r="B247" s="39" t="s">
        <v>334</v>
      </c>
      <c r="C247" s="39" t="s">
        <v>526</v>
      </c>
      <c r="D247" s="50" t="s">
        <v>98</v>
      </c>
      <c r="E247" s="51"/>
      <c r="F247" s="39" t="s">
        <v>228</v>
      </c>
      <c r="G247" s="28">
        <v>1</v>
      </c>
      <c r="H247" s="120">
        <v>0</v>
      </c>
      <c r="I247" s="120">
        <f t="shared" si="220"/>
        <v>0</v>
      </c>
      <c r="K247" s="8"/>
      <c r="Z247" s="28">
        <f t="shared" si="221"/>
        <v>0</v>
      </c>
      <c r="AB247" s="28">
        <f t="shared" si="222"/>
        <v>0</v>
      </c>
      <c r="AC247" s="28">
        <f t="shared" si="223"/>
        <v>0</v>
      </c>
      <c r="AD247" s="28">
        <f t="shared" si="224"/>
        <v>0</v>
      </c>
      <c r="AE247" s="28">
        <f t="shared" si="225"/>
        <v>0</v>
      </c>
      <c r="AF247" s="28">
        <f t="shared" si="226"/>
        <v>0</v>
      </c>
      <c r="AG247" s="28">
        <f t="shared" si="227"/>
        <v>0</v>
      </c>
      <c r="AH247" s="28">
        <f t="shared" si="228"/>
        <v>0</v>
      </c>
      <c r="AI247" s="21" t="s">
        <v>334</v>
      </c>
      <c r="AJ247" s="28">
        <f t="shared" si="229"/>
        <v>0</v>
      </c>
      <c r="AK247" s="28">
        <f t="shared" si="230"/>
        <v>0</v>
      </c>
      <c r="AL247" s="28">
        <f t="shared" si="231"/>
        <v>0</v>
      </c>
      <c r="AN247" s="28">
        <v>21</v>
      </c>
      <c r="AO247" s="28">
        <f>H247*0</f>
        <v>0</v>
      </c>
      <c r="AP247" s="28">
        <f>H247*(1-0)</f>
        <v>0</v>
      </c>
      <c r="AQ247" s="30" t="s">
        <v>893</v>
      </c>
      <c r="AV247" s="28">
        <f t="shared" si="232"/>
        <v>0</v>
      </c>
      <c r="AW247" s="28">
        <f t="shared" si="233"/>
        <v>0</v>
      </c>
      <c r="AX247" s="28">
        <f t="shared" si="234"/>
        <v>0</v>
      </c>
      <c r="AY247" s="30" t="s">
        <v>792</v>
      </c>
      <c r="AZ247" s="30" t="s">
        <v>286</v>
      </c>
      <c r="BA247" s="21" t="s">
        <v>497</v>
      </c>
      <c r="BC247" s="28">
        <f t="shared" si="235"/>
        <v>0</v>
      </c>
      <c r="BD247" s="28">
        <f t="shared" si="236"/>
        <v>0</v>
      </c>
      <c r="BE247" s="28">
        <v>0</v>
      </c>
      <c r="BF247" s="28">
        <f>247</f>
        <v>247</v>
      </c>
      <c r="BH247" s="28">
        <f t="shared" si="237"/>
        <v>0</v>
      </c>
      <c r="BI247" s="28">
        <f t="shared" si="238"/>
        <v>0</v>
      </c>
      <c r="BJ247" s="28">
        <f t="shared" si="239"/>
        <v>0</v>
      </c>
      <c r="BK247" s="28"/>
      <c r="BL247" s="28">
        <v>0</v>
      </c>
      <c r="BW247" s="28">
        <v>21</v>
      </c>
    </row>
    <row r="248" spans="1:75" ht="13.5" customHeight="1">
      <c r="A248" s="38" t="s">
        <v>219</v>
      </c>
      <c r="B248" s="39" t="s">
        <v>334</v>
      </c>
      <c r="C248" s="39" t="s">
        <v>476</v>
      </c>
      <c r="D248" s="50" t="s">
        <v>731</v>
      </c>
      <c r="E248" s="51"/>
      <c r="F248" s="39" t="s">
        <v>396</v>
      </c>
      <c r="G248" s="28">
        <v>1.04924</v>
      </c>
      <c r="H248" s="120">
        <v>0</v>
      </c>
      <c r="I248" s="120">
        <f t="shared" si="220"/>
        <v>0</v>
      </c>
      <c r="K248" s="8"/>
      <c r="Z248" s="28">
        <f t="shared" si="221"/>
        <v>0</v>
      </c>
      <c r="AB248" s="28">
        <f t="shared" si="222"/>
        <v>0</v>
      </c>
      <c r="AC248" s="28">
        <f t="shared" si="223"/>
        <v>0</v>
      </c>
      <c r="AD248" s="28">
        <f t="shared" si="224"/>
        <v>0</v>
      </c>
      <c r="AE248" s="28">
        <f t="shared" si="225"/>
        <v>0</v>
      </c>
      <c r="AF248" s="28">
        <f t="shared" si="226"/>
        <v>0</v>
      </c>
      <c r="AG248" s="28">
        <f t="shared" si="227"/>
        <v>0</v>
      </c>
      <c r="AH248" s="28">
        <f t="shared" si="228"/>
        <v>0</v>
      </c>
      <c r="AI248" s="21" t="s">
        <v>334</v>
      </c>
      <c r="AJ248" s="28">
        <f t="shared" si="229"/>
        <v>0</v>
      </c>
      <c r="AK248" s="28">
        <f t="shared" si="230"/>
        <v>0</v>
      </c>
      <c r="AL248" s="28">
        <f t="shared" si="231"/>
        <v>0</v>
      </c>
      <c r="AN248" s="28">
        <v>21</v>
      </c>
      <c r="AO248" s="28">
        <f>H248*0</f>
        <v>0</v>
      </c>
      <c r="AP248" s="28">
        <f>H248*(1-0)</f>
        <v>0</v>
      </c>
      <c r="AQ248" s="30" t="s">
        <v>455</v>
      </c>
      <c r="AV248" s="28">
        <f t="shared" si="232"/>
        <v>0</v>
      </c>
      <c r="AW248" s="28">
        <f t="shared" si="233"/>
        <v>0</v>
      </c>
      <c r="AX248" s="28">
        <f t="shared" si="234"/>
        <v>0</v>
      </c>
      <c r="AY248" s="30" t="s">
        <v>792</v>
      </c>
      <c r="AZ248" s="30" t="s">
        <v>286</v>
      </c>
      <c r="BA248" s="21" t="s">
        <v>497</v>
      </c>
      <c r="BC248" s="28">
        <f t="shared" si="235"/>
        <v>0</v>
      </c>
      <c r="BD248" s="28">
        <f t="shared" si="236"/>
        <v>0</v>
      </c>
      <c r="BE248" s="28">
        <v>0</v>
      </c>
      <c r="BF248" s="28">
        <f>248</f>
        <v>248</v>
      </c>
      <c r="BH248" s="28">
        <f t="shared" si="237"/>
        <v>0</v>
      </c>
      <c r="BI248" s="28">
        <f t="shared" si="238"/>
        <v>0</v>
      </c>
      <c r="BJ248" s="28">
        <f t="shared" si="239"/>
        <v>0</v>
      </c>
      <c r="BK248" s="28"/>
      <c r="BL248" s="28">
        <v>0</v>
      </c>
      <c r="BW248" s="28">
        <v>21</v>
      </c>
    </row>
    <row r="249" spans="1:75" ht="13.5" customHeight="1">
      <c r="A249" s="38" t="s">
        <v>1011</v>
      </c>
      <c r="B249" s="39" t="s">
        <v>334</v>
      </c>
      <c r="C249" s="39" t="s">
        <v>169</v>
      </c>
      <c r="D249" s="50" t="s">
        <v>372</v>
      </c>
      <c r="E249" s="51"/>
      <c r="F249" s="39" t="s">
        <v>396</v>
      </c>
      <c r="G249" s="28">
        <v>1.04925</v>
      </c>
      <c r="H249" s="120">
        <v>0</v>
      </c>
      <c r="I249" s="120">
        <f t="shared" si="220"/>
        <v>0</v>
      </c>
      <c r="K249" s="8"/>
      <c r="Z249" s="28">
        <f t="shared" si="221"/>
        <v>0</v>
      </c>
      <c r="AB249" s="28">
        <f t="shared" si="222"/>
        <v>0</v>
      </c>
      <c r="AC249" s="28">
        <f t="shared" si="223"/>
        <v>0</v>
      </c>
      <c r="AD249" s="28">
        <f t="shared" si="224"/>
        <v>0</v>
      </c>
      <c r="AE249" s="28">
        <f t="shared" si="225"/>
        <v>0</v>
      </c>
      <c r="AF249" s="28">
        <f t="shared" si="226"/>
        <v>0</v>
      </c>
      <c r="AG249" s="28">
        <f t="shared" si="227"/>
        <v>0</v>
      </c>
      <c r="AH249" s="28">
        <f t="shared" si="228"/>
        <v>0</v>
      </c>
      <c r="AI249" s="21" t="s">
        <v>334</v>
      </c>
      <c r="AJ249" s="28">
        <f t="shared" si="229"/>
        <v>0</v>
      </c>
      <c r="AK249" s="28">
        <f t="shared" si="230"/>
        <v>0</v>
      </c>
      <c r="AL249" s="28">
        <f t="shared" si="231"/>
        <v>0</v>
      </c>
      <c r="AN249" s="28">
        <v>21</v>
      </c>
      <c r="AO249" s="28">
        <f>H249*0</f>
        <v>0</v>
      </c>
      <c r="AP249" s="28">
        <f>H249*(1-0)</f>
        <v>0</v>
      </c>
      <c r="AQ249" s="30" t="s">
        <v>455</v>
      </c>
      <c r="AV249" s="28">
        <f t="shared" si="232"/>
        <v>0</v>
      </c>
      <c r="AW249" s="28">
        <f t="shared" si="233"/>
        <v>0</v>
      </c>
      <c r="AX249" s="28">
        <f t="shared" si="234"/>
        <v>0</v>
      </c>
      <c r="AY249" s="30" t="s">
        <v>792</v>
      </c>
      <c r="AZ249" s="30" t="s">
        <v>286</v>
      </c>
      <c r="BA249" s="21" t="s">
        <v>497</v>
      </c>
      <c r="BC249" s="28">
        <f t="shared" si="235"/>
        <v>0</v>
      </c>
      <c r="BD249" s="28">
        <f t="shared" si="236"/>
        <v>0</v>
      </c>
      <c r="BE249" s="28">
        <v>0</v>
      </c>
      <c r="BF249" s="28">
        <f>249</f>
        <v>249</v>
      </c>
      <c r="BH249" s="28">
        <f t="shared" si="237"/>
        <v>0</v>
      </c>
      <c r="BI249" s="28">
        <f t="shared" si="238"/>
        <v>0</v>
      </c>
      <c r="BJ249" s="28">
        <f t="shared" si="239"/>
        <v>0</v>
      </c>
      <c r="BK249" s="28"/>
      <c r="BL249" s="28">
        <v>0</v>
      </c>
      <c r="BW249" s="28">
        <v>21</v>
      </c>
    </row>
    <row r="250" spans="1:47" ht="15" customHeight="1">
      <c r="A250" s="3" t="s">
        <v>626</v>
      </c>
      <c r="B250" s="43" t="s">
        <v>334</v>
      </c>
      <c r="C250" s="43" t="s">
        <v>724</v>
      </c>
      <c r="D250" s="103" t="s">
        <v>775</v>
      </c>
      <c r="E250" s="104"/>
      <c r="F250" s="37" t="s">
        <v>836</v>
      </c>
      <c r="G250" s="37" t="s">
        <v>836</v>
      </c>
      <c r="H250" s="118" t="s">
        <v>836</v>
      </c>
      <c r="I250" s="119">
        <f>SUM(I251:I251)</f>
        <v>0</v>
      </c>
      <c r="K250" s="8"/>
      <c r="AI250" s="21" t="s">
        <v>334</v>
      </c>
      <c r="AS250" s="31">
        <f>SUM(AJ251:AJ251)</f>
        <v>0</v>
      </c>
      <c r="AT250" s="31">
        <f>SUM(AK251:AK251)</f>
        <v>0</v>
      </c>
      <c r="AU250" s="31">
        <f>SUM(AL251:AL251)</f>
        <v>0</v>
      </c>
    </row>
    <row r="251" spans="1:75" ht="13.5" customHeight="1">
      <c r="A251" s="38" t="s">
        <v>498</v>
      </c>
      <c r="B251" s="39" t="s">
        <v>334</v>
      </c>
      <c r="C251" s="39" t="s">
        <v>431</v>
      </c>
      <c r="D251" s="50" t="s">
        <v>549</v>
      </c>
      <c r="E251" s="51"/>
      <c r="F251" s="39" t="s">
        <v>741</v>
      </c>
      <c r="G251" s="28">
        <v>20</v>
      </c>
      <c r="H251" s="120">
        <v>0</v>
      </c>
      <c r="I251" s="120">
        <f>G251*H251</f>
        <v>0</v>
      </c>
      <c r="K251" s="8"/>
      <c r="Z251" s="28">
        <f>IF(AQ251="5",BJ251,0)</f>
        <v>0</v>
      </c>
      <c r="AB251" s="28">
        <f>IF(AQ251="1",BH251,0)</f>
        <v>0</v>
      </c>
      <c r="AC251" s="28">
        <f>IF(AQ251="1",BI251,0)</f>
        <v>0</v>
      </c>
      <c r="AD251" s="28">
        <f>IF(AQ251="7",BH251,0)</f>
        <v>0</v>
      </c>
      <c r="AE251" s="28">
        <f>IF(AQ251="7",BI251,0)</f>
        <v>0</v>
      </c>
      <c r="AF251" s="28">
        <f>IF(AQ251="2",BH251,0)</f>
        <v>0</v>
      </c>
      <c r="AG251" s="28">
        <f>IF(AQ251="2",BI251,0)</f>
        <v>0</v>
      </c>
      <c r="AH251" s="28">
        <f>IF(AQ251="0",BJ251,0)</f>
        <v>0</v>
      </c>
      <c r="AI251" s="21" t="s">
        <v>334</v>
      </c>
      <c r="AJ251" s="28">
        <f>IF(AN251=0,I251,0)</f>
        <v>0</v>
      </c>
      <c r="AK251" s="28">
        <f>IF(AN251=12,I251,0)</f>
        <v>0</v>
      </c>
      <c r="AL251" s="28">
        <f>IF(AN251=21,I251,0)</f>
        <v>0</v>
      </c>
      <c r="AN251" s="28">
        <v>21</v>
      </c>
      <c r="AO251" s="28">
        <f>H251*0</f>
        <v>0</v>
      </c>
      <c r="AP251" s="28">
        <f>H251*(1-0)</f>
        <v>0</v>
      </c>
      <c r="AQ251" s="30" t="s">
        <v>900</v>
      </c>
      <c r="AV251" s="28">
        <f>AW251+AX251</f>
        <v>0</v>
      </c>
      <c r="AW251" s="28">
        <f>G251*AO251</f>
        <v>0</v>
      </c>
      <c r="AX251" s="28">
        <f>G251*AP251</f>
        <v>0</v>
      </c>
      <c r="AY251" s="30" t="s">
        <v>698</v>
      </c>
      <c r="AZ251" s="30" t="s">
        <v>184</v>
      </c>
      <c r="BA251" s="21" t="s">
        <v>497</v>
      </c>
      <c r="BC251" s="28">
        <f>AW251+AX251</f>
        <v>0</v>
      </c>
      <c r="BD251" s="28">
        <f>H251/(100-BE251)*100</f>
        <v>0</v>
      </c>
      <c r="BE251" s="28">
        <v>0</v>
      </c>
      <c r="BF251" s="28">
        <f>251</f>
        <v>251</v>
      </c>
      <c r="BH251" s="28">
        <f>G251*AO251</f>
        <v>0</v>
      </c>
      <c r="BI251" s="28">
        <f>G251*AP251</f>
        <v>0</v>
      </c>
      <c r="BJ251" s="28">
        <f>G251*H251</f>
        <v>0</v>
      </c>
      <c r="BK251" s="28"/>
      <c r="BL251" s="28">
        <v>713</v>
      </c>
      <c r="BW251" s="28">
        <v>21</v>
      </c>
    </row>
    <row r="252" spans="1:47" ht="15" customHeight="1">
      <c r="A252" s="3" t="s">
        <v>626</v>
      </c>
      <c r="B252" s="43" t="s">
        <v>334</v>
      </c>
      <c r="C252" s="43" t="s">
        <v>812</v>
      </c>
      <c r="D252" s="103" t="s">
        <v>547</v>
      </c>
      <c r="E252" s="104"/>
      <c r="F252" s="37" t="s">
        <v>836</v>
      </c>
      <c r="G252" s="37" t="s">
        <v>836</v>
      </c>
      <c r="H252" s="118" t="s">
        <v>836</v>
      </c>
      <c r="I252" s="119">
        <f>SUM(I253:I264)</f>
        <v>0</v>
      </c>
      <c r="K252" s="8"/>
      <c r="AI252" s="21" t="s">
        <v>334</v>
      </c>
      <c r="AS252" s="31">
        <f>SUM(AJ253:AJ264)</f>
        <v>0</v>
      </c>
      <c r="AT252" s="31">
        <f>SUM(AK253:AK264)</f>
        <v>0</v>
      </c>
      <c r="AU252" s="31">
        <f>SUM(AL253:AL264)</f>
        <v>0</v>
      </c>
    </row>
    <row r="253" spans="1:75" ht="13.5" customHeight="1">
      <c r="A253" s="38" t="s">
        <v>227</v>
      </c>
      <c r="B253" s="39" t="s">
        <v>334</v>
      </c>
      <c r="C253" s="39" t="s">
        <v>378</v>
      </c>
      <c r="D253" s="50" t="s">
        <v>847</v>
      </c>
      <c r="E253" s="51"/>
      <c r="F253" s="39" t="s">
        <v>228</v>
      </c>
      <c r="G253" s="28">
        <v>8</v>
      </c>
      <c r="H253" s="120">
        <v>0</v>
      </c>
      <c r="I253" s="120">
        <f aca="true" t="shared" si="240" ref="I253:I264">G253*H253</f>
        <v>0</v>
      </c>
      <c r="K253" s="8"/>
      <c r="Z253" s="28">
        <f aca="true" t="shared" si="241" ref="Z253:Z264">IF(AQ253="5",BJ253,0)</f>
        <v>0</v>
      </c>
      <c r="AB253" s="28">
        <f aca="true" t="shared" si="242" ref="AB253:AB264">IF(AQ253="1",BH253,0)</f>
        <v>0</v>
      </c>
      <c r="AC253" s="28">
        <f aca="true" t="shared" si="243" ref="AC253:AC264">IF(AQ253="1",BI253,0)</f>
        <v>0</v>
      </c>
      <c r="AD253" s="28">
        <f aca="true" t="shared" si="244" ref="AD253:AD264">IF(AQ253="7",BH253,0)</f>
        <v>0</v>
      </c>
      <c r="AE253" s="28">
        <f aca="true" t="shared" si="245" ref="AE253:AE264">IF(AQ253="7",BI253,0)</f>
        <v>0</v>
      </c>
      <c r="AF253" s="28">
        <f aca="true" t="shared" si="246" ref="AF253:AF264">IF(AQ253="2",BH253,0)</f>
        <v>0</v>
      </c>
      <c r="AG253" s="28">
        <f aca="true" t="shared" si="247" ref="AG253:AG264">IF(AQ253="2",BI253,0)</f>
        <v>0</v>
      </c>
      <c r="AH253" s="28">
        <f aca="true" t="shared" si="248" ref="AH253:AH264">IF(AQ253="0",BJ253,0)</f>
        <v>0</v>
      </c>
      <c r="AI253" s="21" t="s">
        <v>334</v>
      </c>
      <c r="AJ253" s="28">
        <f aca="true" t="shared" si="249" ref="AJ253:AJ264">IF(AN253=0,I253,0)</f>
        <v>0</v>
      </c>
      <c r="AK253" s="28">
        <f aca="true" t="shared" si="250" ref="AK253:AK264">IF(AN253=12,I253,0)</f>
        <v>0</v>
      </c>
      <c r="AL253" s="28">
        <f aca="true" t="shared" si="251" ref="AL253:AL264">IF(AN253=21,I253,0)</f>
        <v>0</v>
      </c>
      <c r="AN253" s="28">
        <v>21</v>
      </c>
      <c r="AO253" s="28">
        <f>H253*0</f>
        <v>0</v>
      </c>
      <c r="AP253" s="28">
        <f>H253*(1-0)</f>
        <v>0</v>
      </c>
      <c r="AQ253" s="30" t="s">
        <v>900</v>
      </c>
      <c r="AV253" s="28">
        <f aca="true" t="shared" si="252" ref="AV253:AV264">AW253+AX253</f>
        <v>0</v>
      </c>
      <c r="AW253" s="28">
        <f aca="true" t="shared" si="253" ref="AW253:AW264">G253*AO253</f>
        <v>0</v>
      </c>
      <c r="AX253" s="28">
        <f aca="true" t="shared" si="254" ref="AX253:AX264">G253*AP253</f>
        <v>0</v>
      </c>
      <c r="AY253" s="30" t="s">
        <v>562</v>
      </c>
      <c r="AZ253" s="30" t="s">
        <v>477</v>
      </c>
      <c r="BA253" s="21" t="s">
        <v>497</v>
      </c>
      <c r="BC253" s="28">
        <f aca="true" t="shared" si="255" ref="BC253:BC264">AW253+AX253</f>
        <v>0</v>
      </c>
      <c r="BD253" s="28">
        <f aca="true" t="shared" si="256" ref="BD253:BD264">H253/(100-BE253)*100</f>
        <v>0</v>
      </c>
      <c r="BE253" s="28">
        <v>0</v>
      </c>
      <c r="BF253" s="28">
        <f>253</f>
        <v>253</v>
      </c>
      <c r="BH253" s="28">
        <f aca="true" t="shared" si="257" ref="BH253:BH264">G253*AO253</f>
        <v>0</v>
      </c>
      <c r="BI253" s="28">
        <f aca="true" t="shared" si="258" ref="BI253:BI264">G253*AP253</f>
        <v>0</v>
      </c>
      <c r="BJ253" s="28">
        <f aca="true" t="shared" si="259" ref="BJ253:BJ264">G253*H253</f>
        <v>0</v>
      </c>
      <c r="BK253" s="28"/>
      <c r="BL253" s="28">
        <v>722</v>
      </c>
      <c r="BW253" s="28">
        <v>21</v>
      </c>
    </row>
    <row r="254" spans="1:75" ht="13.5" customHeight="1">
      <c r="A254" s="38" t="s">
        <v>678</v>
      </c>
      <c r="B254" s="39" t="s">
        <v>334</v>
      </c>
      <c r="C254" s="39" t="s">
        <v>221</v>
      </c>
      <c r="D254" s="50" t="s">
        <v>892</v>
      </c>
      <c r="E254" s="51"/>
      <c r="F254" s="39" t="s">
        <v>741</v>
      </c>
      <c r="G254" s="28">
        <v>8</v>
      </c>
      <c r="H254" s="120">
        <v>0</v>
      </c>
      <c r="I254" s="120">
        <f t="shared" si="240"/>
        <v>0</v>
      </c>
      <c r="K254" s="8"/>
      <c r="Z254" s="28">
        <f t="shared" si="241"/>
        <v>0</v>
      </c>
      <c r="AB254" s="28">
        <f t="shared" si="242"/>
        <v>0</v>
      </c>
      <c r="AC254" s="28">
        <f t="shared" si="243"/>
        <v>0</v>
      </c>
      <c r="AD254" s="28">
        <f t="shared" si="244"/>
        <v>0</v>
      </c>
      <c r="AE254" s="28">
        <f t="shared" si="245"/>
        <v>0</v>
      </c>
      <c r="AF254" s="28">
        <f t="shared" si="246"/>
        <v>0</v>
      </c>
      <c r="AG254" s="28">
        <f t="shared" si="247"/>
        <v>0</v>
      </c>
      <c r="AH254" s="28">
        <f t="shared" si="248"/>
        <v>0</v>
      </c>
      <c r="AI254" s="21" t="s">
        <v>334</v>
      </c>
      <c r="AJ254" s="28">
        <f t="shared" si="249"/>
        <v>0</v>
      </c>
      <c r="AK254" s="28">
        <f t="shared" si="250"/>
        <v>0</v>
      </c>
      <c r="AL254" s="28">
        <f t="shared" si="251"/>
        <v>0</v>
      </c>
      <c r="AN254" s="28">
        <v>21</v>
      </c>
      <c r="AO254" s="28">
        <f>H254*0</f>
        <v>0</v>
      </c>
      <c r="AP254" s="28">
        <f>H254*(1-0)</f>
        <v>0</v>
      </c>
      <c r="AQ254" s="30" t="s">
        <v>900</v>
      </c>
      <c r="AV254" s="28">
        <f t="shared" si="252"/>
        <v>0</v>
      </c>
      <c r="AW254" s="28">
        <f t="shared" si="253"/>
        <v>0</v>
      </c>
      <c r="AX254" s="28">
        <f t="shared" si="254"/>
        <v>0</v>
      </c>
      <c r="AY254" s="30" t="s">
        <v>562</v>
      </c>
      <c r="AZ254" s="30" t="s">
        <v>477</v>
      </c>
      <c r="BA254" s="21" t="s">
        <v>497</v>
      </c>
      <c r="BC254" s="28">
        <f t="shared" si="255"/>
        <v>0</v>
      </c>
      <c r="BD254" s="28">
        <f t="shared" si="256"/>
        <v>0</v>
      </c>
      <c r="BE254" s="28">
        <v>0</v>
      </c>
      <c r="BF254" s="28">
        <f>254</f>
        <v>254</v>
      </c>
      <c r="BH254" s="28">
        <f t="shared" si="257"/>
        <v>0</v>
      </c>
      <c r="BI254" s="28">
        <f t="shared" si="258"/>
        <v>0</v>
      </c>
      <c r="BJ254" s="28">
        <f t="shared" si="259"/>
        <v>0</v>
      </c>
      <c r="BK254" s="28"/>
      <c r="BL254" s="28">
        <v>722</v>
      </c>
      <c r="BW254" s="28">
        <v>21</v>
      </c>
    </row>
    <row r="255" spans="1:75" ht="13.5" customHeight="1">
      <c r="A255" s="38" t="s">
        <v>432</v>
      </c>
      <c r="B255" s="39" t="s">
        <v>334</v>
      </c>
      <c r="C255" s="39" t="s">
        <v>132</v>
      </c>
      <c r="D255" s="50" t="s">
        <v>240</v>
      </c>
      <c r="E255" s="51"/>
      <c r="F255" s="39" t="s">
        <v>228</v>
      </c>
      <c r="G255" s="28">
        <v>2</v>
      </c>
      <c r="H255" s="120">
        <v>0</v>
      </c>
      <c r="I255" s="120">
        <f t="shared" si="240"/>
        <v>0</v>
      </c>
      <c r="K255" s="8"/>
      <c r="Z255" s="28">
        <f t="shared" si="241"/>
        <v>0</v>
      </c>
      <c r="AB255" s="28">
        <f t="shared" si="242"/>
        <v>0</v>
      </c>
      <c r="AC255" s="28">
        <f t="shared" si="243"/>
        <v>0</v>
      </c>
      <c r="AD255" s="28">
        <f t="shared" si="244"/>
        <v>0</v>
      </c>
      <c r="AE255" s="28">
        <f t="shared" si="245"/>
        <v>0</v>
      </c>
      <c r="AF255" s="28">
        <f t="shared" si="246"/>
        <v>0</v>
      </c>
      <c r="AG255" s="28">
        <f t="shared" si="247"/>
        <v>0</v>
      </c>
      <c r="AH255" s="28">
        <f t="shared" si="248"/>
        <v>0</v>
      </c>
      <c r="AI255" s="21" t="s">
        <v>334</v>
      </c>
      <c r="AJ255" s="28">
        <f t="shared" si="249"/>
        <v>0</v>
      </c>
      <c r="AK255" s="28">
        <f t="shared" si="250"/>
        <v>0</v>
      </c>
      <c r="AL255" s="28">
        <f t="shared" si="251"/>
        <v>0</v>
      </c>
      <c r="AN255" s="28">
        <v>21</v>
      </c>
      <c r="AO255" s="28">
        <f>H255*0.635584415584416</f>
        <v>0</v>
      </c>
      <c r="AP255" s="28">
        <f>H255*(1-0.635584415584416)</f>
        <v>0</v>
      </c>
      <c r="AQ255" s="30" t="s">
        <v>900</v>
      </c>
      <c r="AV255" s="28">
        <f t="shared" si="252"/>
        <v>0</v>
      </c>
      <c r="AW255" s="28">
        <f t="shared" si="253"/>
        <v>0</v>
      </c>
      <c r="AX255" s="28">
        <f t="shared" si="254"/>
        <v>0</v>
      </c>
      <c r="AY255" s="30" t="s">
        <v>562</v>
      </c>
      <c r="AZ255" s="30" t="s">
        <v>477</v>
      </c>
      <c r="BA255" s="21" t="s">
        <v>497</v>
      </c>
      <c r="BC255" s="28">
        <f t="shared" si="255"/>
        <v>0</v>
      </c>
      <c r="BD255" s="28">
        <f t="shared" si="256"/>
        <v>0</v>
      </c>
      <c r="BE255" s="28">
        <v>0</v>
      </c>
      <c r="BF255" s="28">
        <f>255</f>
        <v>255</v>
      </c>
      <c r="BH255" s="28">
        <f t="shared" si="257"/>
        <v>0</v>
      </c>
      <c r="BI255" s="28">
        <f t="shared" si="258"/>
        <v>0</v>
      </c>
      <c r="BJ255" s="28">
        <f t="shared" si="259"/>
        <v>0</v>
      </c>
      <c r="BK255" s="28"/>
      <c r="BL255" s="28">
        <v>722</v>
      </c>
      <c r="BW255" s="28">
        <v>21</v>
      </c>
    </row>
    <row r="256" spans="1:75" ht="13.5" customHeight="1">
      <c r="A256" s="38" t="s">
        <v>7</v>
      </c>
      <c r="B256" s="39" t="s">
        <v>334</v>
      </c>
      <c r="C256" s="39" t="s">
        <v>656</v>
      </c>
      <c r="D256" s="50" t="s">
        <v>1033</v>
      </c>
      <c r="E256" s="51"/>
      <c r="F256" s="39" t="s">
        <v>741</v>
      </c>
      <c r="G256" s="28">
        <v>8</v>
      </c>
      <c r="H256" s="120">
        <v>0</v>
      </c>
      <c r="I256" s="120">
        <f t="shared" si="240"/>
        <v>0</v>
      </c>
      <c r="K256" s="8"/>
      <c r="Z256" s="28">
        <f t="shared" si="241"/>
        <v>0</v>
      </c>
      <c r="AB256" s="28">
        <f t="shared" si="242"/>
        <v>0</v>
      </c>
      <c r="AC256" s="28">
        <f t="shared" si="243"/>
        <v>0</v>
      </c>
      <c r="AD256" s="28">
        <f t="shared" si="244"/>
        <v>0</v>
      </c>
      <c r="AE256" s="28">
        <f t="shared" si="245"/>
        <v>0</v>
      </c>
      <c r="AF256" s="28">
        <f t="shared" si="246"/>
        <v>0</v>
      </c>
      <c r="AG256" s="28">
        <f t="shared" si="247"/>
        <v>0</v>
      </c>
      <c r="AH256" s="28">
        <f t="shared" si="248"/>
        <v>0</v>
      </c>
      <c r="AI256" s="21" t="s">
        <v>334</v>
      </c>
      <c r="AJ256" s="28">
        <f t="shared" si="249"/>
        <v>0</v>
      </c>
      <c r="AK256" s="28">
        <f t="shared" si="250"/>
        <v>0</v>
      </c>
      <c r="AL256" s="28">
        <f t="shared" si="251"/>
        <v>0</v>
      </c>
      <c r="AN256" s="28">
        <v>21</v>
      </c>
      <c r="AO256" s="28">
        <f>H256*0.388270254929131</f>
        <v>0</v>
      </c>
      <c r="AP256" s="28">
        <f>H256*(1-0.388270254929131)</f>
        <v>0</v>
      </c>
      <c r="AQ256" s="30" t="s">
        <v>900</v>
      </c>
      <c r="AV256" s="28">
        <f t="shared" si="252"/>
        <v>0</v>
      </c>
      <c r="AW256" s="28">
        <f t="shared" si="253"/>
        <v>0</v>
      </c>
      <c r="AX256" s="28">
        <f t="shared" si="254"/>
        <v>0</v>
      </c>
      <c r="AY256" s="30" t="s">
        <v>562</v>
      </c>
      <c r="AZ256" s="30" t="s">
        <v>477</v>
      </c>
      <c r="BA256" s="21" t="s">
        <v>497</v>
      </c>
      <c r="BC256" s="28">
        <f t="shared" si="255"/>
        <v>0</v>
      </c>
      <c r="BD256" s="28">
        <f t="shared" si="256"/>
        <v>0</v>
      </c>
      <c r="BE256" s="28">
        <v>0</v>
      </c>
      <c r="BF256" s="28">
        <f>256</f>
        <v>256</v>
      </c>
      <c r="BH256" s="28">
        <f t="shared" si="257"/>
        <v>0</v>
      </c>
      <c r="BI256" s="28">
        <f t="shared" si="258"/>
        <v>0</v>
      </c>
      <c r="BJ256" s="28">
        <f t="shared" si="259"/>
        <v>0</v>
      </c>
      <c r="BK256" s="28"/>
      <c r="BL256" s="28">
        <v>722</v>
      </c>
      <c r="BW256" s="28">
        <v>21</v>
      </c>
    </row>
    <row r="257" spans="1:75" ht="13.5" customHeight="1">
      <c r="A257" s="38" t="s">
        <v>363</v>
      </c>
      <c r="B257" s="39" t="s">
        <v>334</v>
      </c>
      <c r="C257" s="39" t="s">
        <v>88</v>
      </c>
      <c r="D257" s="50" t="s">
        <v>1062</v>
      </c>
      <c r="E257" s="51"/>
      <c r="F257" s="39" t="s">
        <v>741</v>
      </c>
      <c r="G257" s="28">
        <v>4</v>
      </c>
      <c r="H257" s="120">
        <v>0</v>
      </c>
      <c r="I257" s="120">
        <f t="shared" si="240"/>
        <v>0</v>
      </c>
      <c r="K257" s="8"/>
      <c r="Z257" s="28">
        <f t="shared" si="241"/>
        <v>0</v>
      </c>
      <c r="AB257" s="28">
        <f t="shared" si="242"/>
        <v>0</v>
      </c>
      <c r="AC257" s="28">
        <f t="shared" si="243"/>
        <v>0</v>
      </c>
      <c r="AD257" s="28">
        <f t="shared" si="244"/>
        <v>0</v>
      </c>
      <c r="AE257" s="28">
        <f t="shared" si="245"/>
        <v>0</v>
      </c>
      <c r="AF257" s="28">
        <f t="shared" si="246"/>
        <v>0</v>
      </c>
      <c r="AG257" s="28">
        <f t="shared" si="247"/>
        <v>0</v>
      </c>
      <c r="AH257" s="28">
        <f t="shared" si="248"/>
        <v>0</v>
      </c>
      <c r="AI257" s="21" t="s">
        <v>334</v>
      </c>
      <c r="AJ257" s="28">
        <f t="shared" si="249"/>
        <v>0</v>
      </c>
      <c r="AK257" s="28">
        <f t="shared" si="250"/>
        <v>0</v>
      </c>
      <c r="AL257" s="28">
        <f t="shared" si="251"/>
        <v>0</v>
      </c>
      <c r="AN257" s="28">
        <v>21</v>
      </c>
      <c r="AO257" s="28">
        <f>H257*0.628405063291139</f>
        <v>0</v>
      </c>
      <c r="AP257" s="28">
        <f>H257*(1-0.628405063291139)</f>
        <v>0</v>
      </c>
      <c r="AQ257" s="30" t="s">
        <v>900</v>
      </c>
      <c r="AV257" s="28">
        <f t="shared" si="252"/>
        <v>0</v>
      </c>
      <c r="AW257" s="28">
        <f t="shared" si="253"/>
        <v>0</v>
      </c>
      <c r="AX257" s="28">
        <f t="shared" si="254"/>
        <v>0</v>
      </c>
      <c r="AY257" s="30" t="s">
        <v>562</v>
      </c>
      <c r="AZ257" s="30" t="s">
        <v>477</v>
      </c>
      <c r="BA257" s="21" t="s">
        <v>497</v>
      </c>
      <c r="BC257" s="28">
        <f t="shared" si="255"/>
        <v>0</v>
      </c>
      <c r="BD257" s="28">
        <f t="shared" si="256"/>
        <v>0</v>
      </c>
      <c r="BE257" s="28">
        <v>0</v>
      </c>
      <c r="BF257" s="28">
        <f>257</f>
        <v>257</v>
      </c>
      <c r="BH257" s="28">
        <f t="shared" si="257"/>
        <v>0</v>
      </c>
      <c r="BI257" s="28">
        <f t="shared" si="258"/>
        <v>0</v>
      </c>
      <c r="BJ257" s="28">
        <f t="shared" si="259"/>
        <v>0</v>
      </c>
      <c r="BK257" s="28"/>
      <c r="BL257" s="28">
        <v>722</v>
      </c>
      <c r="BW257" s="28">
        <v>21</v>
      </c>
    </row>
    <row r="258" spans="1:75" ht="13.5" customHeight="1">
      <c r="A258" s="38" t="s">
        <v>298</v>
      </c>
      <c r="B258" s="39" t="s">
        <v>334</v>
      </c>
      <c r="C258" s="39" t="s">
        <v>946</v>
      </c>
      <c r="D258" s="50" t="s">
        <v>1063</v>
      </c>
      <c r="E258" s="51"/>
      <c r="F258" s="39" t="s">
        <v>741</v>
      </c>
      <c r="G258" s="28">
        <v>4</v>
      </c>
      <c r="H258" s="120">
        <v>0</v>
      </c>
      <c r="I258" s="120">
        <f t="shared" si="240"/>
        <v>0</v>
      </c>
      <c r="K258" s="8"/>
      <c r="Z258" s="28">
        <f t="shared" si="241"/>
        <v>0</v>
      </c>
      <c r="AB258" s="28">
        <f t="shared" si="242"/>
        <v>0</v>
      </c>
      <c r="AC258" s="28">
        <f t="shared" si="243"/>
        <v>0</v>
      </c>
      <c r="AD258" s="28">
        <f t="shared" si="244"/>
        <v>0</v>
      </c>
      <c r="AE258" s="28">
        <f t="shared" si="245"/>
        <v>0</v>
      </c>
      <c r="AF258" s="28">
        <f t="shared" si="246"/>
        <v>0</v>
      </c>
      <c r="AG258" s="28">
        <f t="shared" si="247"/>
        <v>0</v>
      </c>
      <c r="AH258" s="28">
        <f t="shared" si="248"/>
        <v>0</v>
      </c>
      <c r="AI258" s="21" t="s">
        <v>334</v>
      </c>
      <c r="AJ258" s="28">
        <f t="shared" si="249"/>
        <v>0</v>
      </c>
      <c r="AK258" s="28">
        <f t="shared" si="250"/>
        <v>0</v>
      </c>
      <c r="AL258" s="28">
        <f t="shared" si="251"/>
        <v>0</v>
      </c>
      <c r="AN258" s="28">
        <v>21</v>
      </c>
      <c r="AO258" s="28">
        <f>H258*0.373931824584468</f>
        <v>0</v>
      </c>
      <c r="AP258" s="28">
        <f>H258*(1-0.373931824584468)</f>
        <v>0</v>
      </c>
      <c r="AQ258" s="30" t="s">
        <v>900</v>
      </c>
      <c r="AV258" s="28">
        <f t="shared" si="252"/>
        <v>0</v>
      </c>
      <c r="AW258" s="28">
        <f t="shared" si="253"/>
        <v>0</v>
      </c>
      <c r="AX258" s="28">
        <f t="shared" si="254"/>
        <v>0</v>
      </c>
      <c r="AY258" s="30" t="s">
        <v>562</v>
      </c>
      <c r="AZ258" s="30" t="s">
        <v>477</v>
      </c>
      <c r="BA258" s="21" t="s">
        <v>497</v>
      </c>
      <c r="BC258" s="28">
        <f t="shared" si="255"/>
        <v>0</v>
      </c>
      <c r="BD258" s="28">
        <f t="shared" si="256"/>
        <v>0</v>
      </c>
      <c r="BE258" s="28">
        <v>0</v>
      </c>
      <c r="BF258" s="28">
        <f>258</f>
        <v>258</v>
      </c>
      <c r="BH258" s="28">
        <f t="shared" si="257"/>
        <v>0</v>
      </c>
      <c r="BI258" s="28">
        <f t="shared" si="258"/>
        <v>0</v>
      </c>
      <c r="BJ258" s="28">
        <f t="shared" si="259"/>
        <v>0</v>
      </c>
      <c r="BK258" s="28"/>
      <c r="BL258" s="28">
        <v>722</v>
      </c>
      <c r="BW258" s="28">
        <v>21</v>
      </c>
    </row>
    <row r="259" spans="1:75" ht="13.5" customHeight="1">
      <c r="A259" s="38" t="s">
        <v>952</v>
      </c>
      <c r="B259" s="39" t="s">
        <v>334</v>
      </c>
      <c r="C259" s="39" t="s">
        <v>156</v>
      </c>
      <c r="D259" s="50" t="s">
        <v>330</v>
      </c>
      <c r="E259" s="51"/>
      <c r="F259" s="39" t="s">
        <v>228</v>
      </c>
      <c r="G259" s="28">
        <v>1</v>
      </c>
      <c r="H259" s="120">
        <v>0</v>
      </c>
      <c r="I259" s="120">
        <f t="shared" si="240"/>
        <v>0</v>
      </c>
      <c r="K259" s="8"/>
      <c r="Z259" s="28">
        <f t="shared" si="241"/>
        <v>0</v>
      </c>
      <c r="AB259" s="28">
        <f t="shared" si="242"/>
        <v>0</v>
      </c>
      <c r="AC259" s="28">
        <f t="shared" si="243"/>
        <v>0</v>
      </c>
      <c r="AD259" s="28">
        <f t="shared" si="244"/>
        <v>0</v>
      </c>
      <c r="AE259" s="28">
        <f t="shared" si="245"/>
        <v>0</v>
      </c>
      <c r="AF259" s="28">
        <f t="shared" si="246"/>
        <v>0</v>
      </c>
      <c r="AG259" s="28">
        <f t="shared" si="247"/>
        <v>0</v>
      </c>
      <c r="AH259" s="28">
        <f t="shared" si="248"/>
        <v>0</v>
      </c>
      <c r="AI259" s="21" t="s">
        <v>334</v>
      </c>
      <c r="AJ259" s="28">
        <f t="shared" si="249"/>
        <v>0</v>
      </c>
      <c r="AK259" s="28">
        <f t="shared" si="250"/>
        <v>0</v>
      </c>
      <c r="AL259" s="28">
        <f t="shared" si="251"/>
        <v>0</v>
      </c>
      <c r="AN259" s="28">
        <v>21</v>
      </c>
      <c r="AO259" s="28">
        <f>H259*0.945809322033898</f>
        <v>0</v>
      </c>
      <c r="AP259" s="28">
        <f>H259*(1-0.945809322033898)</f>
        <v>0</v>
      </c>
      <c r="AQ259" s="30" t="s">
        <v>900</v>
      </c>
      <c r="AV259" s="28">
        <f t="shared" si="252"/>
        <v>0</v>
      </c>
      <c r="AW259" s="28">
        <f t="shared" si="253"/>
        <v>0</v>
      </c>
      <c r="AX259" s="28">
        <f t="shared" si="254"/>
        <v>0</v>
      </c>
      <c r="AY259" s="30" t="s">
        <v>562</v>
      </c>
      <c r="AZ259" s="30" t="s">
        <v>477</v>
      </c>
      <c r="BA259" s="21" t="s">
        <v>497</v>
      </c>
      <c r="BC259" s="28">
        <f t="shared" si="255"/>
        <v>0</v>
      </c>
      <c r="BD259" s="28">
        <f t="shared" si="256"/>
        <v>0</v>
      </c>
      <c r="BE259" s="28">
        <v>0</v>
      </c>
      <c r="BF259" s="28">
        <f>259</f>
        <v>259</v>
      </c>
      <c r="BH259" s="28">
        <f t="shared" si="257"/>
        <v>0</v>
      </c>
      <c r="BI259" s="28">
        <f t="shared" si="258"/>
        <v>0</v>
      </c>
      <c r="BJ259" s="28">
        <f t="shared" si="259"/>
        <v>0</v>
      </c>
      <c r="BK259" s="28"/>
      <c r="BL259" s="28">
        <v>722</v>
      </c>
      <c r="BW259" s="28">
        <v>21</v>
      </c>
    </row>
    <row r="260" spans="1:75" ht="13.5" customHeight="1">
      <c r="A260" s="38" t="s">
        <v>495</v>
      </c>
      <c r="B260" s="39" t="s">
        <v>334</v>
      </c>
      <c r="C260" s="39" t="s">
        <v>735</v>
      </c>
      <c r="D260" s="50" t="s">
        <v>285</v>
      </c>
      <c r="E260" s="51"/>
      <c r="F260" s="39" t="s">
        <v>228</v>
      </c>
      <c r="G260" s="28">
        <v>1</v>
      </c>
      <c r="H260" s="120">
        <v>0</v>
      </c>
      <c r="I260" s="120">
        <f t="shared" si="240"/>
        <v>0</v>
      </c>
      <c r="K260" s="8"/>
      <c r="Z260" s="28">
        <f t="shared" si="241"/>
        <v>0</v>
      </c>
      <c r="AB260" s="28">
        <f t="shared" si="242"/>
        <v>0</v>
      </c>
      <c r="AC260" s="28">
        <f t="shared" si="243"/>
        <v>0</v>
      </c>
      <c r="AD260" s="28">
        <f t="shared" si="244"/>
        <v>0</v>
      </c>
      <c r="AE260" s="28">
        <f t="shared" si="245"/>
        <v>0</v>
      </c>
      <c r="AF260" s="28">
        <f t="shared" si="246"/>
        <v>0</v>
      </c>
      <c r="AG260" s="28">
        <f t="shared" si="247"/>
        <v>0</v>
      </c>
      <c r="AH260" s="28">
        <f t="shared" si="248"/>
        <v>0</v>
      </c>
      <c r="AI260" s="21" t="s">
        <v>334</v>
      </c>
      <c r="AJ260" s="28">
        <f t="shared" si="249"/>
        <v>0</v>
      </c>
      <c r="AK260" s="28">
        <f t="shared" si="250"/>
        <v>0</v>
      </c>
      <c r="AL260" s="28">
        <f t="shared" si="251"/>
        <v>0</v>
      </c>
      <c r="AN260" s="28">
        <v>21</v>
      </c>
      <c r="AO260" s="28">
        <f>H260*0.963329388560158</f>
        <v>0</v>
      </c>
      <c r="AP260" s="28">
        <f>H260*(1-0.963329388560158)</f>
        <v>0</v>
      </c>
      <c r="AQ260" s="30" t="s">
        <v>900</v>
      </c>
      <c r="AV260" s="28">
        <f t="shared" si="252"/>
        <v>0</v>
      </c>
      <c r="AW260" s="28">
        <f t="shared" si="253"/>
        <v>0</v>
      </c>
      <c r="AX260" s="28">
        <f t="shared" si="254"/>
        <v>0</v>
      </c>
      <c r="AY260" s="30" t="s">
        <v>562</v>
      </c>
      <c r="AZ260" s="30" t="s">
        <v>477</v>
      </c>
      <c r="BA260" s="21" t="s">
        <v>497</v>
      </c>
      <c r="BC260" s="28">
        <f t="shared" si="255"/>
        <v>0</v>
      </c>
      <c r="BD260" s="28">
        <f t="shared" si="256"/>
        <v>0</v>
      </c>
      <c r="BE260" s="28">
        <v>0</v>
      </c>
      <c r="BF260" s="28">
        <f>260</f>
        <v>260</v>
      </c>
      <c r="BH260" s="28">
        <f t="shared" si="257"/>
        <v>0</v>
      </c>
      <c r="BI260" s="28">
        <f t="shared" si="258"/>
        <v>0</v>
      </c>
      <c r="BJ260" s="28">
        <f t="shared" si="259"/>
        <v>0</v>
      </c>
      <c r="BK260" s="28"/>
      <c r="BL260" s="28">
        <v>722</v>
      </c>
      <c r="BW260" s="28">
        <v>21</v>
      </c>
    </row>
    <row r="261" spans="1:75" ht="13.5" customHeight="1">
      <c r="A261" s="38" t="s">
        <v>457</v>
      </c>
      <c r="B261" s="39" t="s">
        <v>334</v>
      </c>
      <c r="C261" s="39" t="s">
        <v>119</v>
      </c>
      <c r="D261" s="50" t="s">
        <v>1039</v>
      </c>
      <c r="E261" s="51"/>
      <c r="F261" s="39" t="s">
        <v>228</v>
      </c>
      <c r="G261" s="28">
        <v>4</v>
      </c>
      <c r="H261" s="120">
        <v>0</v>
      </c>
      <c r="I261" s="120">
        <f t="shared" si="240"/>
        <v>0</v>
      </c>
      <c r="K261" s="8"/>
      <c r="Z261" s="28">
        <f t="shared" si="241"/>
        <v>0</v>
      </c>
      <c r="AB261" s="28">
        <f t="shared" si="242"/>
        <v>0</v>
      </c>
      <c r="AC261" s="28">
        <f t="shared" si="243"/>
        <v>0</v>
      </c>
      <c r="AD261" s="28">
        <f t="shared" si="244"/>
        <v>0</v>
      </c>
      <c r="AE261" s="28">
        <f t="shared" si="245"/>
        <v>0</v>
      </c>
      <c r="AF261" s="28">
        <f t="shared" si="246"/>
        <v>0</v>
      </c>
      <c r="AG261" s="28">
        <f t="shared" si="247"/>
        <v>0</v>
      </c>
      <c r="AH261" s="28">
        <f t="shared" si="248"/>
        <v>0</v>
      </c>
      <c r="AI261" s="21" t="s">
        <v>334</v>
      </c>
      <c r="AJ261" s="28">
        <f t="shared" si="249"/>
        <v>0</v>
      </c>
      <c r="AK261" s="28">
        <f t="shared" si="250"/>
        <v>0</v>
      </c>
      <c r="AL261" s="28">
        <f t="shared" si="251"/>
        <v>0</v>
      </c>
      <c r="AN261" s="28">
        <v>21</v>
      </c>
      <c r="AO261" s="28">
        <f>H261*0.767472727272727</f>
        <v>0</v>
      </c>
      <c r="AP261" s="28">
        <f>H261*(1-0.767472727272727)</f>
        <v>0</v>
      </c>
      <c r="AQ261" s="30" t="s">
        <v>900</v>
      </c>
      <c r="AV261" s="28">
        <f t="shared" si="252"/>
        <v>0</v>
      </c>
      <c r="AW261" s="28">
        <f t="shared" si="253"/>
        <v>0</v>
      </c>
      <c r="AX261" s="28">
        <f t="shared" si="254"/>
        <v>0</v>
      </c>
      <c r="AY261" s="30" t="s">
        <v>562</v>
      </c>
      <c r="AZ261" s="30" t="s">
        <v>477</v>
      </c>
      <c r="BA261" s="21" t="s">
        <v>497</v>
      </c>
      <c r="BC261" s="28">
        <f t="shared" si="255"/>
        <v>0</v>
      </c>
      <c r="BD261" s="28">
        <f t="shared" si="256"/>
        <v>0</v>
      </c>
      <c r="BE261" s="28">
        <v>0</v>
      </c>
      <c r="BF261" s="28">
        <f>261</f>
        <v>261</v>
      </c>
      <c r="BH261" s="28">
        <f t="shared" si="257"/>
        <v>0</v>
      </c>
      <c r="BI261" s="28">
        <f t="shared" si="258"/>
        <v>0</v>
      </c>
      <c r="BJ261" s="28">
        <f t="shared" si="259"/>
        <v>0</v>
      </c>
      <c r="BK261" s="28"/>
      <c r="BL261" s="28">
        <v>722</v>
      </c>
      <c r="BW261" s="28">
        <v>21</v>
      </c>
    </row>
    <row r="262" spans="1:75" ht="13.5" customHeight="1">
      <c r="A262" s="38" t="s">
        <v>757</v>
      </c>
      <c r="B262" s="39" t="s">
        <v>334</v>
      </c>
      <c r="C262" s="39" t="s">
        <v>545</v>
      </c>
      <c r="D262" s="50" t="s">
        <v>1064</v>
      </c>
      <c r="E262" s="51"/>
      <c r="F262" s="39" t="s">
        <v>228</v>
      </c>
      <c r="G262" s="28">
        <v>1</v>
      </c>
      <c r="H262" s="120">
        <v>0</v>
      </c>
      <c r="I262" s="120">
        <f t="shared" si="240"/>
        <v>0</v>
      </c>
      <c r="K262" s="8"/>
      <c r="Z262" s="28">
        <f t="shared" si="241"/>
        <v>0</v>
      </c>
      <c r="AB262" s="28">
        <f t="shared" si="242"/>
        <v>0</v>
      </c>
      <c r="AC262" s="28">
        <f t="shared" si="243"/>
        <v>0</v>
      </c>
      <c r="AD262" s="28">
        <f t="shared" si="244"/>
        <v>0</v>
      </c>
      <c r="AE262" s="28">
        <f t="shared" si="245"/>
        <v>0</v>
      </c>
      <c r="AF262" s="28">
        <f t="shared" si="246"/>
        <v>0</v>
      </c>
      <c r="AG262" s="28">
        <f t="shared" si="247"/>
        <v>0</v>
      </c>
      <c r="AH262" s="28">
        <f t="shared" si="248"/>
        <v>0</v>
      </c>
      <c r="AI262" s="21" t="s">
        <v>334</v>
      </c>
      <c r="AJ262" s="28">
        <f t="shared" si="249"/>
        <v>0</v>
      </c>
      <c r="AK262" s="28">
        <f t="shared" si="250"/>
        <v>0</v>
      </c>
      <c r="AL262" s="28">
        <f t="shared" si="251"/>
        <v>0</v>
      </c>
      <c r="AN262" s="28">
        <v>21</v>
      </c>
      <c r="AO262" s="28">
        <f>H262*0.869366700715015</f>
        <v>0</v>
      </c>
      <c r="AP262" s="28">
        <f>H262*(1-0.869366700715015)</f>
        <v>0</v>
      </c>
      <c r="AQ262" s="30" t="s">
        <v>900</v>
      </c>
      <c r="AV262" s="28">
        <f t="shared" si="252"/>
        <v>0</v>
      </c>
      <c r="AW262" s="28">
        <f t="shared" si="253"/>
        <v>0</v>
      </c>
      <c r="AX262" s="28">
        <f t="shared" si="254"/>
        <v>0</v>
      </c>
      <c r="AY262" s="30" t="s">
        <v>562</v>
      </c>
      <c r="AZ262" s="30" t="s">
        <v>477</v>
      </c>
      <c r="BA262" s="21" t="s">
        <v>497</v>
      </c>
      <c r="BC262" s="28">
        <f t="shared" si="255"/>
        <v>0</v>
      </c>
      <c r="BD262" s="28">
        <f t="shared" si="256"/>
        <v>0</v>
      </c>
      <c r="BE262" s="28">
        <v>0</v>
      </c>
      <c r="BF262" s="28">
        <f>262</f>
        <v>262</v>
      </c>
      <c r="BH262" s="28">
        <f t="shared" si="257"/>
        <v>0</v>
      </c>
      <c r="BI262" s="28">
        <f t="shared" si="258"/>
        <v>0</v>
      </c>
      <c r="BJ262" s="28">
        <f t="shared" si="259"/>
        <v>0</v>
      </c>
      <c r="BK262" s="28"/>
      <c r="BL262" s="28">
        <v>722</v>
      </c>
      <c r="BW262" s="28">
        <v>21</v>
      </c>
    </row>
    <row r="263" spans="1:75" ht="13.5" customHeight="1">
      <c r="A263" s="38" t="s">
        <v>833</v>
      </c>
      <c r="B263" s="39" t="s">
        <v>334</v>
      </c>
      <c r="C263" s="39" t="s">
        <v>796</v>
      </c>
      <c r="D263" s="50" t="s">
        <v>1065</v>
      </c>
      <c r="E263" s="51"/>
      <c r="F263" s="39" t="s">
        <v>228</v>
      </c>
      <c r="G263" s="28">
        <v>1</v>
      </c>
      <c r="H263" s="120">
        <v>0</v>
      </c>
      <c r="I263" s="120">
        <f t="shared" si="240"/>
        <v>0</v>
      </c>
      <c r="K263" s="8"/>
      <c r="Z263" s="28">
        <f t="shared" si="241"/>
        <v>0</v>
      </c>
      <c r="AB263" s="28">
        <f t="shared" si="242"/>
        <v>0</v>
      </c>
      <c r="AC263" s="28">
        <f t="shared" si="243"/>
        <v>0</v>
      </c>
      <c r="AD263" s="28">
        <f t="shared" si="244"/>
        <v>0</v>
      </c>
      <c r="AE263" s="28">
        <f t="shared" si="245"/>
        <v>0</v>
      </c>
      <c r="AF263" s="28">
        <f t="shared" si="246"/>
        <v>0</v>
      </c>
      <c r="AG263" s="28">
        <f t="shared" si="247"/>
        <v>0</v>
      </c>
      <c r="AH263" s="28">
        <f t="shared" si="248"/>
        <v>0</v>
      </c>
      <c r="AI263" s="21" t="s">
        <v>334</v>
      </c>
      <c r="AJ263" s="28">
        <f t="shared" si="249"/>
        <v>0</v>
      </c>
      <c r="AK263" s="28">
        <f t="shared" si="250"/>
        <v>0</v>
      </c>
      <c r="AL263" s="28">
        <f t="shared" si="251"/>
        <v>0</v>
      </c>
      <c r="AN263" s="28">
        <v>21</v>
      </c>
      <c r="AO263" s="28">
        <f>H263*0.767894736842105</f>
        <v>0</v>
      </c>
      <c r="AP263" s="28">
        <f>H263*(1-0.767894736842105)</f>
        <v>0</v>
      </c>
      <c r="AQ263" s="30" t="s">
        <v>900</v>
      </c>
      <c r="AV263" s="28">
        <f t="shared" si="252"/>
        <v>0</v>
      </c>
      <c r="AW263" s="28">
        <f t="shared" si="253"/>
        <v>0</v>
      </c>
      <c r="AX263" s="28">
        <f t="shared" si="254"/>
        <v>0</v>
      </c>
      <c r="AY263" s="30" t="s">
        <v>562</v>
      </c>
      <c r="AZ263" s="30" t="s">
        <v>477</v>
      </c>
      <c r="BA263" s="21" t="s">
        <v>497</v>
      </c>
      <c r="BC263" s="28">
        <f t="shared" si="255"/>
        <v>0</v>
      </c>
      <c r="BD263" s="28">
        <f t="shared" si="256"/>
        <v>0</v>
      </c>
      <c r="BE263" s="28">
        <v>0</v>
      </c>
      <c r="BF263" s="28">
        <f>263</f>
        <v>263</v>
      </c>
      <c r="BH263" s="28">
        <f t="shared" si="257"/>
        <v>0</v>
      </c>
      <c r="BI263" s="28">
        <f t="shared" si="258"/>
        <v>0</v>
      </c>
      <c r="BJ263" s="28">
        <f t="shared" si="259"/>
        <v>0</v>
      </c>
      <c r="BK263" s="28"/>
      <c r="BL263" s="28">
        <v>722</v>
      </c>
      <c r="BW263" s="28">
        <v>21</v>
      </c>
    </row>
    <row r="264" spans="1:75" ht="13.5" customHeight="1">
      <c r="A264" s="38" t="s">
        <v>895</v>
      </c>
      <c r="B264" s="39" t="s">
        <v>334</v>
      </c>
      <c r="C264" s="39" t="s">
        <v>901</v>
      </c>
      <c r="D264" s="50" t="s">
        <v>1066</v>
      </c>
      <c r="E264" s="51"/>
      <c r="F264" s="39" t="s">
        <v>228</v>
      </c>
      <c r="G264" s="28">
        <v>1</v>
      </c>
      <c r="H264" s="120">
        <v>0</v>
      </c>
      <c r="I264" s="120">
        <f t="shared" si="240"/>
        <v>0</v>
      </c>
      <c r="K264" s="8"/>
      <c r="Z264" s="28">
        <f t="shared" si="241"/>
        <v>0</v>
      </c>
      <c r="AB264" s="28">
        <f t="shared" si="242"/>
        <v>0</v>
      </c>
      <c r="AC264" s="28">
        <f t="shared" si="243"/>
        <v>0</v>
      </c>
      <c r="AD264" s="28">
        <f t="shared" si="244"/>
        <v>0</v>
      </c>
      <c r="AE264" s="28">
        <f t="shared" si="245"/>
        <v>0</v>
      </c>
      <c r="AF264" s="28">
        <f t="shared" si="246"/>
        <v>0</v>
      </c>
      <c r="AG264" s="28">
        <f t="shared" si="247"/>
        <v>0</v>
      </c>
      <c r="AH264" s="28">
        <f t="shared" si="248"/>
        <v>0</v>
      </c>
      <c r="AI264" s="21" t="s">
        <v>334</v>
      </c>
      <c r="AJ264" s="28">
        <f t="shared" si="249"/>
        <v>0</v>
      </c>
      <c r="AK264" s="28">
        <f t="shared" si="250"/>
        <v>0</v>
      </c>
      <c r="AL264" s="28">
        <f t="shared" si="251"/>
        <v>0</v>
      </c>
      <c r="AN264" s="28">
        <v>21</v>
      </c>
      <c r="AO264" s="28">
        <f>H264*0.901698693312836</f>
        <v>0</v>
      </c>
      <c r="AP264" s="28">
        <f>H264*(1-0.901698693312836)</f>
        <v>0</v>
      </c>
      <c r="AQ264" s="30" t="s">
        <v>900</v>
      </c>
      <c r="AV264" s="28">
        <f t="shared" si="252"/>
        <v>0</v>
      </c>
      <c r="AW264" s="28">
        <f t="shared" si="253"/>
        <v>0</v>
      </c>
      <c r="AX264" s="28">
        <f t="shared" si="254"/>
        <v>0</v>
      </c>
      <c r="AY264" s="30" t="s">
        <v>562</v>
      </c>
      <c r="AZ264" s="30" t="s">
        <v>477</v>
      </c>
      <c r="BA264" s="21" t="s">
        <v>497</v>
      </c>
      <c r="BC264" s="28">
        <f t="shared" si="255"/>
        <v>0</v>
      </c>
      <c r="BD264" s="28">
        <f t="shared" si="256"/>
        <v>0</v>
      </c>
      <c r="BE264" s="28">
        <v>0</v>
      </c>
      <c r="BF264" s="28">
        <f>264</f>
        <v>264</v>
      </c>
      <c r="BH264" s="28">
        <f t="shared" si="257"/>
        <v>0</v>
      </c>
      <c r="BI264" s="28">
        <f t="shared" si="258"/>
        <v>0</v>
      </c>
      <c r="BJ264" s="28">
        <f t="shared" si="259"/>
        <v>0</v>
      </c>
      <c r="BK264" s="28"/>
      <c r="BL264" s="28">
        <v>722</v>
      </c>
      <c r="BW264" s="28">
        <v>21</v>
      </c>
    </row>
    <row r="265" spans="1:47" ht="15" customHeight="1">
      <c r="A265" s="3" t="s">
        <v>626</v>
      </c>
      <c r="B265" s="43" t="s">
        <v>334</v>
      </c>
      <c r="C265" s="43" t="s">
        <v>550</v>
      </c>
      <c r="D265" s="103" t="s">
        <v>995</v>
      </c>
      <c r="E265" s="104"/>
      <c r="F265" s="37" t="s">
        <v>836</v>
      </c>
      <c r="G265" s="37" t="s">
        <v>836</v>
      </c>
      <c r="H265" s="118" t="s">
        <v>836</v>
      </c>
      <c r="I265" s="119">
        <f>SUM(I266:I266)</f>
        <v>0</v>
      </c>
      <c r="K265" s="8"/>
      <c r="AI265" s="21" t="s">
        <v>334</v>
      </c>
      <c r="AS265" s="31">
        <f>SUM(AJ266:AJ266)</f>
        <v>0</v>
      </c>
      <c r="AT265" s="31">
        <f>SUM(AK266:AK266)</f>
        <v>0</v>
      </c>
      <c r="AU265" s="31">
        <f>SUM(AL266:AL266)</f>
        <v>0</v>
      </c>
    </row>
    <row r="266" spans="1:75" ht="13.5" customHeight="1">
      <c r="A266" s="38" t="s">
        <v>609</v>
      </c>
      <c r="B266" s="39" t="s">
        <v>334</v>
      </c>
      <c r="C266" s="39" t="s">
        <v>759</v>
      </c>
      <c r="D266" s="50" t="s">
        <v>780</v>
      </c>
      <c r="E266" s="51"/>
      <c r="F266" s="39" t="s">
        <v>311</v>
      </c>
      <c r="G266" s="28">
        <v>1</v>
      </c>
      <c r="H266" s="120">
        <v>0</v>
      </c>
      <c r="I266" s="120">
        <f>G266*H266</f>
        <v>0</v>
      </c>
      <c r="K266" s="8"/>
      <c r="Z266" s="28">
        <f>IF(AQ266="5",BJ266,0)</f>
        <v>0</v>
      </c>
      <c r="AB266" s="28">
        <f>IF(AQ266="1",BH266,0)</f>
        <v>0</v>
      </c>
      <c r="AC266" s="28">
        <f>IF(AQ266="1",BI266,0)</f>
        <v>0</v>
      </c>
      <c r="AD266" s="28">
        <f>IF(AQ266="7",BH266,0)</f>
        <v>0</v>
      </c>
      <c r="AE266" s="28">
        <f>IF(AQ266="7",BI266,0)</f>
        <v>0</v>
      </c>
      <c r="AF266" s="28">
        <f>IF(AQ266="2",BH266,0)</f>
        <v>0</v>
      </c>
      <c r="AG266" s="28">
        <f>IF(AQ266="2",BI266,0)</f>
        <v>0</v>
      </c>
      <c r="AH266" s="28">
        <f>IF(AQ266="0",BJ266,0)</f>
        <v>0</v>
      </c>
      <c r="AI266" s="21" t="s">
        <v>334</v>
      </c>
      <c r="AJ266" s="28">
        <f>IF(AN266=0,I266,0)</f>
        <v>0</v>
      </c>
      <c r="AK266" s="28">
        <f>IF(AN266=12,I266,0)</f>
        <v>0</v>
      </c>
      <c r="AL266" s="28">
        <f>IF(AN266=21,I266,0)</f>
        <v>0</v>
      </c>
      <c r="AN266" s="28">
        <v>21</v>
      </c>
      <c r="AO266" s="28">
        <f>H266*0.346020761245675</f>
        <v>0</v>
      </c>
      <c r="AP266" s="28">
        <f>H266*(1-0.346020761245675)</f>
        <v>0</v>
      </c>
      <c r="AQ266" s="30" t="s">
        <v>900</v>
      </c>
      <c r="AV266" s="28">
        <f>AW266+AX266</f>
        <v>0</v>
      </c>
      <c r="AW266" s="28">
        <f>G266*AO266</f>
        <v>0</v>
      </c>
      <c r="AX266" s="28">
        <f>G266*AP266</f>
        <v>0</v>
      </c>
      <c r="AY266" s="30" t="s">
        <v>817</v>
      </c>
      <c r="AZ266" s="30" t="s">
        <v>183</v>
      </c>
      <c r="BA266" s="21" t="s">
        <v>497</v>
      </c>
      <c r="BC266" s="28">
        <f>AW266+AX266</f>
        <v>0</v>
      </c>
      <c r="BD266" s="28">
        <f>H266/(100-BE266)*100</f>
        <v>0</v>
      </c>
      <c r="BE266" s="28">
        <v>0</v>
      </c>
      <c r="BF266" s="28">
        <f>266</f>
        <v>266</v>
      </c>
      <c r="BH266" s="28">
        <f>G266*AO266</f>
        <v>0</v>
      </c>
      <c r="BI266" s="28">
        <f>G266*AP266</f>
        <v>0</v>
      </c>
      <c r="BJ266" s="28">
        <f>G266*H266</f>
        <v>0</v>
      </c>
      <c r="BK266" s="28"/>
      <c r="BL266" s="28">
        <v>73</v>
      </c>
      <c r="BW266" s="28">
        <v>21</v>
      </c>
    </row>
    <row r="267" spans="1:47" ht="15" customHeight="1">
      <c r="A267" s="3" t="s">
        <v>626</v>
      </c>
      <c r="B267" s="43" t="s">
        <v>334</v>
      </c>
      <c r="C267" s="43" t="s">
        <v>595</v>
      </c>
      <c r="D267" s="103" t="s">
        <v>898</v>
      </c>
      <c r="E267" s="104"/>
      <c r="F267" s="37" t="s">
        <v>836</v>
      </c>
      <c r="G267" s="37" t="s">
        <v>836</v>
      </c>
      <c r="H267" s="118" t="s">
        <v>836</v>
      </c>
      <c r="I267" s="119">
        <f>SUM(I268:I274)</f>
        <v>0</v>
      </c>
      <c r="K267" s="8"/>
      <c r="AI267" s="21" t="s">
        <v>334</v>
      </c>
      <c r="AS267" s="31">
        <f>SUM(AJ268:AJ274)</f>
        <v>0</v>
      </c>
      <c r="AT267" s="31">
        <f>SUM(AK268:AK274)</f>
        <v>0</v>
      </c>
      <c r="AU267" s="31">
        <f>SUM(AL268:AL274)</f>
        <v>0</v>
      </c>
    </row>
    <row r="268" spans="1:75" ht="13.5" customHeight="1">
      <c r="A268" s="38" t="s">
        <v>807</v>
      </c>
      <c r="B268" s="39" t="s">
        <v>334</v>
      </c>
      <c r="C268" s="39" t="s">
        <v>118</v>
      </c>
      <c r="D268" s="50" t="s">
        <v>325</v>
      </c>
      <c r="E268" s="51"/>
      <c r="F268" s="39" t="s">
        <v>311</v>
      </c>
      <c r="G268" s="28">
        <v>11</v>
      </c>
      <c r="H268" s="120">
        <v>0</v>
      </c>
      <c r="I268" s="120">
        <f aca="true" t="shared" si="260" ref="I268:I274">G268*H268</f>
        <v>0</v>
      </c>
      <c r="K268" s="8"/>
      <c r="Z268" s="28">
        <f aca="true" t="shared" si="261" ref="Z268:Z274">IF(AQ268="5",BJ268,0)</f>
        <v>0</v>
      </c>
      <c r="AB268" s="28">
        <f aca="true" t="shared" si="262" ref="AB268:AB274">IF(AQ268="1",BH268,0)</f>
        <v>0</v>
      </c>
      <c r="AC268" s="28">
        <f aca="true" t="shared" si="263" ref="AC268:AC274">IF(AQ268="1",BI268,0)</f>
        <v>0</v>
      </c>
      <c r="AD268" s="28">
        <f aca="true" t="shared" si="264" ref="AD268:AD274">IF(AQ268="7",BH268,0)</f>
        <v>0</v>
      </c>
      <c r="AE268" s="28">
        <f aca="true" t="shared" si="265" ref="AE268:AE274">IF(AQ268="7",BI268,0)</f>
        <v>0</v>
      </c>
      <c r="AF268" s="28">
        <f aca="true" t="shared" si="266" ref="AF268:AF274">IF(AQ268="2",BH268,0)</f>
        <v>0</v>
      </c>
      <c r="AG268" s="28">
        <f aca="true" t="shared" si="267" ref="AG268:AG274">IF(AQ268="2",BI268,0)</f>
        <v>0</v>
      </c>
      <c r="AH268" s="28">
        <f aca="true" t="shared" si="268" ref="AH268:AH274">IF(AQ268="0",BJ268,0)</f>
        <v>0</v>
      </c>
      <c r="AI268" s="21" t="s">
        <v>334</v>
      </c>
      <c r="AJ268" s="28">
        <f aca="true" t="shared" si="269" ref="AJ268:AJ274">IF(AN268=0,I268,0)</f>
        <v>0</v>
      </c>
      <c r="AK268" s="28">
        <f aca="true" t="shared" si="270" ref="AK268:AK274">IF(AN268=12,I268,0)</f>
        <v>0</v>
      </c>
      <c r="AL268" s="28">
        <f aca="true" t="shared" si="271" ref="AL268:AL274">IF(AN268=21,I268,0)</f>
        <v>0</v>
      </c>
      <c r="AN268" s="28">
        <v>21</v>
      </c>
      <c r="AO268" s="28">
        <f>H268*0.658518518518519</f>
        <v>0</v>
      </c>
      <c r="AP268" s="28">
        <f>H268*(1-0.658518518518519)</f>
        <v>0</v>
      </c>
      <c r="AQ268" s="30" t="s">
        <v>900</v>
      </c>
      <c r="AV268" s="28">
        <f aca="true" t="shared" si="272" ref="AV268:AV274">AW268+AX268</f>
        <v>0</v>
      </c>
      <c r="AW268" s="28">
        <f aca="true" t="shared" si="273" ref="AW268:AW274">G268*AO268</f>
        <v>0</v>
      </c>
      <c r="AX268" s="28">
        <f aca="true" t="shared" si="274" ref="AX268:AX274">G268*AP268</f>
        <v>0</v>
      </c>
      <c r="AY268" s="30" t="s">
        <v>399</v>
      </c>
      <c r="AZ268" s="30" t="s">
        <v>183</v>
      </c>
      <c r="BA268" s="21" t="s">
        <v>497</v>
      </c>
      <c r="BC268" s="28">
        <f aca="true" t="shared" si="275" ref="BC268:BC274">AW268+AX268</f>
        <v>0</v>
      </c>
      <c r="BD268" s="28">
        <f aca="true" t="shared" si="276" ref="BD268:BD274">H268/(100-BE268)*100</f>
        <v>0</v>
      </c>
      <c r="BE268" s="28">
        <v>0</v>
      </c>
      <c r="BF268" s="28">
        <f>268</f>
        <v>268</v>
      </c>
      <c r="BH268" s="28">
        <f aca="true" t="shared" si="277" ref="BH268:BH274">G268*AO268</f>
        <v>0</v>
      </c>
      <c r="BI268" s="28">
        <f aca="true" t="shared" si="278" ref="BI268:BI274">G268*AP268</f>
        <v>0</v>
      </c>
      <c r="BJ268" s="28">
        <f aca="true" t="shared" si="279" ref="BJ268:BJ274">G268*H268</f>
        <v>0</v>
      </c>
      <c r="BK268" s="28"/>
      <c r="BL268" s="28">
        <v>732</v>
      </c>
      <c r="BW268" s="28">
        <v>21</v>
      </c>
    </row>
    <row r="269" spans="1:75" ht="13.5" customHeight="1">
      <c r="A269" s="38" t="s">
        <v>20</v>
      </c>
      <c r="B269" s="39" t="s">
        <v>334</v>
      </c>
      <c r="C269" s="39" t="s">
        <v>703</v>
      </c>
      <c r="D269" s="50" t="s">
        <v>666</v>
      </c>
      <c r="E269" s="51"/>
      <c r="F269" s="39" t="s">
        <v>741</v>
      </c>
      <c r="G269" s="28">
        <v>2</v>
      </c>
      <c r="H269" s="120">
        <v>0</v>
      </c>
      <c r="I269" s="120">
        <f t="shared" si="260"/>
        <v>0</v>
      </c>
      <c r="K269" s="8"/>
      <c r="Z269" s="28">
        <f t="shared" si="261"/>
        <v>0</v>
      </c>
      <c r="AB269" s="28">
        <f t="shared" si="262"/>
        <v>0</v>
      </c>
      <c r="AC269" s="28">
        <f t="shared" si="263"/>
        <v>0</v>
      </c>
      <c r="AD269" s="28">
        <f t="shared" si="264"/>
        <v>0</v>
      </c>
      <c r="AE269" s="28">
        <f t="shared" si="265"/>
        <v>0</v>
      </c>
      <c r="AF269" s="28">
        <f t="shared" si="266"/>
        <v>0</v>
      </c>
      <c r="AG269" s="28">
        <f t="shared" si="267"/>
        <v>0</v>
      </c>
      <c r="AH269" s="28">
        <f t="shared" si="268"/>
        <v>0</v>
      </c>
      <c r="AI269" s="21" t="s">
        <v>334</v>
      </c>
      <c r="AJ269" s="28">
        <f t="shared" si="269"/>
        <v>0</v>
      </c>
      <c r="AK269" s="28">
        <f t="shared" si="270"/>
        <v>0</v>
      </c>
      <c r="AL269" s="28">
        <f t="shared" si="271"/>
        <v>0</v>
      </c>
      <c r="AN269" s="28">
        <v>21</v>
      </c>
      <c r="AO269" s="28">
        <f>H269*0</f>
        <v>0</v>
      </c>
      <c r="AP269" s="28">
        <f>H269*(1-0)</f>
        <v>0</v>
      </c>
      <c r="AQ269" s="30" t="s">
        <v>900</v>
      </c>
      <c r="AV269" s="28">
        <f t="shared" si="272"/>
        <v>0</v>
      </c>
      <c r="AW269" s="28">
        <f t="shared" si="273"/>
        <v>0</v>
      </c>
      <c r="AX269" s="28">
        <f t="shared" si="274"/>
        <v>0</v>
      </c>
      <c r="AY269" s="30" t="s">
        <v>399</v>
      </c>
      <c r="AZ269" s="30" t="s">
        <v>183</v>
      </c>
      <c r="BA269" s="21" t="s">
        <v>497</v>
      </c>
      <c r="BC269" s="28">
        <f t="shared" si="275"/>
        <v>0</v>
      </c>
      <c r="BD269" s="28">
        <f t="shared" si="276"/>
        <v>0</v>
      </c>
      <c r="BE269" s="28">
        <v>0</v>
      </c>
      <c r="BF269" s="28">
        <f>269</f>
        <v>269</v>
      </c>
      <c r="BH269" s="28">
        <f t="shared" si="277"/>
        <v>0</v>
      </c>
      <c r="BI269" s="28">
        <f t="shared" si="278"/>
        <v>0</v>
      </c>
      <c r="BJ269" s="28">
        <f t="shared" si="279"/>
        <v>0</v>
      </c>
      <c r="BK269" s="28"/>
      <c r="BL269" s="28">
        <v>732</v>
      </c>
      <c r="BW269" s="28">
        <v>21</v>
      </c>
    </row>
    <row r="270" spans="1:75" ht="13.5" customHeight="1">
      <c r="A270" s="38" t="s">
        <v>957</v>
      </c>
      <c r="B270" s="39" t="s">
        <v>334</v>
      </c>
      <c r="C270" s="39" t="s">
        <v>117</v>
      </c>
      <c r="D270" s="50" t="s">
        <v>34</v>
      </c>
      <c r="E270" s="51"/>
      <c r="F270" s="39" t="s">
        <v>228</v>
      </c>
      <c r="G270" s="28">
        <v>1</v>
      </c>
      <c r="H270" s="120">
        <v>0</v>
      </c>
      <c r="I270" s="120">
        <f t="shared" si="260"/>
        <v>0</v>
      </c>
      <c r="K270" s="8"/>
      <c r="Z270" s="28">
        <f t="shared" si="261"/>
        <v>0</v>
      </c>
      <c r="AB270" s="28">
        <f t="shared" si="262"/>
        <v>0</v>
      </c>
      <c r="AC270" s="28">
        <f t="shared" si="263"/>
        <v>0</v>
      </c>
      <c r="AD270" s="28">
        <f t="shared" si="264"/>
        <v>0</v>
      </c>
      <c r="AE270" s="28">
        <f t="shared" si="265"/>
        <v>0</v>
      </c>
      <c r="AF270" s="28">
        <f t="shared" si="266"/>
        <v>0</v>
      </c>
      <c r="AG270" s="28">
        <f t="shared" si="267"/>
        <v>0</v>
      </c>
      <c r="AH270" s="28">
        <f t="shared" si="268"/>
        <v>0</v>
      </c>
      <c r="AI270" s="21" t="s">
        <v>334</v>
      </c>
      <c r="AJ270" s="28">
        <f t="shared" si="269"/>
        <v>0</v>
      </c>
      <c r="AK270" s="28">
        <f t="shared" si="270"/>
        <v>0</v>
      </c>
      <c r="AL270" s="28">
        <f t="shared" si="271"/>
        <v>0</v>
      </c>
      <c r="AN270" s="28">
        <v>21</v>
      </c>
      <c r="AO270" s="28">
        <f>H270*0.674383346425766</f>
        <v>0</v>
      </c>
      <c r="AP270" s="28">
        <f>H270*(1-0.674383346425766)</f>
        <v>0</v>
      </c>
      <c r="AQ270" s="30" t="s">
        <v>900</v>
      </c>
      <c r="AV270" s="28">
        <f t="shared" si="272"/>
        <v>0</v>
      </c>
      <c r="AW270" s="28">
        <f t="shared" si="273"/>
        <v>0</v>
      </c>
      <c r="AX270" s="28">
        <f t="shared" si="274"/>
        <v>0</v>
      </c>
      <c r="AY270" s="30" t="s">
        <v>399</v>
      </c>
      <c r="AZ270" s="30" t="s">
        <v>183</v>
      </c>
      <c r="BA270" s="21" t="s">
        <v>497</v>
      </c>
      <c r="BC270" s="28">
        <f t="shared" si="275"/>
        <v>0</v>
      </c>
      <c r="BD270" s="28">
        <f t="shared" si="276"/>
        <v>0</v>
      </c>
      <c r="BE270" s="28">
        <v>0</v>
      </c>
      <c r="BF270" s="28">
        <f>270</f>
        <v>270</v>
      </c>
      <c r="BH270" s="28">
        <f t="shared" si="277"/>
        <v>0</v>
      </c>
      <c r="BI270" s="28">
        <f t="shared" si="278"/>
        <v>0</v>
      </c>
      <c r="BJ270" s="28">
        <f t="shared" si="279"/>
        <v>0</v>
      </c>
      <c r="BK270" s="28"/>
      <c r="BL270" s="28">
        <v>732</v>
      </c>
      <c r="BW270" s="28">
        <v>21</v>
      </c>
    </row>
    <row r="271" spans="1:75" ht="13.5" customHeight="1">
      <c r="A271" s="38" t="s">
        <v>676</v>
      </c>
      <c r="B271" s="39" t="s">
        <v>334</v>
      </c>
      <c r="C271" s="39" t="s">
        <v>290</v>
      </c>
      <c r="D271" s="50" t="s">
        <v>886</v>
      </c>
      <c r="E271" s="51"/>
      <c r="F271" s="39" t="s">
        <v>228</v>
      </c>
      <c r="G271" s="28">
        <v>2</v>
      </c>
      <c r="H271" s="120">
        <v>0</v>
      </c>
      <c r="I271" s="120">
        <f t="shared" si="260"/>
        <v>0</v>
      </c>
      <c r="K271" s="8"/>
      <c r="Z271" s="28">
        <f t="shared" si="261"/>
        <v>0</v>
      </c>
      <c r="AB271" s="28">
        <f t="shared" si="262"/>
        <v>0</v>
      </c>
      <c r="AC271" s="28">
        <f t="shared" si="263"/>
        <v>0</v>
      </c>
      <c r="AD271" s="28">
        <f t="shared" si="264"/>
        <v>0</v>
      </c>
      <c r="AE271" s="28">
        <f t="shared" si="265"/>
        <v>0</v>
      </c>
      <c r="AF271" s="28">
        <f t="shared" si="266"/>
        <v>0</v>
      </c>
      <c r="AG271" s="28">
        <f t="shared" si="267"/>
        <v>0</v>
      </c>
      <c r="AH271" s="28">
        <f t="shared" si="268"/>
        <v>0</v>
      </c>
      <c r="AI271" s="21" t="s">
        <v>334</v>
      </c>
      <c r="AJ271" s="28">
        <f t="shared" si="269"/>
        <v>0</v>
      </c>
      <c r="AK271" s="28">
        <f t="shared" si="270"/>
        <v>0</v>
      </c>
      <c r="AL271" s="28">
        <f t="shared" si="271"/>
        <v>0</v>
      </c>
      <c r="AN271" s="28">
        <v>21</v>
      </c>
      <c r="AO271" s="28">
        <f>H271*0.532435331230284</f>
        <v>0</v>
      </c>
      <c r="AP271" s="28">
        <f>H271*(1-0.532435331230284)</f>
        <v>0</v>
      </c>
      <c r="AQ271" s="30" t="s">
        <v>900</v>
      </c>
      <c r="AV271" s="28">
        <f t="shared" si="272"/>
        <v>0</v>
      </c>
      <c r="AW271" s="28">
        <f t="shared" si="273"/>
        <v>0</v>
      </c>
      <c r="AX271" s="28">
        <f t="shared" si="274"/>
        <v>0</v>
      </c>
      <c r="AY271" s="30" t="s">
        <v>399</v>
      </c>
      <c r="AZ271" s="30" t="s">
        <v>183</v>
      </c>
      <c r="BA271" s="21" t="s">
        <v>497</v>
      </c>
      <c r="BC271" s="28">
        <f t="shared" si="275"/>
        <v>0</v>
      </c>
      <c r="BD271" s="28">
        <f t="shared" si="276"/>
        <v>0</v>
      </c>
      <c r="BE271" s="28">
        <v>0</v>
      </c>
      <c r="BF271" s="28">
        <f>271</f>
        <v>271</v>
      </c>
      <c r="BH271" s="28">
        <f t="shared" si="277"/>
        <v>0</v>
      </c>
      <c r="BI271" s="28">
        <f t="shared" si="278"/>
        <v>0</v>
      </c>
      <c r="BJ271" s="28">
        <f t="shared" si="279"/>
        <v>0</v>
      </c>
      <c r="BK271" s="28"/>
      <c r="BL271" s="28">
        <v>732</v>
      </c>
      <c r="BW271" s="28">
        <v>21</v>
      </c>
    </row>
    <row r="272" spans="1:75" ht="13.5" customHeight="1">
      <c r="A272" s="38" t="s">
        <v>506</v>
      </c>
      <c r="B272" s="39" t="s">
        <v>334</v>
      </c>
      <c r="C272" s="39" t="s">
        <v>949</v>
      </c>
      <c r="D272" s="50" t="s">
        <v>1049</v>
      </c>
      <c r="E272" s="51"/>
      <c r="F272" s="39" t="s">
        <v>626</v>
      </c>
      <c r="G272" s="28">
        <v>1</v>
      </c>
      <c r="H272" s="120">
        <v>0</v>
      </c>
      <c r="I272" s="120">
        <f t="shared" si="260"/>
        <v>0</v>
      </c>
      <c r="K272" s="8"/>
      <c r="Z272" s="28">
        <f t="shared" si="261"/>
        <v>0</v>
      </c>
      <c r="AB272" s="28">
        <f t="shared" si="262"/>
        <v>0</v>
      </c>
      <c r="AC272" s="28">
        <f t="shared" si="263"/>
        <v>0</v>
      </c>
      <c r="AD272" s="28">
        <f t="shared" si="264"/>
        <v>0</v>
      </c>
      <c r="AE272" s="28">
        <f t="shared" si="265"/>
        <v>0</v>
      </c>
      <c r="AF272" s="28">
        <f t="shared" si="266"/>
        <v>0</v>
      </c>
      <c r="AG272" s="28">
        <f t="shared" si="267"/>
        <v>0</v>
      </c>
      <c r="AH272" s="28">
        <f t="shared" si="268"/>
        <v>0</v>
      </c>
      <c r="AI272" s="21" t="s">
        <v>334</v>
      </c>
      <c r="AJ272" s="28">
        <f t="shared" si="269"/>
        <v>0</v>
      </c>
      <c r="AK272" s="28">
        <f t="shared" si="270"/>
        <v>0</v>
      </c>
      <c r="AL272" s="28">
        <f t="shared" si="271"/>
        <v>0</v>
      </c>
      <c r="AN272" s="28">
        <v>21</v>
      </c>
      <c r="AO272" s="28">
        <f>H272*0.974240082431736</f>
        <v>0</v>
      </c>
      <c r="AP272" s="28">
        <f>H272*(1-0.974240082431736)</f>
        <v>0</v>
      </c>
      <c r="AQ272" s="30" t="s">
        <v>900</v>
      </c>
      <c r="AV272" s="28">
        <f t="shared" si="272"/>
        <v>0</v>
      </c>
      <c r="AW272" s="28">
        <f t="shared" si="273"/>
        <v>0</v>
      </c>
      <c r="AX272" s="28">
        <f t="shared" si="274"/>
        <v>0</v>
      </c>
      <c r="AY272" s="30" t="s">
        <v>399</v>
      </c>
      <c r="AZ272" s="30" t="s">
        <v>183</v>
      </c>
      <c r="BA272" s="21" t="s">
        <v>497</v>
      </c>
      <c r="BC272" s="28">
        <f t="shared" si="275"/>
        <v>0</v>
      </c>
      <c r="BD272" s="28">
        <f t="shared" si="276"/>
        <v>0</v>
      </c>
      <c r="BE272" s="28">
        <v>0</v>
      </c>
      <c r="BF272" s="28">
        <f>272</f>
        <v>272</v>
      </c>
      <c r="BH272" s="28">
        <f t="shared" si="277"/>
        <v>0</v>
      </c>
      <c r="BI272" s="28">
        <f t="shared" si="278"/>
        <v>0</v>
      </c>
      <c r="BJ272" s="28">
        <f t="shared" si="279"/>
        <v>0</v>
      </c>
      <c r="BK272" s="28"/>
      <c r="BL272" s="28">
        <v>732</v>
      </c>
      <c r="BW272" s="28">
        <v>21</v>
      </c>
    </row>
    <row r="273" spans="1:75" ht="13.5" customHeight="1">
      <c r="A273" s="38" t="s">
        <v>921</v>
      </c>
      <c r="B273" s="39" t="s">
        <v>334</v>
      </c>
      <c r="C273" s="39" t="s">
        <v>491</v>
      </c>
      <c r="D273" s="50" t="s">
        <v>123</v>
      </c>
      <c r="E273" s="51"/>
      <c r="F273" s="39" t="s">
        <v>311</v>
      </c>
      <c r="G273" s="28">
        <v>1</v>
      </c>
      <c r="H273" s="120">
        <v>0</v>
      </c>
      <c r="I273" s="120">
        <f t="shared" si="260"/>
        <v>0</v>
      </c>
      <c r="K273" s="8"/>
      <c r="Z273" s="28">
        <f t="shared" si="261"/>
        <v>0</v>
      </c>
      <c r="AB273" s="28">
        <f t="shared" si="262"/>
        <v>0</v>
      </c>
      <c r="AC273" s="28">
        <f t="shared" si="263"/>
        <v>0</v>
      </c>
      <c r="AD273" s="28">
        <f t="shared" si="264"/>
        <v>0</v>
      </c>
      <c r="AE273" s="28">
        <f t="shared" si="265"/>
        <v>0</v>
      </c>
      <c r="AF273" s="28">
        <f t="shared" si="266"/>
        <v>0</v>
      </c>
      <c r="AG273" s="28">
        <f t="shared" si="267"/>
        <v>0</v>
      </c>
      <c r="AH273" s="28">
        <f t="shared" si="268"/>
        <v>0</v>
      </c>
      <c r="AI273" s="21" t="s">
        <v>334</v>
      </c>
      <c r="AJ273" s="28">
        <f t="shared" si="269"/>
        <v>0</v>
      </c>
      <c r="AK273" s="28">
        <f t="shared" si="270"/>
        <v>0</v>
      </c>
      <c r="AL273" s="28">
        <f t="shared" si="271"/>
        <v>0</v>
      </c>
      <c r="AN273" s="28">
        <v>21</v>
      </c>
      <c r="AO273" s="28">
        <f>H273*0.642985041792658</f>
        <v>0</v>
      </c>
      <c r="AP273" s="28">
        <f>H273*(1-0.642985041792658)</f>
        <v>0</v>
      </c>
      <c r="AQ273" s="30" t="s">
        <v>900</v>
      </c>
      <c r="AV273" s="28">
        <f t="shared" si="272"/>
        <v>0</v>
      </c>
      <c r="AW273" s="28">
        <f t="shared" si="273"/>
        <v>0</v>
      </c>
      <c r="AX273" s="28">
        <f t="shared" si="274"/>
        <v>0</v>
      </c>
      <c r="AY273" s="30" t="s">
        <v>399</v>
      </c>
      <c r="AZ273" s="30" t="s">
        <v>183</v>
      </c>
      <c r="BA273" s="21" t="s">
        <v>497</v>
      </c>
      <c r="BC273" s="28">
        <f t="shared" si="275"/>
        <v>0</v>
      </c>
      <c r="BD273" s="28">
        <f t="shared" si="276"/>
        <v>0</v>
      </c>
      <c r="BE273" s="28">
        <v>0</v>
      </c>
      <c r="BF273" s="28">
        <f>273</f>
        <v>273</v>
      </c>
      <c r="BH273" s="28">
        <f t="shared" si="277"/>
        <v>0</v>
      </c>
      <c r="BI273" s="28">
        <f t="shared" si="278"/>
        <v>0</v>
      </c>
      <c r="BJ273" s="28">
        <f t="shared" si="279"/>
        <v>0</v>
      </c>
      <c r="BK273" s="28"/>
      <c r="BL273" s="28">
        <v>732</v>
      </c>
      <c r="BW273" s="28">
        <v>21</v>
      </c>
    </row>
    <row r="274" spans="1:75" ht="13.5" customHeight="1">
      <c r="A274" s="38" t="s">
        <v>728</v>
      </c>
      <c r="B274" s="39" t="s">
        <v>334</v>
      </c>
      <c r="C274" s="39" t="s">
        <v>834</v>
      </c>
      <c r="D274" s="50" t="s">
        <v>66</v>
      </c>
      <c r="E274" s="51"/>
      <c r="F274" s="39" t="s">
        <v>228</v>
      </c>
      <c r="G274" s="28">
        <v>1</v>
      </c>
      <c r="H274" s="120">
        <v>0</v>
      </c>
      <c r="I274" s="120">
        <f t="shared" si="260"/>
        <v>0</v>
      </c>
      <c r="K274" s="8"/>
      <c r="Z274" s="28">
        <f t="shared" si="261"/>
        <v>0</v>
      </c>
      <c r="AB274" s="28">
        <f t="shared" si="262"/>
        <v>0</v>
      </c>
      <c r="AC274" s="28">
        <f t="shared" si="263"/>
        <v>0</v>
      </c>
      <c r="AD274" s="28">
        <f t="shared" si="264"/>
        <v>0</v>
      </c>
      <c r="AE274" s="28">
        <f t="shared" si="265"/>
        <v>0</v>
      </c>
      <c r="AF274" s="28">
        <f t="shared" si="266"/>
        <v>0</v>
      </c>
      <c r="AG274" s="28">
        <f t="shared" si="267"/>
        <v>0</v>
      </c>
      <c r="AH274" s="28">
        <f t="shared" si="268"/>
        <v>0</v>
      </c>
      <c r="AI274" s="21" t="s">
        <v>334</v>
      </c>
      <c r="AJ274" s="28">
        <f t="shared" si="269"/>
        <v>0</v>
      </c>
      <c r="AK274" s="28">
        <f t="shared" si="270"/>
        <v>0</v>
      </c>
      <c r="AL274" s="28">
        <f t="shared" si="271"/>
        <v>0</v>
      </c>
      <c r="AN274" s="28">
        <v>21</v>
      </c>
      <c r="AO274" s="28">
        <f>H274*1</f>
        <v>0</v>
      </c>
      <c r="AP274" s="28">
        <f>H274*(1-1)</f>
        <v>0</v>
      </c>
      <c r="AQ274" s="30" t="s">
        <v>900</v>
      </c>
      <c r="AV274" s="28">
        <f t="shared" si="272"/>
        <v>0</v>
      </c>
      <c r="AW274" s="28">
        <f t="shared" si="273"/>
        <v>0</v>
      </c>
      <c r="AX274" s="28">
        <f t="shared" si="274"/>
        <v>0</v>
      </c>
      <c r="AY274" s="30" t="s">
        <v>399</v>
      </c>
      <c r="AZ274" s="30" t="s">
        <v>183</v>
      </c>
      <c r="BA274" s="21" t="s">
        <v>497</v>
      </c>
      <c r="BC274" s="28">
        <f t="shared" si="275"/>
        <v>0</v>
      </c>
      <c r="BD274" s="28">
        <f t="shared" si="276"/>
        <v>0</v>
      </c>
      <c r="BE274" s="28">
        <v>0</v>
      </c>
      <c r="BF274" s="28">
        <f>274</f>
        <v>274</v>
      </c>
      <c r="BH274" s="28">
        <f t="shared" si="277"/>
        <v>0</v>
      </c>
      <c r="BI274" s="28">
        <f t="shared" si="278"/>
        <v>0</v>
      </c>
      <c r="BJ274" s="28">
        <f t="shared" si="279"/>
        <v>0</v>
      </c>
      <c r="BK274" s="28"/>
      <c r="BL274" s="28">
        <v>732</v>
      </c>
      <c r="BW274" s="28">
        <v>21</v>
      </c>
    </row>
    <row r="275" spans="1:47" ht="15" customHeight="1">
      <c r="A275" s="3" t="s">
        <v>626</v>
      </c>
      <c r="B275" s="43" t="s">
        <v>334</v>
      </c>
      <c r="C275" s="43" t="s">
        <v>922</v>
      </c>
      <c r="D275" s="103" t="s">
        <v>754</v>
      </c>
      <c r="E275" s="104"/>
      <c r="F275" s="37" t="s">
        <v>836</v>
      </c>
      <c r="G275" s="37" t="s">
        <v>836</v>
      </c>
      <c r="H275" s="118" t="s">
        <v>836</v>
      </c>
      <c r="I275" s="119">
        <f>SUM(I276:I286)</f>
        <v>0</v>
      </c>
      <c r="K275" s="8"/>
      <c r="AI275" s="21" t="s">
        <v>334</v>
      </c>
      <c r="AS275" s="31">
        <f>SUM(AJ276:AJ286)</f>
        <v>0</v>
      </c>
      <c r="AT275" s="31">
        <f>SUM(AK276:AK286)</f>
        <v>0</v>
      </c>
      <c r="AU275" s="31">
        <f>SUM(AL276:AL286)</f>
        <v>0</v>
      </c>
    </row>
    <row r="276" spans="1:75" ht="13.5" customHeight="1">
      <c r="A276" s="38" t="s">
        <v>878</v>
      </c>
      <c r="B276" s="39" t="s">
        <v>334</v>
      </c>
      <c r="C276" s="39" t="s">
        <v>919</v>
      </c>
      <c r="D276" s="50" t="s">
        <v>556</v>
      </c>
      <c r="E276" s="51"/>
      <c r="F276" s="39" t="s">
        <v>228</v>
      </c>
      <c r="G276" s="28">
        <v>4</v>
      </c>
      <c r="H276" s="120">
        <v>0</v>
      </c>
      <c r="I276" s="120">
        <f aca="true" t="shared" si="280" ref="I276:I286">G276*H276</f>
        <v>0</v>
      </c>
      <c r="K276" s="8"/>
      <c r="Z276" s="28">
        <f aca="true" t="shared" si="281" ref="Z276:Z286">IF(AQ276="5",BJ276,0)</f>
        <v>0</v>
      </c>
      <c r="AB276" s="28">
        <f aca="true" t="shared" si="282" ref="AB276:AB286">IF(AQ276="1",BH276,0)</f>
        <v>0</v>
      </c>
      <c r="AC276" s="28">
        <f aca="true" t="shared" si="283" ref="AC276:AC286">IF(AQ276="1",BI276,0)</f>
        <v>0</v>
      </c>
      <c r="AD276" s="28">
        <f aca="true" t="shared" si="284" ref="AD276:AD286">IF(AQ276="7",BH276,0)</f>
        <v>0</v>
      </c>
      <c r="AE276" s="28">
        <f aca="true" t="shared" si="285" ref="AE276:AE286">IF(AQ276="7",BI276,0)</f>
        <v>0</v>
      </c>
      <c r="AF276" s="28">
        <f aca="true" t="shared" si="286" ref="AF276:AF286">IF(AQ276="2",BH276,0)</f>
        <v>0</v>
      </c>
      <c r="AG276" s="28">
        <f aca="true" t="shared" si="287" ref="AG276:AG286">IF(AQ276="2",BI276,0)</f>
        <v>0</v>
      </c>
      <c r="AH276" s="28">
        <f aca="true" t="shared" si="288" ref="AH276:AH286">IF(AQ276="0",BJ276,0)</f>
        <v>0</v>
      </c>
      <c r="AI276" s="21" t="s">
        <v>334</v>
      </c>
      <c r="AJ276" s="28">
        <f aca="true" t="shared" si="289" ref="AJ276:AJ286">IF(AN276=0,I276,0)</f>
        <v>0</v>
      </c>
      <c r="AK276" s="28">
        <f aca="true" t="shared" si="290" ref="AK276:AK286">IF(AN276=12,I276,0)</f>
        <v>0</v>
      </c>
      <c r="AL276" s="28">
        <f aca="true" t="shared" si="291" ref="AL276:AL286">IF(AN276=21,I276,0)</f>
        <v>0</v>
      </c>
      <c r="AN276" s="28">
        <v>21</v>
      </c>
      <c r="AO276" s="28">
        <f>H276*0.620309050772627</f>
        <v>0</v>
      </c>
      <c r="AP276" s="28">
        <f>H276*(1-0.620309050772627)</f>
        <v>0</v>
      </c>
      <c r="AQ276" s="30" t="s">
        <v>900</v>
      </c>
      <c r="AV276" s="28">
        <f aca="true" t="shared" si="292" ref="AV276:AV286">AW276+AX276</f>
        <v>0</v>
      </c>
      <c r="AW276" s="28">
        <f aca="true" t="shared" si="293" ref="AW276:AW286">G276*AO276</f>
        <v>0</v>
      </c>
      <c r="AX276" s="28">
        <f aca="true" t="shared" si="294" ref="AX276:AX286">G276*AP276</f>
        <v>0</v>
      </c>
      <c r="AY276" s="30" t="s">
        <v>92</v>
      </c>
      <c r="AZ276" s="30" t="s">
        <v>183</v>
      </c>
      <c r="BA276" s="21" t="s">
        <v>497</v>
      </c>
      <c r="BC276" s="28">
        <f aca="true" t="shared" si="295" ref="BC276:BC286">AW276+AX276</f>
        <v>0</v>
      </c>
      <c r="BD276" s="28">
        <f aca="true" t="shared" si="296" ref="BD276:BD286">H276/(100-BE276)*100</f>
        <v>0</v>
      </c>
      <c r="BE276" s="28">
        <v>0</v>
      </c>
      <c r="BF276" s="28">
        <f>276</f>
        <v>276</v>
      </c>
      <c r="BH276" s="28">
        <f aca="true" t="shared" si="297" ref="BH276:BH286">G276*AO276</f>
        <v>0</v>
      </c>
      <c r="BI276" s="28">
        <f aca="true" t="shared" si="298" ref="BI276:BI286">G276*AP276</f>
        <v>0</v>
      </c>
      <c r="BJ276" s="28">
        <f aca="true" t="shared" si="299" ref="BJ276:BJ286">G276*H276</f>
        <v>0</v>
      </c>
      <c r="BK276" s="28"/>
      <c r="BL276" s="28">
        <v>733</v>
      </c>
      <c r="BW276" s="28">
        <v>21</v>
      </c>
    </row>
    <row r="277" spans="1:75" ht="13.5" customHeight="1">
      <c r="A277" s="38" t="s">
        <v>162</v>
      </c>
      <c r="B277" s="39" t="s">
        <v>334</v>
      </c>
      <c r="C277" s="39" t="s">
        <v>937</v>
      </c>
      <c r="D277" s="50" t="s">
        <v>101</v>
      </c>
      <c r="E277" s="51"/>
      <c r="F277" s="39" t="s">
        <v>228</v>
      </c>
      <c r="G277" s="28">
        <v>4</v>
      </c>
      <c r="H277" s="120">
        <v>0</v>
      </c>
      <c r="I277" s="120">
        <f t="shared" si="280"/>
        <v>0</v>
      </c>
      <c r="K277" s="8"/>
      <c r="Z277" s="28">
        <f t="shared" si="281"/>
        <v>0</v>
      </c>
      <c r="AB277" s="28">
        <f t="shared" si="282"/>
        <v>0</v>
      </c>
      <c r="AC277" s="28">
        <f t="shared" si="283"/>
        <v>0</v>
      </c>
      <c r="AD277" s="28">
        <f t="shared" si="284"/>
        <v>0</v>
      </c>
      <c r="AE277" s="28">
        <f t="shared" si="285"/>
        <v>0</v>
      </c>
      <c r="AF277" s="28">
        <f t="shared" si="286"/>
        <v>0</v>
      </c>
      <c r="AG277" s="28">
        <f t="shared" si="287"/>
        <v>0</v>
      </c>
      <c r="AH277" s="28">
        <f t="shared" si="288"/>
        <v>0</v>
      </c>
      <c r="AI277" s="21" t="s">
        <v>334</v>
      </c>
      <c r="AJ277" s="28">
        <f t="shared" si="289"/>
        <v>0</v>
      </c>
      <c r="AK277" s="28">
        <f t="shared" si="290"/>
        <v>0</v>
      </c>
      <c r="AL277" s="28">
        <f t="shared" si="291"/>
        <v>0</v>
      </c>
      <c r="AN277" s="28">
        <v>21</v>
      </c>
      <c r="AO277" s="28">
        <f>H277*0.259191290824261</f>
        <v>0</v>
      </c>
      <c r="AP277" s="28">
        <f>H277*(1-0.259191290824261)</f>
        <v>0</v>
      </c>
      <c r="AQ277" s="30" t="s">
        <v>900</v>
      </c>
      <c r="AV277" s="28">
        <f t="shared" si="292"/>
        <v>0</v>
      </c>
      <c r="AW277" s="28">
        <f t="shared" si="293"/>
        <v>0</v>
      </c>
      <c r="AX277" s="28">
        <f t="shared" si="294"/>
        <v>0</v>
      </c>
      <c r="AY277" s="30" t="s">
        <v>92</v>
      </c>
      <c r="AZ277" s="30" t="s">
        <v>183</v>
      </c>
      <c r="BA277" s="21" t="s">
        <v>497</v>
      </c>
      <c r="BC277" s="28">
        <f t="shared" si="295"/>
        <v>0</v>
      </c>
      <c r="BD277" s="28">
        <f t="shared" si="296"/>
        <v>0</v>
      </c>
      <c r="BE277" s="28">
        <v>0</v>
      </c>
      <c r="BF277" s="28">
        <f>277</f>
        <v>277</v>
      </c>
      <c r="BH277" s="28">
        <f t="shared" si="297"/>
        <v>0</v>
      </c>
      <c r="BI277" s="28">
        <f t="shared" si="298"/>
        <v>0</v>
      </c>
      <c r="BJ277" s="28">
        <f t="shared" si="299"/>
        <v>0</v>
      </c>
      <c r="BK277" s="28"/>
      <c r="BL277" s="28">
        <v>733</v>
      </c>
      <c r="BW277" s="28">
        <v>21</v>
      </c>
    </row>
    <row r="278" spans="1:75" ht="13.5" customHeight="1">
      <c r="A278" s="38" t="s">
        <v>744</v>
      </c>
      <c r="B278" s="39" t="s">
        <v>334</v>
      </c>
      <c r="C278" s="39" t="s">
        <v>237</v>
      </c>
      <c r="D278" s="50" t="s">
        <v>622</v>
      </c>
      <c r="E278" s="51"/>
      <c r="F278" s="39" t="s">
        <v>228</v>
      </c>
      <c r="G278" s="28">
        <v>4</v>
      </c>
      <c r="H278" s="120">
        <v>0</v>
      </c>
      <c r="I278" s="120">
        <f t="shared" si="280"/>
        <v>0</v>
      </c>
      <c r="K278" s="8"/>
      <c r="Z278" s="28">
        <f t="shared" si="281"/>
        <v>0</v>
      </c>
      <c r="AB278" s="28">
        <f t="shared" si="282"/>
        <v>0</v>
      </c>
      <c r="AC278" s="28">
        <f t="shared" si="283"/>
        <v>0</v>
      </c>
      <c r="AD278" s="28">
        <f t="shared" si="284"/>
        <v>0</v>
      </c>
      <c r="AE278" s="28">
        <f t="shared" si="285"/>
        <v>0</v>
      </c>
      <c r="AF278" s="28">
        <f t="shared" si="286"/>
        <v>0</v>
      </c>
      <c r="AG278" s="28">
        <f t="shared" si="287"/>
        <v>0</v>
      </c>
      <c r="AH278" s="28">
        <f t="shared" si="288"/>
        <v>0</v>
      </c>
      <c r="AI278" s="21" t="s">
        <v>334</v>
      </c>
      <c r="AJ278" s="28">
        <f t="shared" si="289"/>
        <v>0</v>
      </c>
      <c r="AK278" s="28">
        <f t="shared" si="290"/>
        <v>0</v>
      </c>
      <c r="AL278" s="28">
        <f t="shared" si="291"/>
        <v>0</v>
      </c>
      <c r="AN278" s="28">
        <v>21</v>
      </c>
      <c r="AO278" s="28">
        <f>H278*0.345851428571429</f>
        <v>0</v>
      </c>
      <c r="AP278" s="28">
        <f>H278*(1-0.345851428571429)</f>
        <v>0</v>
      </c>
      <c r="AQ278" s="30" t="s">
        <v>900</v>
      </c>
      <c r="AV278" s="28">
        <f t="shared" si="292"/>
        <v>0</v>
      </c>
      <c r="AW278" s="28">
        <f t="shared" si="293"/>
        <v>0</v>
      </c>
      <c r="AX278" s="28">
        <f t="shared" si="294"/>
        <v>0</v>
      </c>
      <c r="AY278" s="30" t="s">
        <v>92</v>
      </c>
      <c r="AZ278" s="30" t="s">
        <v>183</v>
      </c>
      <c r="BA278" s="21" t="s">
        <v>497</v>
      </c>
      <c r="BC278" s="28">
        <f t="shared" si="295"/>
        <v>0</v>
      </c>
      <c r="BD278" s="28">
        <f t="shared" si="296"/>
        <v>0</v>
      </c>
      <c r="BE278" s="28">
        <v>0</v>
      </c>
      <c r="BF278" s="28">
        <f>278</f>
        <v>278</v>
      </c>
      <c r="BH278" s="28">
        <f t="shared" si="297"/>
        <v>0</v>
      </c>
      <c r="BI278" s="28">
        <f t="shared" si="298"/>
        <v>0</v>
      </c>
      <c r="BJ278" s="28">
        <f t="shared" si="299"/>
        <v>0</v>
      </c>
      <c r="BK278" s="28"/>
      <c r="BL278" s="28">
        <v>733</v>
      </c>
      <c r="BW278" s="28">
        <v>21</v>
      </c>
    </row>
    <row r="279" spans="1:75" ht="13.5" customHeight="1">
      <c r="A279" s="38" t="s">
        <v>1022</v>
      </c>
      <c r="B279" s="39" t="s">
        <v>334</v>
      </c>
      <c r="C279" s="39" t="s">
        <v>329</v>
      </c>
      <c r="D279" s="50" t="s">
        <v>575</v>
      </c>
      <c r="E279" s="51"/>
      <c r="F279" s="39" t="s">
        <v>741</v>
      </c>
      <c r="G279" s="28">
        <v>12</v>
      </c>
      <c r="H279" s="120">
        <v>0</v>
      </c>
      <c r="I279" s="120">
        <f t="shared" si="280"/>
        <v>0</v>
      </c>
      <c r="K279" s="8"/>
      <c r="Z279" s="28">
        <f t="shared" si="281"/>
        <v>0</v>
      </c>
      <c r="AB279" s="28">
        <f t="shared" si="282"/>
        <v>0</v>
      </c>
      <c r="AC279" s="28">
        <f t="shared" si="283"/>
        <v>0</v>
      </c>
      <c r="AD279" s="28">
        <f t="shared" si="284"/>
        <v>0</v>
      </c>
      <c r="AE279" s="28">
        <f t="shared" si="285"/>
        <v>0</v>
      </c>
      <c r="AF279" s="28">
        <f t="shared" si="286"/>
        <v>0</v>
      </c>
      <c r="AG279" s="28">
        <f t="shared" si="287"/>
        <v>0</v>
      </c>
      <c r="AH279" s="28">
        <f t="shared" si="288"/>
        <v>0</v>
      </c>
      <c r="AI279" s="21" t="s">
        <v>334</v>
      </c>
      <c r="AJ279" s="28">
        <f t="shared" si="289"/>
        <v>0</v>
      </c>
      <c r="AK279" s="28">
        <f t="shared" si="290"/>
        <v>0</v>
      </c>
      <c r="AL279" s="28">
        <f t="shared" si="291"/>
        <v>0</v>
      </c>
      <c r="AN279" s="28">
        <v>21</v>
      </c>
      <c r="AO279" s="28">
        <f>H279*0.212764227642276</f>
        <v>0</v>
      </c>
      <c r="AP279" s="28">
        <f>H279*(1-0.212764227642276)</f>
        <v>0</v>
      </c>
      <c r="AQ279" s="30" t="s">
        <v>900</v>
      </c>
      <c r="AV279" s="28">
        <f t="shared" si="292"/>
        <v>0</v>
      </c>
      <c r="AW279" s="28">
        <f t="shared" si="293"/>
        <v>0</v>
      </c>
      <c r="AX279" s="28">
        <f t="shared" si="294"/>
        <v>0</v>
      </c>
      <c r="AY279" s="30" t="s">
        <v>92</v>
      </c>
      <c r="AZ279" s="30" t="s">
        <v>183</v>
      </c>
      <c r="BA279" s="21" t="s">
        <v>497</v>
      </c>
      <c r="BC279" s="28">
        <f t="shared" si="295"/>
        <v>0</v>
      </c>
      <c r="BD279" s="28">
        <f t="shared" si="296"/>
        <v>0</v>
      </c>
      <c r="BE279" s="28">
        <v>0</v>
      </c>
      <c r="BF279" s="28">
        <f>279</f>
        <v>279</v>
      </c>
      <c r="BH279" s="28">
        <f t="shared" si="297"/>
        <v>0</v>
      </c>
      <c r="BI279" s="28">
        <f t="shared" si="298"/>
        <v>0</v>
      </c>
      <c r="BJ279" s="28">
        <f t="shared" si="299"/>
        <v>0</v>
      </c>
      <c r="BK279" s="28"/>
      <c r="BL279" s="28">
        <v>733</v>
      </c>
      <c r="BW279" s="28">
        <v>21</v>
      </c>
    </row>
    <row r="280" spans="1:75" ht="13.5" customHeight="1">
      <c r="A280" s="38" t="s">
        <v>232</v>
      </c>
      <c r="B280" s="39" t="s">
        <v>334</v>
      </c>
      <c r="C280" s="39" t="s">
        <v>859</v>
      </c>
      <c r="D280" s="50" t="s">
        <v>137</v>
      </c>
      <c r="E280" s="51"/>
      <c r="F280" s="39" t="s">
        <v>741</v>
      </c>
      <c r="G280" s="28">
        <v>6</v>
      </c>
      <c r="H280" s="120">
        <v>0</v>
      </c>
      <c r="I280" s="120">
        <f t="shared" si="280"/>
        <v>0</v>
      </c>
      <c r="K280" s="8"/>
      <c r="Z280" s="28">
        <f t="shared" si="281"/>
        <v>0</v>
      </c>
      <c r="AB280" s="28">
        <f t="shared" si="282"/>
        <v>0</v>
      </c>
      <c r="AC280" s="28">
        <f t="shared" si="283"/>
        <v>0</v>
      </c>
      <c r="AD280" s="28">
        <f t="shared" si="284"/>
        <v>0</v>
      </c>
      <c r="AE280" s="28">
        <f t="shared" si="285"/>
        <v>0</v>
      </c>
      <c r="AF280" s="28">
        <f t="shared" si="286"/>
        <v>0</v>
      </c>
      <c r="AG280" s="28">
        <f t="shared" si="287"/>
        <v>0</v>
      </c>
      <c r="AH280" s="28">
        <f t="shared" si="288"/>
        <v>0</v>
      </c>
      <c r="AI280" s="21" t="s">
        <v>334</v>
      </c>
      <c r="AJ280" s="28">
        <f t="shared" si="289"/>
        <v>0</v>
      </c>
      <c r="AK280" s="28">
        <f t="shared" si="290"/>
        <v>0</v>
      </c>
      <c r="AL280" s="28">
        <f t="shared" si="291"/>
        <v>0</v>
      </c>
      <c r="AN280" s="28">
        <v>21</v>
      </c>
      <c r="AO280" s="28">
        <f>H280*0.58344860710855</f>
        <v>0</v>
      </c>
      <c r="AP280" s="28">
        <f>H280*(1-0.58344860710855)</f>
        <v>0</v>
      </c>
      <c r="AQ280" s="30" t="s">
        <v>900</v>
      </c>
      <c r="AV280" s="28">
        <f t="shared" si="292"/>
        <v>0</v>
      </c>
      <c r="AW280" s="28">
        <f t="shared" si="293"/>
        <v>0</v>
      </c>
      <c r="AX280" s="28">
        <f t="shared" si="294"/>
        <v>0</v>
      </c>
      <c r="AY280" s="30" t="s">
        <v>92</v>
      </c>
      <c r="AZ280" s="30" t="s">
        <v>183</v>
      </c>
      <c r="BA280" s="21" t="s">
        <v>497</v>
      </c>
      <c r="BC280" s="28">
        <f t="shared" si="295"/>
        <v>0</v>
      </c>
      <c r="BD280" s="28">
        <f t="shared" si="296"/>
        <v>0</v>
      </c>
      <c r="BE280" s="28">
        <v>0</v>
      </c>
      <c r="BF280" s="28">
        <f>280</f>
        <v>280</v>
      </c>
      <c r="BH280" s="28">
        <f t="shared" si="297"/>
        <v>0</v>
      </c>
      <c r="BI280" s="28">
        <f t="shared" si="298"/>
        <v>0</v>
      </c>
      <c r="BJ280" s="28">
        <f t="shared" si="299"/>
        <v>0</v>
      </c>
      <c r="BK280" s="28"/>
      <c r="BL280" s="28">
        <v>733</v>
      </c>
      <c r="BW280" s="28">
        <v>21</v>
      </c>
    </row>
    <row r="281" spans="1:75" ht="13.5" customHeight="1">
      <c r="A281" s="38" t="s">
        <v>331</v>
      </c>
      <c r="B281" s="39" t="s">
        <v>334</v>
      </c>
      <c r="C281" s="39" t="s">
        <v>689</v>
      </c>
      <c r="D281" s="50" t="s">
        <v>770</v>
      </c>
      <c r="E281" s="51"/>
      <c r="F281" s="39" t="s">
        <v>741</v>
      </c>
      <c r="G281" s="28">
        <v>8</v>
      </c>
      <c r="H281" s="120">
        <v>0</v>
      </c>
      <c r="I281" s="120">
        <f t="shared" si="280"/>
        <v>0</v>
      </c>
      <c r="K281" s="8"/>
      <c r="Z281" s="28">
        <f t="shared" si="281"/>
        <v>0</v>
      </c>
      <c r="AB281" s="28">
        <f t="shared" si="282"/>
        <v>0</v>
      </c>
      <c r="AC281" s="28">
        <f t="shared" si="283"/>
        <v>0</v>
      </c>
      <c r="AD281" s="28">
        <f t="shared" si="284"/>
        <v>0</v>
      </c>
      <c r="AE281" s="28">
        <f t="shared" si="285"/>
        <v>0</v>
      </c>
      <c r="AF281" s="28">
        <f t="shared" si="286"/>
        <v>0</v>
      </c>
      <c r="AG281" s="28">
        <f t="shared" si="287"/>
        <v>0</v>
      </c>
      <c r="AH281" s="28">
        <f t="shared" si="288"/>
        <v>0</v>
      </c>
      <c r="AI281" s="21" t="s">
        <v>334</v>
      </c>
      <c r="AJ281" s="28">
        <f t="shared" si="289"/>
        <v>0</v>
      </c>
      <c r="AK281" s="28">
        <f t="shared" si="290"/>
        <v>0</v>
      </c>
      <c r="AL281" s="28">
        <f t="shared" si="291"/>
        <v>0</v>
      </c>
      <c r="AN281" s="28">
        <v>21</v>
      </c>
      <c r="AO281" s="28">
        <f>H281*0.144233333333333</f>
        <v>0</v>
      </c>
      <c r="AP281" s="28">
        <f>H281*(1-0.144233333333333)</f>
        <v>0</v>
      </c>
      <c r="AQ281" s="30" t="s">
        <v>900</v>
      </c>
      <c r="AV281" s="28">
        <f t="shared" si="292"/>
        <v>0</v>
      </c>
      <c r="AW281" s="28">
        <f t="shared" si="293"/>
        <v>0</v>
      </c>
      <c r="AX281" s="28">
        <f t="shared" si="294"/>
        <v>0</v>
      </c>
      <c r="AY281" s="30" t="s">
        <v>92</v>
      </c>
      <c r="AZ281" s="30" t="s">
        <v>183</v>
      </c>
      <c r="BA281" s="21" t="s">
        <v>497</v>
      </c>
      <c r="BC281" s="28">
        <f t="shared" si="295"/>
        <v>0</v>
      </c>
      <c r="BD281" s="28">
        <f t="shared" si="296"/>
        <v>0</v>
      </c>
      <c r="BE281" s="28">
        <v>0</v>
      </c>
      <c r="BF281" s="28">
        <f>281</f>
        <v>281</v>
      </c>
      <c r="BH281" s="28">
        <f t="shared" si="297"/>
        <v>0</v>
      </c>
      <c r="BI281" s="28">
        <f t="shared" si="298"/>
        <v>0</v>
      </c>
      <c r="BJ281" s="28">
        <f t="shared" si="299"/>
        <v>0</v>
      </c>
      <c r="BK281" s="28"/>
      <c r="BL281" s="28">
        <v>733</v>
      </c>
      <c r="BW281" s="28">
        <v>21</v>
      </c>
    </row>
    <row r="282" spans="1:75" ht="13.5" customHeight="1">
      <c r="A282" s="38" t="s">
        <v>308</v>
      </c>
      <c r="B282" s="39" t="s">
        <v>334</v>
      </c>
      <c r="C282" s="39" t="s">
        <v>843</v>
      </c>
      <c r="D282" s="50" t="s">
        <v>536</v>
      </c>
      <c r="E282" s="51"/>
      <c r="F282" s="39" t="s">
        <v>741</v>
      </c>
      <c r="G282" s="28">
        <v>0.5</v>
      </c>
      <c r="H282" s="120">
        <v>0</v>
      </c>
      <c r="I282" s="120">
        <f t="shared" si="280"/>
        <v>0</v>
      </c>
      <c r="K282" s="8"/>
      <c r="Z282" s="28">
        <f t="shared" si="281"/>
        <v>0</v>
      </c>
      <c r="AB282" s="28">
        <f t="shared" si="282"/>
        <v>0</v>
      </c>
      <c r="AC282" s="28">
        <f t="shared" si="283"/>
        <v>0</v>
      </c>
      <c r="AD282" s="28">
        <f t="shared" si="284"/>
        <v>0</v>
      </c>
      <c r="AE282" s="28">
        <f t="shared" si="285"/>
        <v>0</v>
      </c>
      <c r="AF282" s="28">
        <f t="shared" si="286"/>
        <v>0</v>
      </c>
      <c r="AG282" s="28">
        <f t="shared" si="287"/>
        <v>0</v>
      </c>
      <c r="AH282" s="28">
        <f t="shared" si="288"/>
        <v>0</v>
      </c>
      <c r="AI282" s="21" t="s">
        <v>334</v>
      </c>
      <c r="AJ282" s="28">
        <f t="shared" si="289"/>
        <v>0</v>
      </c>
      <c r="AK282" s="28">
        <f t="shared" si="290"/>
        <v>0</v>
      </c>
      <c r="AL282" s="28">
        <f t="shared" si="291"/>
        <v>0</v>
      </c>
      <c r="AN282" s="28">
        <v>21</v>
      </c>
      <c r="AO282" s="28">
        <f>H282*0.0775828460038986</f>
        <v>0</v>
      </c>
      <c r="AP282" s="28">
        <f>H282*(1-0.0775828460038986)</f>
        <v>0</v>
      </c>
      <c r="AQ282" s="30" t="s">
        <v>900</v>
      </c>
      <c r="AV282" s="28">
        <f t="shared" si="292"/>
        <v>0</v>
      </c>
      <c r="AW282" s="28">
        <f t="shared" si="293"/>
        <v>0</v>
      </c>
      <c r="AX282" s="28">
        <f t="shared" si="294"/>
        <v>0</v>
      </c>
      <c r="AY282" s="30" t="s">
        <v>92</v>
      </c>
      <c r="AZ282" s="30" t="s">
        <v>183</v>
      </c>
      <c r="BA282" s="21" t="s">
        <v>497</v>
      </c>
      <c r="BC282" s="28">
        <f t="shared" si="295"/>
        <v>0</v>
      </c>
      <c r="BD282" s="28">
        <f t="shared" si="296"/>
        <v>0</v>
      </c>
      <c r="BE282" s="28">
        <v>0</v>
      </c>
      <c r="BF282" s="28">
        <f>282</f>
        <v>282</v>
      </c>
      <c r="BH282" s="28">
        <f t="shared" si="297"/>
        <v>0</v>
      </c>
      <c r="BI282" s="28">
        <f t="shared" si="298"/>
        <v>0</v>
      </c>
      <c r="BJ282" s="28">
        <f t="shared" si="299"/>
        <v>0</v>
      </c>
      <c r="BK282" s="28"/>
      <c r="BL282" s="28">
        <v>733</v>
      </c>
      <c r="BW282" s="28">
        <v>21</v>
      </c>
    </row>
    <row r="283" spans="1:75" ht="13.5" customHeight="1">
      <c r="A283" s="38" t="s">
        <v>586</v>
      </c>
      <c r="B283" s="39" t="s">
        <v>334</v>
      </c>
      <c r="C283" s="39" t="s">
        <v>260</v>
      </c>
      <c r="D283" s="50" t="s">
        <v>287</v>
      </c>
      <c r="E283" s="51"/>
      <c r="F283" s="39" t="s">
        <v>741</v>
      </c>
      <c r="G283" s="28">
        <v>14.5</v>
      </c>
      <c r="H283" s="120">
        <v>0</v>
      </c>
      <c r="I283" s="120">
        <f t="shared" si="280"/>
        <v>0</v>
      </c>
      <c r="K283" s="8"/>
      <c r="Z283" s="28">
        <f t="shared" si="281"/>
        <v>0</v>
      </c>
      <c r="AB283" s="28">
        <f t="shared" si="282"/>
        <v>0</v>
      </c>
      <c r="AC283" s="28">
        <f t="shared" si="283"/>
        <v>0</v>
      </c>
      <c r="AD283" s="28">
        <f t="shared" si="284"/>
        <v>0</v>
      </c>
      <c r="AE283" s="28">
        <f t="shared" si="285"/>
        <v>0</v>
      </c>
      <c r="AF283" s="28">
        <f t="shared" si="286"/>
        <v>0</v>
      </c>
      <c r="AG283" s="28">
        <f t="shared" si="287"/>
        <v>0</v>
      </c>
      <c r="AH283" s="28">
        <f t="shared" si="288"/>
        <v>0</v>
      </c>
      <c r="AI283" s="21" t="s">
        <v>334</v>
      </c>
      <c r="AJ283" s="28">
        <f t="shared" si="289"/>
        <v>0</v>
      </c>
      <c r="AK283" s="28">
        <f t="shared" si="290"/>
        <v>0</v>
      </c>
      <c r="AL283" s="28">
        <f t="shared" si="291"/>
        <v>0</v>
      </c>
      <c r="AN283" s="28">
        <v>21</v>
      </c>
      <c r="AO283" s="28">
        <f>H283*0</f>
        <v>0</v>
      </c>
      <c r="AP283" s="28">
        <f>H283*(1-0)</f>
        <v>0</v>
      </c>
      <c r="AQ283" s="30" t="s">
        <v>900</v>
      </c>
      <c r="AV283" s="28">
        <f t="shared" si="292"/>
        <v>0</v>
      </c>
      <c r="AW283" s="28">
        <f t="shared" si="293"/>
        <v>0</v>
      </c>
      <c r="AX283" s="28">
        <f t="shared" si="294"/>
        <v>0</v>
      </c>
      <c r="AY283" s="30" t="s">
        <v>92</v>
      </c>
      <c r="AZ283" s="30" t="s">
        <v>183</v>
      </c>
      <c r="BA283" s="21" t="s">
        <v>497</v>
      </c>
      <c r="BC283" s="28">
        <f t="shared" si="295"/>
        <v>0</v>
      </c>
      <c r="BD283" s="28">
        <f t="shared" si="296"/>
        <v>0</v>
      </c>
      <c r="BE283" s="28">
        <v>0</v>
      </c>
      <c r="BF283" s="28">
        <f>283</f>
        <v>283</v>
      </c>
      <c r="BH283" s="28">
        <f t="shared" si="297"/>
        <v>0</v>
      </c>
      <c r="BI283" s="28">
        <f t="shared" si="298"/>
        <v>0</v>
      </c>
      <c r="BJ283" s="28">
        <f t="shared" si="299"/>
        <v>0</v>
      </c>
      <c r="BK283" s="28"/>
      <c r="BL283" s="28">
        <v>733</v>
      </c>
      <c r="BW283" s="28">
        <v>21</v>
      </c>
    </row>
    <row r="284" spans="1:75" ht="13.5" customHeight="1">
      <c r="A284" s="38" t="s">
        <v>149</v>
      </c>
      <c r="B284" s="39" t="s">
        <v>334</v>
      </c>
      <c r="C284" s="39" t="s">
        <v>278</v>
      </c>
      <c r="D284" s="50" t="s">
        <v>1068</v>
      </c>
      <c r="E284" s="51"/>
      <c r="F284" s="39" t="s">
        <v>741</v>
      </c>
      <c r="G284" s="28">
        <v>6</v>
      </c>
      <c r="H284" s="120">
        <v>0</v>
      </c>
      <c r="I284" s="120">
        <f t="shared" si="280"/>
        <v>0</v>
      </c>
      <c r="K284" s="8"/>
      <c r="Z284" s="28">
        <f t="shared" si="281"/>
        <v>0</v>
      </c>
      <c r="AB284" s="28">
        <f t="shared" si="282"/>
        <v>0</v>
      </c>
      <c r="AC284" s="28">
        <f t="shared" si="283"/>
        <v>0</v>
      </c>
      <c r="AD284" s="28">
        <f t="shared" si="284"/>
        <v>0</v>
      </c>
      <c r="AE284" s="28">
        <f t="shared" si="285"/>
        <v>0</v>
      </c>
      <c r="AF284" s="28">
        <f t="shared" si="286"/>
        <v>0</v>
      </c>
      <c r="AG284" s="28">
        <f t="shared" si="287"/>
        <v>0</v>
      </c>
      <c r="AH284" s="28">
        <f t="shared" si="288"/>
        <v>0</v>
      </c>
      <c r="AI284" s="21" t="s">
        <v>334</v>
      </c>
      <c r="AJ284" s="28">
        <f t="shared" si="289"/>
        <v>0</v>
      </c>
      <c r="AK284" s="28">
        <f t="shared" si="290"/>
        <v>0</v>
      </c>
      <c r="AL284" s="28">
        <f t="shared" si="291"/>
        <v>0</v>
      </c>
      <c r="AN284" s="28">
        <v>21</v>
      </c>
      <c r="AO284" s="28">
        <f>H284*1</f>
        <v>0</v>
      </c>
      <c r="AP284" s="28">
        <f>H284*(1-1)</f>
        <v>0</v>
      </c>
      <c r="AQ284" s="30" t="s">
        <v>900</v>
      </c>
      <c r="AV284" s="28">
        <f t="shared" si="292"/>
        <v>0</v>
      </c>
      <c r="AW284" s="28">
        <f t="shared" si="293"/>
        <v>0</v>
      </c>
      <c r="AX284" s="28">
        <f t="shared" si="294"/>
        <v>0</v>
      </c>
      <c r="AY284" s="30" t="s">
        <v>92</v>
      </c>
      <c r="AZ284" s="30" t="s">
        <v>183</v>
      </c>
      <c r="BA284" s="21" t="s">
        <v>497</v>
      </c>
      <c r="BC284" s="28">
        <f t="shared" si="295"/>
        <v>0</v>
      </c>
      <c r="BD284" s="28">
        <f t="shared" si="296"/>
        <v>0</v>
      </c>
      <c r="BE284" s="28">
        <v>0</v>
      </c>
      <c r="BF284" s="28">
        <f>284</f>
        <v>284</v>
      </c>
      <c r="BH284" s="28">
        <f t="shared" si="297"/>
        <v>0</v>
      </c>
      <c r="BI284" s="28">
        <f t="shared" si="298"/>
        <v>0</v>
      </c>
      <c r="BJ284" s="28">
        <f t="shared" si="299"/>
        <v>0</v>
      </c>
      <c r="BK284" s="28"/>
      <c r="BL284" s="28">
        <v>733</v>
      </c>
      <c r="BW284" s="28">
        <v>21</v>
      </c>
    </row>
    <row r="285" spans="1:75" ht="13.5" customHeight="1">
      <c r="A285" s="38" t="s">
        <v>323</v>
      </c>
      <c r="B285" s="39" t="s">
        <v>334</v>
      </c>
      <c r="C285" s="39" t="s">
        <v>825</v>
      </c>
      <c r="D285" s="50" t="s">
        <v>1069</v>
      </c>
      <c r="E285" s="51"/>
      <c r="F285" s="39" t="s">
        <v>741</v>
      </c>
      <c r="G285" s="28">
        <v>8</v>
      </c>
      <c r="H285" s="120">
        <v>0</v>
      </c>
      <c r="I285" s="120">
        <f t="shared" si="280"/>
        <v>0</v>
      </c>
      <c r="K285" s="8"/>
      <c r="Z285" s="28">
        <f t="shared" si="281"/>
        <v>0</v>
      </c>
      <c r="AB285" s="28">
        <f t="shared" si="282"/>
        <v>0</v>
      </c>
      <c r="AC285" s="28">
        <f t="shared" si="283"/>
        <v>0</v>
      </c>
      <c r="AD285" s="28">
        <f t="shared" si="284"/>
        <v>0</v>
      </c>
      <c r="AE285" s="28">
        <f t="shared" si="285"/>
        <v>0</v>
      </c>
      <c r="AF285" s="28">
        <f t="shared" si="286"/>
        <v>0</v>
      </c>
      <c r="AG285" s="28">
        <f t="shared" si="287"/>
        <v>0</v>
      </c>
      <c r="AH285" s="28">
        <f t="shared" si="288"/>
        <v>0</v>
      </c>
      <c r="AI285" s="21" t="s">
        <v>334</v>
      </c>
      <c r="AJ285" s="28">
        <f t="shared" si="289"/>
        <v>0</v>
      </c>
      <c r="AK285" s="28">
        <f t="shared" si="290"/>
        <v>0</v>
      </c>
      <c r="AL285" s="28">
        <f t="shared" si="291"/>
        <v>0</v>
      </c>
      <c r="AN285" s="28">
        <v>21</v>
      </c>
      <c r="AO285" s="28">
        <f>H285*1</f>
        <v>0</v>
      </c>
      <c r="AP285" s="28">
        <f>H285*(1-1)</f>
        <v>0</v>
      </c>
      <c r="AQ285" s="30" t="s">
        <v>900</v>
      </c>
      <c r="AV285" s="28">
        <f t="shared" si="292"/>
        <v>0</v>
      </c>
      <c r="AW285" s="28">
        <f t="shared" si="293"/>
        <v>0</v>
      </c>
      <c r="AX285" s="28">
        <f t="shared" si="294"/>
        <v>0</v>
      </c>
      <c r="AY285" s="30" t="s">
        <v>92</v>
      </c>
      <c r="AZ285" s="30" t="s">
        <v>183</v>
      </c>
      <c r="BA285" s="21" t="s">
        <v>497</v>
      </c>
      <c r="BC285" s="28">
        <f t="shared" si="295"/>
        <v>0</v>
      </c>
      <c r="BD285" s="28">
        <f t="shared" si="296"/>
        <v>0</v>
      </c>
      <c r="BE285" s="28">
        <v>0</v>
      </c>
      <c r="BF285" s="28">
        <f>285</f>
        <v>285</v>
      </c>
      <c r="BH285" s="28">
        <f t="shared" si="297"/>
        <v>0</v>
      </c>
      <c r="BI285" s="28">
        <f t="shared" si="298"/>
        <v>0</v>
      </c>
      <c r="BJ285" s="28">
        <f t="shared" si="299"/>
        <v>0</v>
      </c>
      <c r="BK285" s="28"/>
      <c r="BL285" s="28">
        <v>733</v>
      </c>
      <c r="BW285" s="28">
        <v>21</v>
      </c>
    </row>
    <row r="286" spans="1:75" ht="13.5" customHeight="1">
      <c r="A286" s="38" t="s">
        <v>745</v>
      </c>
      <c r="B286" s="39" t="s">
        <v>334</v>
      </c>
      <c r="C286" s="39" t="s">
        <v>587</v>
      </c>
      <c r="D286" s="50" t="s">
        <v>1070</v>
      </c>
      <c r="E286" s="51"/>
      <c r="F286" s="39" t="s">
        <v>741</v>
      </c>
      <c r="G286" s="28">
        <v>0.5</v>
      </c>
      <c r="H286" s="120">
        <v>0</v>
      </c>
      <c r="I286" s="120">
        <f t="shared" si="280"/>
        <v>0</v>
      </c>
      <c r="K286" s="8"/>
      <c r="Z286" s="28">
        <f t="shared" si="281"/>
        <v>0</v>
      </c>
      <c r="AB286" s="28">
        <f t="shared" si="282"/>
        <v>0</v>
      </c>
      <c r="AC286" s="28">
        <f t="shared" si="283"/>
        <v>0</v>
      </c>
      <c r="AD286" s="28">
        <f t="shared" si="284"/>
        <v>0</v>
      </c>
      <c r="AE286" s="28">
        <f t="shared" si="285"/>
        <v>0</v>
      </c>
      <c r="AF286" s="28">
        <f t="shared" si="286"/>
        <v>0</v>
      </c>
      <c r="AG286" s="28">
        <f t="shared" si="287"/>
        <v>0</v>
      </c>
      <c r="AH286" s="28">
        <f t="shared" si="288"/>
        <v>0</v>
      </c>
      <c r="AI286" s="21" t="s">
        <v>334</v>
      </c>
      <c r="AJ286" s="28">
        <f t="shared" si="289"/>
        <v>0</v>
      </c>
      <c r="AK286" s="28">
        <f t="shared" si="290"/>
        <v>0</v>
      </c>
      <c r="AL286" s="28">
        <f t="shared" si="291"/>
        <v>0</v>
      </c>
      <c r="AN286" s="28">
        <v>21</v>
      </c>
      <c r="AO286" s="28">
        <f>H286*1</f>
        <v>0</v>
      </c>
      <c r="AP286" s="28">
        <f>H286*(1-1)</f>
        <v>0</v>
      </c>
      <c r="AQ286" s="30" t="s">
        <v>900</v>
      </c>
      <c r="AV286" s="28">
        <f t="shared" si="292"/>
        <v>0</v>
      </c>
      <c r="AW286" s="28">
        <f t="shared" si="293"/>
        <v>0</v>
      </c>
      <c r="AX286" s="28">
        <f t="shared" si="294"/>
        <v>0</v>
      </c>
      <c r="AY286" s="30" t="s">
        <v>92</v>
      </c>
      <c r="AZ286" s="30" t="s">
        <v>183</v>
      </c>
      <c r="BA286" s="21" t="s">
        <v>497</v>
      </c>
      <c r="BC286" s="28">
        <f t="shared" si="295"/>
        <v>0</v>
      </c>
      <c r="BD286" s="28">
        <f t="shared" si="296"/>
        <v>0</v>
      </c>
      <c r="BE286" s="28">
        <v>0</v>
      </c>
      <c r="BF286" s="28">
        <f>286</f>
        <v>286</v>
      </c>
      <c r="BH286" s="28">
        <f t="shared" si="297"/>
        <v>0</v>
      </c>
      <c r="BI286" s="28">
        <f t="shared" si="298"/>
        <v>0</v>
      </c>
      <c r="BJ286" s="28">
        <f t="shared" si="299"/>
        <v>0</v>
      </c>
      <c r="BK286" s="28"/>
      <c r="BL286" s="28">
        <v>733</v>
      </c>
      <c r="BW286" s="28">
        <v>21</v>
      </c>
    </row>
    <row r="287" spans="1:47" ht="15" customHeight="1">
      <c r="A287" s="3" t="s">
        <v>626</v>
      </c>
      <c r="B287" s="43" t="s">
        <v>334</v>
      </c>
      <c r="C287" s="43" t="s">
        <v>761</v>
      </c>
      <c r="D287" s="103" t="s">
        <v>589</v>
      </c>
      <c r="E287" s="104"/>
      <c r="F287" s="37" t="s">
        <v>836</v>
      </c>
      <c r="G287" s="37" t="s">
        <v>836</v>
      </c>
      <c r="H287" s="118" t="s">
        <v>836</v>
      </c>
      <c r="I287" s="119">
        <f>SUM(I288:I302)</f>
        <v>0</v>
      </c>
      <c r="K287" s="8"/>
      <c r="AI287" s="21" t="s">
        <v>334</v>
      </c>
      <c r="AS287" s="31">
        <f>SUM(AJ288:AJ302)</f>
        <v>0</v>
      </c>
      <c r="AT287" s="31">
        <f>SUM(AK288:AK302)</f>
        <v>0</v>
      </c>
      <c r="AU287" s="31">
        <f>SUM(AL288:AL302)</f>
        <v>0</v>
      </c>
    </row>
    <row r="288" spans="1:75" ht="13.5" customHeight="1">
      <c r="A288" s="38" t="s">
        <v>22</v>
      </c>
      <c r="B288" s="39" t="s">
        <v>334</v>
      </c>
      <c r="C288" s="39" t="s">
        <v>582</v>
      </c>
      <c r="D288" s="50" t="s">
        <v>309</v>
      </c>
      <c r="E288" s="51"/>
      <c r="F288" s="39" t="s">
        <v>228</v>
      </c>
      <c r="G288" s="28">
        <v>6</v>
      </c>
      <c r="H288" s="120">
        <v>0</v>
      </c>
      <c r="I288" s="120">
        <f aca="true" t="shared" si="300" ref="I288:I302">G288*H288</f>
        <v>0</v>
      </c>
      <c r="K288" s="8"/>
      <c r="Z288" s="28">
        <f aca="true" t="shared" si="301" ref="Z288:Z302">IF(AQ288="5",BJ288,0)</f>
        <v>0</v>
      </c>
      <c r="AB288" s="28">
        <f aca="true" t="shared" si="302" ref="AB288:AB302">IF(AQ288="1",BH288,0)</f>
        <v>0</v>
      </c>
      <c r="AC288" s="28">
        <f aca="true" t="shared" si="303" ref="AC288:AC302">IF(AQ288="1",BI288,0)</f>
        <v>0</v>
      </c>
      <c r="AD288" s="28">
        <f aca="true" t="shared" si="304" ref="AD288:AD302">IF(AQ288="7",BH288,0)</f>
        <v>0</v>
      </c>
      <c r="AE288" s="28">
        <f aca="true" t="shared" si="305" ref="AE288:AE302">IF(AQ288="7",BI288,0)</f>
        <v>0</v>
      </c>
      <c r="AF288" s="28">
        <f aca="true" t="shared" si="306" ref="AF288:AF302">IF(AQ288="2",BH288,0)</f>
        <v>0</v>
      </c>
      <c r="AG288" s="28">
        <f aca="true" t="shared" si="307" ref="AG288:AG302">IF(AQ288="2",BI288,0)</f>
        <v>0</v>
      </c>
      <c r="AH288" s="28">
        <f aca="true" t="shared" si="308" ref="AH288:AH302">IF(AQ288="0",BJ288,0)</f>
        <v>0</v>
      </c>
      <c r="AI288" s="21" t="s">
        <v>334</v>
      </c>
      <c r="AJ288" s="28">
        <f aca="true" t="shared" si="309" ref="AJ288:AJ302">IF(AN288=0,I288,0)</f>
        <v>0</v>
      </c>
      <c r="AK288" s="28">
        <f aca="true" t="shared" si="310" ref="AK288:AK302">IF(AN288=12,I288,0)</f>
        <v>0</v>
      </c>
      <c r="AL288" s="28">
        <f aca="true" t="shared" si="311" ref="AL288:AL302">IF(AN288=21,I288,0)</f>
        <v>0</v>
      </c>
      <c r="AN288" s="28">
        <v>21</v>
      </c>
      <c r="AO288" s="28">
        <f>H288*0.289347179920003</f>
        <v>0</v>
      </c>
      <c r="AP288" s="28">
        <f>H288*(1-0.289347179920003)</f>
        <v>0</v>
      </c>
      <c r="AQ288" s="30" t="s">
        <v>900</v>
      </c>
      <c r="AV288" s="28">
        <f aca="true" t="shared" si="312" ref="AV288:AV302">AW288+AX288</f>
        <v>0</v>
      </c>
      <c r="AW288" s="28">
        <f aca="true" t="shared" si="313" ref="AW288:AW302">G288*AO288</f>
        <v>0</v>
      </c>
      <c r="AX288" s="28">
        <f aca="true" t="shared" si="314" ref="AX288:AX302">G288*AP288</f>
        <v>0</v>
      </c>
      <c r="AY288" s="30" t="s">
        <v>178</v>
      </c>
      <c r="AZ288" s="30" t="s">
        <v>183</v>
      </c>
      <c r="BA288" s="21" t="s">
        <v>497</v>
      </c>
      <c r="BC288" s="28">
        <f aca="true" t="shared" si="315" ref="BC288:BC302">AW288+AX288</f>
        <v>0</v>
      </c>
      <c r="BD288" s="28">
        <f aca="true" t="shared" si="316" ref="BD288:BD302">H288/(100-BE288)*100</f>
        <v>0</v>
      </c>
      <c r="BE288" s="28">
        <v>0</v>
      </c>
      <c r="BF288" s="28">
        <f>288</f>
        <v>288</v>
      </c>
      <c r="BH288" s="28">
        <f aca="true" t="shared" si="317" ref="BH288:BH302">G288*AO288</f>
        <v>0</v>
      </c>
      <c r="BI288" s="28">
        <f aca="true" t="shared" si="318" ref="BI288:BI302">G288*AP288</f>
        <v>0</v>
      </c>
      <c r="BJ288" s="28">
        <f aca="true" t="shared" si="319" ref="BJ288:BJ302">G288*H288</f>
        <v>0</v>
      </c>
      <c r="BK288" s="28"/>
      <c r="BL288" s="28">
        <v>734</v>
      </c>
      <c r="BW288" s="28">
        <v>21</v>
      </c>
    </row>
    <row r="289" spans="1:75" ht="13.5" customHeight="1">
      <c r="A289" s="38" t="s">
        <v>374</v>
      </c>
      <c r="B289" s="39" t="s">
        <v>334</v>
      </c>
      <c r="C289" s="39" t="s">
        <v>625</v>
      </c>
      <c r="D289" s="50" t="s">
        <v>634</v>
      </c>
      <c r="E289" s="51"/>
      <c r="F289" s="39" t="s">
        <v>228</v>
      </c>
      <c r="G289" s="28">
        <v>4</v>
      </c>
      <c r="H289" s="120">
        <v>0</v>
      </c>
      <c r="I289" s="120">
        <f t="shared" si="300"/>
        <v>0</v>
      </c>
      <c r="K289" s="8"/>
      <c r="Z289" s="28">
        <f t="shared" si="301"/>
        <v>0</v>
      </c>
      <c r="AB289" s="28">
        <f t="shared" si="302"/>
        <v>0</v>
      </c>
      <c r="AC289" s="28">
        <f t="shared" si="303"/>
        <v>0</v>
      </c>
      <c r="AD289" s="28">
        <f t="shared" si="304"/>
        <v>0</v>
      </c>
      <c r="AE289" s="28">
        <f t="shared" si="305"/>
        <v>0</v>
      </c>
      <c r="AF289" s="28">
        <f t="shared" si="306"/>
        <v>0</v>
      </c>
      <c r="AG289" s="28">
        <f t="shared" si="307"/>
        <v>0</v>
      </c>
      <c r="AH289" s="28">
        <f t="shared" si="308"/>
        <v>0</v>
      </c>
      <c r="AI289" s="21" t="s">
        <v>334</v>
      </c>
      <c r="AJ289" s="28">
        <f t="shared" si="309"/>
        <v>0</v>
      </c>
      <c r="AK289" s="28">
        <f t="shared" si="310"/>
        <v>0</v>
      </c>
      <c r="AL289" s="28">
        <f t="shared" si="311"/>
        <v>0</v>
      </c>
      <c r="AN289" s="28">
        <v>21</v>
      </c>
      <c r="AO289" s="28">
        <f>H289*0.0054421768707483</f>
        <v>0</v>
      </c>
      <c r="AP289" s="28">
        <f>H289*(1-0.0054421768707483)</f>
        <v>0</v>
      </c>
      <c r="AQ289" s="30" t="s">
        <v>900</v>
      </c>
      <c r="AV289" s="28">
        <f t="shared" si="312"/>
        <v>0</v>
      </c>
      <c r="AW289" s="28">
        <f t="shared" si="313"/>
        <v>0</v>
      </c>
      <c r="AX289" s="28">
        <f t="shared" si="314"/>
        <v>0</v>
      </c>
      <c r="AY289" s="30" t="s">
        <v>178</v>
      </c>
      <c r="AZ289" s="30" t="s">
        <v>183</v>
      </c>
      <c r="BA289" s="21" t="s">
        <v>497</v>
      </c>
      <c r="BC289" s="28">
        <f t="shared" si="315"/>
        <v>0</v>
      </c>
      <c r="BD289" s="28">
        <f t="shared" si="316"/>
        <v>0</v>
      </c>
      <c r="BE289" s="28">
        <v>0</v>
      </c>
      <c r="BF289" s="28">
        <f>289</f>
        <v>289</v>
      </c>
      <c r="BH289" s="28">
        <f t="shared" si="317"/>
        <v>0</v>
      </c>
      <c r="BI289" s="28">
        <f t="shared" si="318"/>
        <v>0</v>
      </c>
      <c r="BJ289" s="28">
        <f t="shared" si="319"/>
        <v>0</v>
      </c>
      <c r="BK289" s="28"/>
      <c r="BL289" s="28">
        <v>734</v>
      </c>
      <c r="BW289" s="28">
        <v>21</v>
      </c>
    </row>
    <row r="290" spans="1:75" ht="13.5" customHeight="1">
      <c r="A290" s="38" t="s">
        <v>41</v>
      </c>
      <c r="B290" s="39" t="s">
        <v>334</v>
      </c>
      <c r="C290" s="39" t="s">
        <v>292</v>
      </c>
      <c r="D290" s="50" t="s">
        <v>1078</v>
      </c>
      <c r="E290" s="51"/>
      <c r="F290" s="39" t="s">
        <v>228</v>
      </c>
      <c r="G290" s="28">
        <v>2</v>
      </c>
      <c r="H290" s="120">
        <v>0</v>
      </c>
      <c r="I290" s="120">
        <f t="shared" si="300"/>
        <v>0</v>
      </c>
      <c r="K290" s="8"/>
      <c r="Z290" s="28">
        <f t="shared" si="301"/>
        <v>0</v>
      </c>
      <c r="AB290" s="28">
        <f t="shared" si="302"/>
        <v>0</v>
      </c>
      <c r="AC290" s="28">
        <f t="shared" si="303"/>
        <v>0</v>
      </c>
      <c r="AD290" s="28">
        <f t="shared" si="304"/>
        <v>0</v>
      </c>
      <c r="AE290" s="28">
        <f t="shared" si="305"/>
        <v>0</v>
      </c>
      <c r="AF290" s="28">
        <f t="shared" si="306"/>
        <v>0</v>
      </c>
      <c r="AG290" s="28">
        <f t="shared" si="307"/>
        <v>0</v>
      </c>
      <c r="AH290" s="28">
        <f t="shared" si="308"/>
        <v>0</v>
      </c>
      <c r="AI290" s="21" t="s">
        <v>334</v>
      </c>
      <c r="AJ290" s="28">
        <f t="shared" si="309"/>
        <v>0</v>
      </c>
      <c r="AK290" s="28">
        <f t="shared" si="310"/>
        <v>0</v>
      </c>
      <c r="AL290" s="28">
        <f t="shared" si="311"/>
        <v>0</v>
      </c>
      <c r="AN290" s="28">
        <v>21</v>
      </c>
      <c r="AO290" s="28">
        <f>H290*0.925843353557639</f>
        <v>0</v>
      </c>
      <c r="AP290" s="28">
        <f>H290*(1-0.925843353557639)</f>
        <v>0</v>
      </c>
      <c r="AQ290" s="30" t="s">
        <v>900</v>
      </c>
      <c r="AV290" s="28">
        <f t="shared" si="312"/>
        <v>0</v>
      </c>
      <c r="AW290" s="28">
        <f t="shared" si="313"/>
        <v>0</v>
      </c>
      <c r="AX290" s="28">
        <f t="shared" si="314"/>
        <v>0</v>
      </c>
      <c r="AY290" s="30" t="s">
        <v>178</v>
      </c>
      <c r="AZ290" s="30" t="s">
        <v>183</v>
      </c>
      <c r="BA290" s="21" t="s">
        <v>497</v>
      </c>
      <c r="BC290" s="28">
        <f t="shared" si="315"/>
        <v>0</v>
      </c>
      <c r="BD290" s="28">
        <f t="shared" si="316"/>
        <v>0</v>
      </c>
      <c r="BE290" s="28">
        <v>0</v>
      </c>
      <c r="BF290" s="28">
        <f>290</f>
        <v>290</v>
      </c>
      <c r="BH290" s="28">
        <f t="shared" si="317"/>
        <v>0</v>
      </c>
      <c r="BI290" s="28">
        <f t="shared" si="318"/>
        <v>0</v>
      </c>
      <c r="BJ290" s="28">
        <f t="shared" si="319"/>
        <v>0</v>
      </c>
      <c r="BK290" s="28"/>
      <c r="BL290" s="28">
        <v>734</v>
      </c>
      <c r="BW290" s="28">
        <v>21</v>
      </c>
    </row>
    <row r="291" spans="1:75" ht="13.5" customHeight="1">
      <c r="A291" s="38" t="s">
        <v>179</v>
      </c>
      <c r="B291" s="39" t="s">
        <v>334</v>
      </c>
      <c r="C291" s="39" t="s">
        <v>623</v>
      </c>
      <c r="D291" s="50" t="s">
        <v>479</v>
      </c>
      <c r="E291" s="51"/>
      <c r="F291" s="39" t="s">
        <v>228</v>
      </c>
      <c r="G291" s="28">
        <v>6</v>
      </c>
      <c r="H291" s="120">
        <v>0</v>
      </c>
      <c r="I291" s="120">
        <f t="shared" si="300"/>
        <v>0</v>
      </c>
      <c r="K291" s="8"/>
      <c r="Z291" s="28">
        <f t="shared" si="301"/>
        <v>0</v>
      </c>
      <c r="AB291" s="28">
        <f t="shared" si="302"/>
        <v>0</v>
      </c>
      <c r="AC291" s="28">
        <f t="shared" si="303"/>
        <v>0</v>
      </c>
      <c r="AD291" s="28">
        <f t="shared" si="304"/>
        <v>0</v>
      </c>
      <c r="AE291" s="28">
        <f t="shared" si="305"/>
        <v>0</v>
      </c>
      <c r="AF291" s="28">
        <f t="shared" si="306"/>
        <v>0</v>
      </c>
      <c r="AG291" s="28">
        <f t="shared" si="307"/>
        <v>0</v>
      </c>
      <c r="AH291" s="28">
        <f t="shared" si="308"/>
        <v>0</v>
      </c>
      <c r="AI291" s="21" t="s">
        <v>334</v>
      </c>
      <c r="AJ291" s="28">
        <f t="shared" si="309"/>
        <v>0</v>
      </c>
      <c r="AK291" s="28">
        <f t="shared" si="310"/>
        <v>0</v>
      </c>
      <c r="AL291" s="28">
        <f t="shared" si="311"/>
        <v>0</v>
      </c>
      <c r="AN291" s="28">
        <v>21</v>
      </c>
      <c r="AO291" s="28">
        <f>H291*0.711852348993289</f>
        <v>0</v>
      </c>
      <c r="AP291" s="28">
        <f>H291*(1-0.711852348993289)</f>
        <v>0</v>
      </c>
      <c r="AQ291" s="30" t="s">
        <v>900</v>
      </c>
      <c r="AV291" s="28">
        <f t="shared" si="312"/>
        <v>0</v>
      </c>
      <c r="AW291" s="28">
        <f t="shared" si="313"/>
        <v>0</v>
      </c>
      <c r="AX291" s="28">
        <f t="shared" si="314"/>
        <v>0</v>
      </c>
      <c r="AY291" s="30" t="s">
        <v>178</v>
      </c>
      <c r="AZ291" s="30" t="s">
        <v>183</v>
      </c>
      <c r="BA291" s="21" t="s">
        <v>497</v>
      </c>
      <c r="BC291" s="28">
        <f t="shared" si="315"/>
        <v>0</v>
      </c>
      <c r="BD291" s="28">
        <f t="shared" si="316"/>
        <v>0</v>
      </c>
      <c r="BE291" s="28">
        <v>0</v>
      </c>
      <c r="BF291" s="28">
        <f>291</f>
        <v>291</v>
      </c>
      <c r="BH291" s="28">
        <f t="shared" si="317"/>
        <v>0</v>
      </c>
      <c r="BI291" s="28">
        <f t="shared" si="318"/>
        <v>0</v>
      </c>
      <c r="BJ291" s="28">
        <f t="shared" si="319"/>
        <v>0</v>
      </c>
      <c r="BK291" s="28"/>
      <c r="BL291" s="28">
        <v>734</v>
      </c>
      <c r="BW291" s="28">
        <v>21</v>
      </c>
    </row>
    <row r="292" spans="1:75" ht="13.5" customHeight="1">
      <c r="A292" s="38" t="s">
        <v>211</v>
      </c>
      <c r="B292" s="39" t="s">
        <v>334</v>
      </c>
      <c r="C292" s="39" t="s">
        <v>141</v>
      </c>
      <c r="D292" s="50" t="s">
        <v>716</v>
      </c>
      <c r="E292" s="51"/>
      <c r="F292" s="39" t="s">
        <v>228</v>
      </c>
      <c r="G292" s="28">
        <v>3</v>
      </c>
      <c r="H292" s="120">
        <v>0</v>
      </c>
      <c r="I292" s="120">
        <f t="shared" si="300"/>
        <v>0</v>
      </c>
      <c r="K292" s="8"/>
      <c r="Z292" s="28">
        <f t="shared" si="301"/>
        <v>0</v>
      </c>
      <c r="AB292" s="28">
        <f t="shared" si="302"/>
        <v>0</v>
      </c>
      <c r="AC292" s="28">
        <f t="shared" si="303"/>
        <v>0</v>
      </c>
      <c r="AD292" s="28">
        <f t="shared" si="304"/>
        <v>0</v>
      </c>
      <c r="AE292" s="28">
        <f t="shared" si="305"/>
        <v>0</v>
      </c>
      <c r="AF292" s="28">
        <f t="shared" si="306"/>
        <v>0</v>
      </c>
      <c r="AG292" s="28">
        <f t="shared" si="307"/>
        <v>0</v>
      </c>
      <c r="AH292" s="28">
        <f t="shared" si="308"/>
        <v>0</v>
      </c>
      <c r="AI292" s="21" t="s">
        <v>334</v>
      </c>
      <c r="AJ292" s="28">
        <f t="shared" si="309"/>
        <v>0</v>
      </c>
      <c r="AK292" s="28">
        <f t="shared" si="310"/>
        <v>0</v>
      </c>
      <c r="AL292" s="28">
        <f t="shared" si="311"/>
        <v>0</v>
      </c>
      <c r="AN292" s="28">
        <v>21</v>
      </c>
      <c r="AO292" s="28">
        <f>H292*0.893467248908297</f>
        <v>0</v>
      </c>
      <c r="AP292" s="28">
        <f>H292*(1-0.893467248908297)</f>
        <v>0</v>
      </c>
      <c r="AQ292" s="30" t="s">
        <v>900</v>
      </c>
      <c r="AV292" s="28">
        <f t="shared" si="312"/>
        <v>0</v>
      </c>
      <c r="AW292" s="28">
        <f t="shared" si="313"/>
        <v>0</v>
      </c>
      <c r="AX292" s="28">
        <f t="shared" si="314"/>
        <v>0</v>
      </c>
      <c r="AY292" s="30" t="s">
        <v>178</v>
      </c>
      <c r="AZ292" s="30" t="s">
        <v>183</v>
      </c>
      <c r="BA292" s="21" t="s">
        <v>497</v>
      </c>
      <c r="BC292" s="28">
        <f t="shared" si="315"/>
        <v>0</v>
      </c>
      <c r="BD292" s="28">
        <f t="shared" si="316"/>
        <v>0</v>
      </c>
      <c r="BE292" s="28">
        <v>0</v>
      </c>
      <c r="BF292" s="28">
        <f>292</f>
        <v>292</v>
      </c>
      <c r="BH292" s="28">
        <f t="shared" si="317"/>
        <v>0</v>
      </c>
      <c r="BI292" s="28">
        <f t="shared" si="318"/>
        <v>0</v>
      </c>
      <c r="BJ292" s="28">
        <f t="shared" si="319"/>
        <v>0</v>
      </c>
      <c r="BK292" s="28"/>
      <c r="BL292" s="28">
        <v>734</v>
      </c>
      <c r="BW292" s="28">
        <v>21</v>
      </c>
    </row>
    <row r="293" spans="1:75" ht="13.5" customHeight="1">
      <c r="A293" s="38" t="s">
        <v>171</v>
      </c>
      <c r="B293" s="39" t="s">
        <v>334</v>
      </c>
      <c r="C293" s="39" t="s">
        <v>720</v>
      </c>
      <c r="D293" s="50" t="s">
        <v>401</v>
      </c>
      <c r="E293" s="51"/>
      <c r="F293" s="39" t="s">
        <v>228</v>
      </c>
      <c r="G293" s="28">
        <v>1</v>
      </c>
      <c r="H293" s="120">
        <v>0</v>
      </c>
      <c r="I293" s="120">
        <f t="shared" si="300"/>
        <v>0</v>
      </c>
      <c r="K293" s="8"/>
      <c r="Z293" s="28">
        <f t="shared" si="301"/>
        <v>0</v>
      </c>
      <c r="AB293" s="28">
        <f t="shared" si="302"/>
        <v>0</v>
      </c>
      <c r="AC293" s="28">
        <f t="shared" si="303"/>
        <v>0</v>
      </c>
      <c r="AD293" s="28">
        <f t="shared" si="304"/>
        <v>0</v>
      </c>
      <c r="AE293" s="28">
        <f t="shared" si="305"/>
        <v>0</v>
      </c>
      <c r="AF293" s="28">
        <f t="shared" si="306"/>
        <v>0</v>
      </c>
      <c r="AG293" s="28">
        <f t="shared" si="307"/>
        <v>0</v>
      </c>
      <c r="AH293" s="28">
        <f t="shared" si="308"/>
        <v>0</v>
      </c>
      <c r="AI293" s="21" t="s">
        <v>334</v>
      </c>
      <c r="AJ293" s="28">
        <f t="shared" si="309"/>
        <v>0</v>
      </c>
      <c r="AK293" s="28">
        <f t="shared" si="310"/>
        <v>0</v>
      </c>
      <c r="AL293" s="28">
        <f t="shared" si="311"/>
        <v>0</v>
      </c>
      <c r="AN293" s="28">
        <v>21</v>
      </c>
      <c r="AO293" s="28">
        <f>H293*0.945546104928458</f>
        <v>0</v>
      </c>
      <c r="AP293" s="28">
        <f>H293*(1-0.945546104928458)</f>
        <v>0</v>
      </c>
      <c r="AQ293" s="30" t="s">
        <v>900</v>
      </c>
      <c r="AV293" s="28">
        <f t="shared" si="312"/>
        <v>0</v>
      </c>
      <c r="AW293" s="28">
        <f t="shared" si="313"/>
        <v>0</v>
      </c>
      <c r="AX293" s="28">
        <f t="shared" si="314"/>
        <v>0</v>
      </c>
      <c r="AY293" s="30" t="s">
        <v>178</v>
      </c>
      <c r="AZ293" s="30" t="s">
        <v>183</v>
      </c>
      <c r="BA293" s="21" t="s">
        <v>497</v>
      </c>
      <c r="BC293" s="28">
        <f t="shared" si="315"/>
        <v>0</v>
      </c>
      <c r="BD293" s="28">
        <f t="shared" si="316"/>
        <v>0</v>
      </c>
      <c r="BE293" s="28">
        <v>0</v>
      </c>
      <c r="BF293" s="28">
        <f>293</f>
        <v>293</v>
      </c>
      <c r="BH293" s="28">
        <f t="shared" si="317"/>
        <v>0</v>
      </c>
      <c r="BI293" s="28">
        <f t="shared" si="318"/>
        <v>0</v>
      </c>
      <c r="BJ293" s="28">
        <f t="shared" si="319"/>
        <v>0</v>
      </c>
      <c r="BK293" s="28"/>
      <c r="BL293" s="28">
        <v>734</v>
      </c>
      <c r="BW293" s="28">
        <v>21</v>
      </c>
    </row>
    <row r="294" spans="1:75" ht="13.5" customHeight="1">
      <c r="A294" s="38" t="s">
        <v>272</v>
      </c>
      <c r="B294" s="39" t="s">
        <v>334</v>
      </c>
      <c r="C294" s="39" t="s">
        <v>848</v>
      </c>
      <c r="D294" s="50" t="s">
        <v>440</v>
      </c>
      <c r="E294" s="51"/>
      <c r="F294" s="39" t="s">
        <v>228</v>
      </c>
      <c r="G294" s="28">
        <v>1</v>
      </c>
      <c r="H294" s="120">
        <v>0</v>
      </c>
      <c r="I294" s="120">
        <f t="shared" si="300"/>
        <v>0</v>
      </c>
      <c r="K294" s="8"/>
      <c r="Z294" s="28">
        <f t="shared" si="301"/>
        <v>0</v>
      </c>
      <c r="AB294" s="28">
        <f t="shared" si="302"/>
        <v>0</v>
      </c>
      <c r="AC294" s="28">
        <f t="shared" si="303"/>
        <v>0</v>
      </c>
      <c r="AD294" s="28">
        <f t="shared" si="304"/>
        <v>0</v>
      </c>
      <c r="AE294" s="28">
        <f t="shared" si="305"/>
        <v>0</v>
      </c>
      <c r="AF294" s="28">
        <f t="shared" si="306"/>
        <v>0</v>
      </c>
      <c r="AG294" s="28">
        <f t="shared" si="307"/>
        <v>0</v>
      </c>
      <c r="AH294" s="28">
        <f t="shared" si="308"/>
        <v>0</v>
      </c>
      <c r="AI294" s="21" t="s">
        <v>334</v>
      </c>
      <c r="AJ294" s="28">
        <f t="shared" si="309"/>
        <v>0</v>
      </c>
      <c r="AK294" s="28">
        <f t="shared" si="310"/>
        <v>0</v>
      </c>
      <c r="AL294" s="28">
        <f t="shared" si="311"/>
        <v>0</v>
      </c>
      <c r="AN294" s="28">
        <v>21</v>
      </c>
      <c r="AO294" s="28">
        <f>H294*0.913686165273909</f>
        <v>0</v>
      </c>
      <c r="AP294" s="28">
        <f>H294*(1-0.913686165273909)</f>
        <v>0</v>
      </c>
      <c r="AQ294" s="30" t="s">
        <v>900</v>
      </c>
      <c r="AV294" s="28">
        <f t="shared" si="312"/>
        <v>0</v>
      </c>
      <c r="AW294" s="28">
        <f t="shared" si="313"/>
        <v>0</v>
      </c>
      <c r="AX294" s="28">
        <f t="shared" si="314"/>
        <v>0</v>
      </c>
      <c r="AY294" s="30" t="s">
        <v>178</v>
      </c>
      <c r="AZ294" s="30" t="s">
        <v>183</v>
      </c>
      <c r="BA294" s="21" t="s">
        <v>497</v>
      </c>
      <c r="BC294" s="28">
        <f t="shared" si="315"/>
        <v>0</v>
      </c>
      <c r="BD294" s="28">
        <f t="shared" si="316"/>
        <v>0</v>
      </c>
      <c r="BE294" s="28">
        <v>0</v>
      </c>
      <c r="BF294" s="28">
        <f>294</f>
        <v>294</v>
      </c>
      <c r="BH294" s="28">
        <f t="shared" si="317"/>
        <v>0</v>
      </c>
      <c r="BI294" s="28">
        <f t="shared" si="318"/>
        <v>0</v>
      </c>
      <c r="BJ294" s="28">
        <f t="shared" si="319"/>
        <v>0</v>
      </c>
      <c r="BK294" s="28"/>
      <c r="BL294" s="28">
        <v>734</v>
      </c>
      <c r="BW294" s="28">
        <v>21</v>
      </c>
    </row>
    <row r="295" spans="1:75" ht="13.5" customHeight="1">
      <c r="A295" s="38" t="s">
        <v>439</v>
      </c>
      <c r="B295" s="39" t="s">
        <v>334</v>
      </c>
      <c r="C295" s="39" t="s">
        <v>471</v>
      </c>
      <c r="D295" s="50" t="s">
        <v>1094</v>
      </c>
      <c r="E295" s="51"/>
      <c r="F295" s="39" t="s">
        <v>228</v>
      </c>
      <c r="G295" s="28">
        <v>2</v>
      </c>
      <c r="H295" s="120">
        <v>0</v>
      </c>
      <c r="I295" s="120">
        <f t="shared" si="300"/>
        <v>0</v>
      </c>
      <c r="K295" s="8"/>
      <c r="Z295" s="28">
        <f t="shared" si="301"/>
        <v>0</v>
      </c>
      <c r="AB295" s="28">
        <f t="shared" si="302"/>
        <v>0</v>
      </c>
      <c r="AC295" s="28">
        <f t="shared" si="303"/>
        <v>0</v>
      </c>
      <c r="AD295" s="28">
        <f t="shared" si="304"/>
        <v>0</v>
      </c>
      <c r="AE295" s="28">
        <f t="shared" si="305"/>
        <v>0</v>
      </c>
      <c r="AF295" s="28">
        <f t="shared" si="306"/>
        <v>0</v>
      </c>
      <c r="AG295" s="28">
        <f t="shared" si="307"/>
        <v>0</v>
      </c>
      <c r="AH295" s="28">
        <f t="shared" si="308"/>
        <v>0</v>
      </c>
      <c r="AI295" s="21" t="s">
        <v>334</v>
      </c>
      <c r="AJ295" s="28">
        <f t="shared" si="309"/>
        <v>0</v>
      </c>
      <c r="AK295" s="28">
        <f t="shared" si="310"/>
        <v>0</v>
      </c>
      <c r="AL295" s="28">
        <f t="shared" si="311"/>
        <v>0</v>
      </c>
      <c r="AN295" s="28">
        <v>21</v>
      </c>
      <c r="AO295" s="28">
        <f>H295*0.869366700715015</f>
        <v>0</v>
      </c>
      <c r="AP295" s="28">
        <f>H295*(1-0.869366700715015)</f>
        <v>0</v>
      </c>
      <c r="AQ295" s="30" t="s">
        <v>900</v>
      </c>
      <c r="AV295" s="28">
        <f t="shared" si="312"/>
        <v>0</v>
      </c>
      <c r="AW295" s="28">
        <f t="shared" si="313"/>
        <v>0</v>
      </c>
      <c r="AX295" s="28">
        <f t="shared" si="314"/>
        <v>0</v>
      </c>
      <c r="AY295" s="30" t="s">
        <v>178</v>
      </c>
      <c r="AZ295" s="30" t="s">
        <v>183</v>
      </c>
      <c r="BA295" s="21" t="s">
        <v>497</v>
      </c>
      <c r="BC295" s="28">
        <f t="shared" si="315"/>
        <v>0</v>
      </c>
      <c r="BD295" s="28">
        <f t="shared" si="316"/>
        <v>0</v>
      </c>
      <c r="BE295" s="28">
        <v>0</v>
      </c>
      <c r="BF295" s="28">
        <f>295</f>
        <v>295</v>
      </c>
      <c r="BH295" s="28">
        <f t="shared" si="317"/>
        <v>0</v>
      </c>
      <c r="BI295" s="28">
        <f t="shared" si="318"/>
        <v>0</v>
      </c>
      <c r="BJ295" s="28">
        <f t="shared" si="319"/>
        <v>0</v>
      </c>
      <c r="BK295" s="28"/>
      <c r="BL295" s="28">
        <v>734</v>
      </c>
      <c r="BW295" s="28">
        <v>21</v>
      </c>
    </row>
    <row r="296" spans="1:75" ht="13.5" customHeight="1">
      <c r="A296" s="38" t="s">
        <v>661</v>
      </c>
      <c r="B296" s="39" t="s">
        <v>334</v>
      </c>
      <c r="C296" s="39" t="s">
        <v>923</v>
      </c>
      <c r="D296" s="50" t="s">
        <v>1073</v>
      </c>
      <c r="E296" s="51"/>
      <c r="F296" s="39" t="s">
        <v>228</v>
      </c>
      <c r="G296" s="28">
        <v>1</v>
      </c>
      <c r="H296" s="120">
        <v>0</v>
      </c>
      <c r="I296" s="120">
        <f t="shared" si="300"/>
        <v>0</v>
      </c>
      <c r="K296" s="8"/>
      <c r="Z296" s="28">
        <f t="shared" si="301"/>
        <v>0</v>
      </c>
      <c r="AB296" s="28">
        <f t="shared" si="302"/>
        <v>0</v>
      </c>
      <c r="AC296" s="28">
        <f t="shared" si="303"/>
        <v>0</v>
      </c>
      <c r="AD296" s="28">
        <f t="shared" si="304"/>
        <v>0</v>
      </c>
      <c r="AE296" s="28">
        <f t="shared" si="305"/>
        <v>0</v>
      </c>
      <c r="AF296" s="28">
        <f t="shared" si="306"/>
        <v>0</v>
      </c>
      <c r="AG296" s="28">
        <f t="shared" si="307"/>
        <v>0</v>
      </c>
      <c r="AH296" s="28">
        <f t="shared" si="308"/>
        <v>0</v>
      </c>
      <c r="AI296" s="21" t="s">
        <v>334</v>
      </c>
      <c r="AJ296" s="28">
        <f t="shared" si="309"/>
        <v>0</v>
      </c>
      <c r="AK296" s="28">
        <f t="shared" si="310"/>
        <v>0</v>
      </c>
      <c r="AL296" s="28">
        <f t="shared" si="311"/>
        <v>0</v>
      </c>
      <c r="AN296" s="28">
        <v>21</v>
      </c>
      <c r="AO296" s="28">
        <f>H296*0.929993168165776</f>
        <v>0</v>
      </c>
      <c r="AP296" s="28">
        <f>H296*(1-0.929993168165776)</f>
        <v>0</v>
      </c>
      <c r="AQ296" s="30" t="s">
        <v>900</v>
      </c>
      <c r="AV296" s="28">
        <f t="shared" si="312"/>
        <v>0</v>
      </c>
      <c r="AW296" s="28">
        <f t="shared" si="313"/>
        <v>0</v>
      </c>
      <c r="AX296" s="28">
        <f t="shared" si="314"/>
        <v>0</v>
      </c>
      <c r="AY296" s="30" t="s">
        <v>178</v>
      </c>
      <c r="AZ296" s="30" t="s">
        <v>183</v>
      </c>
      <c r="BA296" s="21" t="s">
        <v>497</v>
      </c>
      <c r="BC296" s="28">
        <f t="shared" si="315"/>
        <v>0</v>
      </c>
      <c r="BD296" s="28">
        <f t="shared" si="316"/>
        <v>0</v>
      </c>
      <c r="BE296" s="28">
        <v>0</v>
      </c>
      <c r="BF296" s="28">
        <f>296</f>
        <v>296</v>
      </c>
      <c r="BH296" s="28">
        <f t="shared" si="317"/>
        <v>0</v>
      </c>
      <c r="BI296" s="28">
        <f t="shared" si="318"/>
        <v>0</v>
      </c>
      <c r="BJ296" s="28">
        <f t="shared" si="319"/>
        <v>0</v>
      </c>
      <c r="BK296" s="28"/>
      <c r="BL296" s="28">
        <v>734</v>
      </c>
      <c r="BW296" s="28">
        <v>21</v>
      </c>
    </row>
    <row r="297" spans="1:75" ht="13.5" customHeight="1">
      <c r="A297" s="38" t="s">
        <v>114</v>
      </c>
      <c r="B297" s="39" t="s">
        <v>334</v>
      </c>
      <c r="C297" s="39" t="s">
        <v>502</v>
      </c>
      <c r="D297" s="50" t="s">
        <v>1074</v>
      </c>
      <c r="E297" s="51"/>
      <c r="F297" s="39" t="s">
        <v>228</v>
      </c>
      <c r="G297" s="28">
        <v>1</v>
      </c>
      <c r="H297" s="120">
        <v>0</v>
      </c>
      <c r="I297" s="120">
        <f t="shared" si="300"/>
        <v>0</v>
      </c>
      <c r="K297" s="8"/>
      <c r="Z297" s="28">
        <f t="shared" si="301"/>
        <v>0</v>
      </c>
      <c r="AB297" s="28">
        <f t="shared" si="302"/>
        <v>0</v>
      </c>
      <c r="AC297" s="28">
        <f t="shared" si="303"/>
        <v>0</v>
      </c>
      <c r="AD297" s="28">
        <f t="shared" si="304"/>
        <v>0</v>
      </c>
      <c r="AE297" s="28">
        <f t="shared" si="305"/>
        <v>0</v>
      </c>
      <c r="AF297" s="28">
        <f t="shared" si="306"/>
        <v>0</v>
      </c>
      <c r="AG297" s="28">
        <f t="shared" si="307"/>
        <v>0</v>
      </c>
      <c r="AH297" s="28">
        <f t="shared" si="308"/>
        <v>0</v>
      </c>
      <c r="AI297" s="21" t="s">
        <v>334</v>
      </c>
      <c r="AJ297" s="28">
        <f t="shared" si="309"/>
        <v>0</v>
      </c>
      <c r="AK297" s="28">
        <f t="shared" si="310"/>
        <v>0</v>
      </c>
      <c r="AL297" s="28">
        <f t="shared" si="311"/>
        <v>0</v>
      </c>
      <c r="AN297" s="28">
        <v>21</v>
      </c>
      <c r="AO297" s="28">
        <f>H297*0.76990099009901</f>
        <v>0</v>
      </c>
      <c r="AP297" s="28">
        <f>H297*(1-0.76990099009901)</f>
        <v>0</v>
      </c>
      <c r="AQ297" s="30" t="s">
        <v>900</v>
      </c>
      <c r="AV297" s="28">
        <f t="shared" si="312"/>
        <v>0</v>
      </c>
      <c r="AW297" s="28">
        <f t="shared" si="313"/>
        <v>0</v>
      </c>
      <c r="AX297" s="28">
        <f t="shared" si="314"/>
        <v>0</v>
      </c>
      <c r="AY297" s="30" t="s">
        <v>178</v>
      </c>
      <c r="AZ297" s="30" t="s">
        <v>183</v>
      </c>
      <c r="BA297" s="21" t="s">
        <v>497</v>
      </c>
      <c r="BC297" s="28">
        <f t="shared" si="315"/>
        <v>0</v>
      </c>
      <c r="BD297" s="28">
        <f t="shared" si="316"/>
        <v>0</v>
      </c>
      <c r="BE297" s="28">
        <v>0</v>
      </c>
      <c r="BF297" s="28">
        <f>297</f>
        <v>297</v>
      </c>
      <c r="BH297" s="28">
        <f t="shared" si="317"/>
        <v>0</v>
      </c>
      <c r="BI297" s="28">
        <f t="shared" si="318"/>
        <v>0</v>
      </c>
      <c r="BJ297" s="28">
        <f t="shared" si="319"/>
        <v>0</v>
      </c>
      <c r="BK297" s="28"/>
      <c r="BL297" s="28">
        <v>734</v>
      </c>
      <c r="BW297" s="28">
        <v>21</v>
      </c>
    </row>
    <row r="298" spans="1:75" ht="13.5" customHeight="1">
      <c r="A298" s="38" t="s">
        <v>902</v>
      </c>
      <c r="B298" s="39" t="s">
        <v>334</v>
      </c>
      <c r="C298" s="39" t="s">
        <v>203</v>
      </c>
      <c r="D298" s="50" t="s">
        <v>1079</v>
      </c>
      <c r="E298" s="51"/>
      <c r="F298" s="39" t="s">
        <v>228</v>
      </c>
      <c r="G298" s="28">
        <v>1</v>
      </c>
      <c r="H298" s="120">
        <v>0</v>
      </c>
      <c r="I298" s="120">
        <f t="shared" si="300"/>
        <v>0</v>
      </c>
      <c r="K298" s="8"/>
      <c r="Z298" s="28">
        <f t="shared" si="301"/>
        <v>0</v>
      </c>
      <c r="AB298" s="28">
        <f t="shared" si="302"/>
        <v>0</v>
      </c>
      <c r="AC298" s="28">
        <f t="shared" si="303"/>
        <v>0</v>
      </c>
      <c r="AD298" s="28">
        <f t="shared" si="304"/>
        <v>0</v>
      </c>
      <c r="AE298" s="28">
        <f t="shared" si="305"/>
        <v>0</v>
      </c>
      <c r="AF298" s="28">
        <f t="shared" si="306"/>
        <v>0</v>
      </c>
      <c r="AG298" s="28">
        <f t="shared" si="307"/>
        <v>0</v>
      </c>
      <c r="AH298" s="28">
        <f t="shared" si="308"/>
        <v>0</v>
      </c>
      <c r="AI298" s="21" t="s">
        <v>334</v>
      </c>
      <c r="AJ298" s="28">
        <f t="shared" si="309"/>
        <v>0</v>
      </c>
      <c r="AK298" s="28">
        <f t="shared" si="310"/>
        <v>0</v>
      </c>
      <c r="AL298" s="28">
        <f t="shared" si="311"/>
        <v>0</v>
      </c>
      <c r="AN298" s="28">
        <v>21</v>
      </c>
      <c r="AO298" s="28">
        <f>H298*0.872981818181818</f>
        <v>0</v>
      </c>
      <c r="AP298" s="28">
        <f>H298*(1-0.872981818181818)</f>
        <v>0</v>
      </c>
      <c r="AQ298" s="30" t="s">
        <v>900</v>
      </c>
      <c r="AV298" s="28">
        <f t="shared" si="312"/>
        <v>0</v>
      </c>
      <c r="AW298" s="28">
        <f t="shared" si="313"/>
        <v>0</v>
      </c>
      <c r="AX298" s="28">
        <f t="shared" si="314"/>
        <v>0</v>
      </c>
      <c r="AY298" s="30" t="s">
        <v>178</v>
      </c>
      <c r="AZ298" s="30" t="s">
        <v>183</v>
      </c>
      <c r="BA298" s="21" t="s">
        <v>497</v>
      </c>
      <c r="BC298" s="28">
        <f t="shared" si="315"/>
        <v>0</v>
      </c>
      <c r="BD298" s="28">
        <f t="shared" si="316"/>
        <v>0</v>
      </c>
      <c r="BE298" s="28">
        <v>0</v>
      </c>
      <c r="BF298" s="28">
        <f>298</f>
        <v>298</v>
      </c>
      <c r="BH298" s="28">
        <f t="shared" si="317"/>
        <v>0</v>
      </c>
      <c r="BI298" s="28">
        <f t="shared" si="318"/>
        <v>0</v>
      </c>
      <c r="BJ298" s="28">
        <f t="shared" si="319"/>
        <v>0</v>
      </c>
      <c r="BK298" s="28"/>
      <c r="BL298" s="28">
        <v>734</v>
      </c>
      <c r="BW298" s="28">
        <v>21</v>
      </c>
    </row>
    <row r="299" spans="1:75" ht="13.5" customHeight="1">
      <c r="A299" s="38" t="s">
        <v>50</v>
      </c>
      <c r="B299" s="39" t="s">
        <v>334</v>
      </c>
      <c r="C299" s="39" t="s">
        <v>365</v>
      </c>
      <c r="D299" s="50" t="s">
        <v>243</v>
      </c>
      <c r="E299" s="51"/>
      <c r="F299" s="39" t="s">
        <v>311</v>
      </c>
      <c r="G299" s="28">
        <v>1</v>
      </c>
      <c r="H299" s="120">
        <v>0</v>
      </c>
      <c r="I299" s="120">
        <f t="shared" si="300"/>
        <v>0</v>
      </c>
      <c r="K299" s="8"/>
      <c r="Z299" s="28">
        <f t="shared" si="301"/>
        <v>0</v>
      </c>
      <c r="AB299" s="28">
        <f t="shared" si="302"/>
        <v>0</v>
      </c>
      <c r="AC299" s="28">
        <f t="shared" si="303"/>
        <v>0</v>
      </c>
      <c r="AD299" s="28">
        <f t="shared" si="304"/>
        <v>0</v>
      </c>
      <c r="AE299" s="28">
        <f t="shared" si="305"/>
        <v>0</v>
      </c>
      <c r="AF299" s="28">
        <f t="shared" si="306"/>
        <v>0</v>
      </c>
      <c r="AG299" s="28">
        <f t="shared" si="307"/>
        <v>0</v>
      </c>
      <c r="AH299" s="28">
        <f t="shared" si="308"/>
        <v>0</v>
      </c>
      <c r="AI299" s="21" t="s">
        <v>334</v>
      </c>
      <c r="AJ299" s="28">
        <f t="shared" si="309"/>
        <v>0</v>
      </c>
      <c r="AK299" s="28">
        <f t="shared" si="310"/>
        <v>0</v>
      </c>
      <c r="AL299" s="28">
        <f t="shared" si="311"/>
        <v>0</v>
      </c>
      <c r="AN299" s="28">
        <v>21</v>
      </c>
      <c r="AO299" s="28">
        <f>H299*0.924761904761905</f>
        <v>0</v>
      </c>
      <c r="AP299" s="28">
        <f>H299*(1-0.924761904761905)</f>
        <v>0</v>
      </c>
      <c r="AQ299" s="30" t="s">
        <v>900</v>
      </c>
      <c r="AV299" s="28">
        <f t="shared" si="312"/>
        <v>0</v>
      </c>
      <c r="AW299" s="28">
        <f t="shared" si="313"/>
        <v>0</v>
      </c>
      <c r="AX299" s="28">
        <f t="shared" si="314"/>
        <v>0</v>
      </c>
      <c r="AY299" s="30" t="s">
        <v>178</v>
      </c>
      <c r="AZ299" s="30" t="s">
        <v>183</v>
      </c>
      <c r="BA299" s="21" t="s">
        <v>497</v>
      </c>
      <c r="BC299" s="28">
        <f t="shared" si="315"/>
        <v>0</v>
      </c>
      <c r="BD299" s="28">
        <f t="shared" si="316"/>
        <v>0</v>
      </c>
      <c r="BE299" s="28">
        <v>0</v>
      </c>
      <c r="BF299" s="28">
        <f>299</f>
        <v>299</v>
      </c>
      <c r="BH299" s="28">
        <f t="shared" si="317"/>
        <v>0</v>
      </c>
      <c r="BI299" s="28">
        <f t="shared" si="318"/>
        <v>0</v>
      </c>
      <c r="BJ299" s="28">
        <f t="shared" si="319"/>
        <v>0</v>
      </c>
      <c r="BK299" s="28"/>
      <c r="BL299" s="28">
        <v>734</v>
      </c>
      <c r="BW299" s="28">
        <v>21</v>
      </c>
    </row>
    <row r="300" spans="1:75" ht="13.5" customHeight="1">
      <c r="A300" s="38" t="s">
        <v>478</v>
      </c>
      <c r="B300" s="39" t="s">
        <v>334</v>
      </c>
      <c r="C300" s="39" t="s">
        <v>501</v>
      </c>
      <c r="D300" s="50" t="s">
        <v>362</v>
      </c>
      <c r="E300" s="51"/>
      <c r="F300" s="39" t="s">
        <v>228</v>
      </c>
      <c r="G300" s="28">
        <v>1</v>
      </c>
      <c r="H300" s="120">
        <v>0</v>
      </c>
      <c r="I300" s="120">
        <f t="shared" si="300"/>
        <v>0</v>
      </c>
      <c r="K300" s="8"/>
      <c r="Z300" s="28">
        <f t="shared" si="301"/>
        <v>0</v>
      </c>
      <c r="AB300" s="28">
        <f t="shared" si="302"/>
        <v>0</v>
      </c>
      <c r="AC300" s="28">
        <f t="shared" si="303"/>
        <v>0</v>
      </c>
      <c r="AD300" s="28">
        <f t="shared" si="304"/>
        <v>0</v>
      </c>
      <c r="AE300" s="28">
        <f t="shared" si="305"/>
        <v>0</v>
      </c>
      <c r="AF300" s="28">
        <f t="shared" si="306"/>
        <v>0</v>
      </c>
      <c r="AG300" s="28">
        <f t="shared" si="307"/>
        <v>0</v>
      </c>
      <c r="AH300" s="28">
        <f t="shared" si="308"/>
        <v>0</v>
      </c>
      <c r="AI300" s="21" t="s">
        <v>334</v>
      </c>
      <c r="AJ300" s="28">
        <f t="shared" si="309"/>
        <v>0</v>
      </c>
      <c r="AK300" s="28">
        <f t="shared" si="310"/>
        <v>0</v>
      </c>
      <c r="AL300" s="28">
        <f t="shared" si="311"/>
        <v>0</v>
      </c>
      <c r="AN300" s="28">
        <v>21</v>
      </c>
      <c r="AO300" s="28">
        <f>H300*0.698084842146545</f>
        <v>0</v>
      </c>
      <c r="AP300" s="28">
        <f>H300*(1-0.698084842146545)</f>
        <v>0</v>
      </c>
      <c r="AQ300" s="30" t="s">
        <v>900</v>
      </c>
      <c r="AV300" s="28">
        <f t="shared" si="312"/>
        <v>0</v>
      </c>
      <c r="AW300" s="28">
        <f t="shared" si="313"/>
        <v>0</v>
      </c>
      <c r="AX300" s="28">
        <f t="shared" si="314"/>
        <v>0</v>
      </c>
      <c r="AY300" s="30" t="s">
        <v>178</v>
      </c>
      <c r="AZ300" s="30" t="s">
        <v>183</v>
      </c>
      <c r="BA300" s="21" t="s">
        <v>497</v>
      </c>
      <c r="BC300" s="28">
        <f t="shared" si="315"/>
        <v>0</v>
      </c>
      <c r="BD300" s="28">
        <f t="shared" si="316"/>
        <v>0</v>
      </c>
      <c r="BE300" s="28">
        <v>0</v>
      </c>
      <c r="BF300" s="28">
        <f>300</f>
        <v>300</v>
      </c>
      <c r="BH300" s="28">
        <f t="shared" si="317"/>
        <v>0</v>
      </c>
      <c r="BI300" s="28">
        <f t="shared" si="318"/>
        <v>0</v>
      </c>
      <c r="BJ300" s="28">
        <f t="shared" si="319"/>
        <v>0</v>
      </c>
      <c r="BK300" s="28"/>
      <c r="BL300" s="28">
        <v>734</v>
      </c>
      <c r="BW300" s="28">
        <v>21</v>
      </c>
    </row>
    <row r="301" spans="1:75" ht="13.5" customHeight="1">
      <c r="A301" s="38" t="s">
        <v>990</v>
      </c>
      <c r="B301" s="39" t="s">
        <v>334</v>
      </c>
      <c r="C301" s="39" t="s">
        <v>321</v>
      </c>
      <c r="D301" s="50" t="s">
        <v>1076</v>
      </c>
      <c r="E301" s="51"/>
      <c r="F301" s="39" t="s">
        <v>228</v>
      </c>
      <c r="G301" s="28">
        <v>1</v>
      </c>
      <c r="H301" s="120">
        <v>0</v>
      </c>
      <c r="I301" s="120">
        <f t="shared" si="300"/>
        <v>0</v>
      </c>
      <c r="K301" s="8"/>
      <c r="Z301" s="28">
        <f t="shared" si="301"/>
        <v>0</v>
      </c>
      <c r="AB301" s="28">
        <f t="shared" si="302"/>
        <v>0</v>
      </c>
      <c r="AC301" s="28">
        <f t="shared" si="303"/>
        <v>0</v>
      </c>
      <c r="AD301" s="28">
        <f t="shared" si="304"/>
        <v>0</v>
      </c>
      <c r="AE301" s="28">
        <f t="shared" si="305"/>
        <v>0</v>
      </c>
      <c r="AF301" s="28">
        <f t="shared" si="306"/>
        <v>0</v>
      </c>
      <c r="AG301" s="28">
        <f t="shared" si="307"/>
        <v>0</v>
      </c>
      <c r="AH301" s="28">
        <f t="shared" si="308"/>
        <v>0</v>
      </c>
      <c r="AI301" s="21" t="s">
        <v>334</v>
      </c>
      <c r="AJ301" s="28">
        <f t="shared" si="309"/>
        <v>0</v>
      </c>
      <c r="AK301" s="28">
        <f t="shared" si="310"/>
        <v>0</v>
      </c>
      <c r="AL301" s="28">
        <f t="shared" si="311"/>
        <v>0</v>
      </c>
      <c r="AN301" s="28">
        <v>21</v>
      </c>
      <c r="AO301" s="28">
        <f>H301*0.796243845047714</f>
        <v>0</v>
      </c>
      <c r="AP301" s="28">
        <f>H301*(1-0.796243845047714)</f>
        <v>0</v>
      </c>
      <c r="AQ301" s="30" t="s">
        <v>900</v>
      </c>
      <c r="AV301" s="28">
        <f t="shared" si="312"/>
        <v>0</v>
      </c>
      <c r="AW301" s="28">
        <f t="shared" si="313"/>
        <v>0</v>
      </c>
      <c r="AX301" s="28">
        <f t="shared" si="314"/>
        <v>0</v>
      </c>
      <c r="AY301" s="30" t="s">
        <v>178</v>
      </c>
      <c r="AZ301" s="30" t="s">
        <v>183</v>
      </c>
      <c r="BA301" s="21" t="s">
        <v>497</v>
      </c>
      <c r="BC301" s="28">
        <f t="shared" si="315"/>
        <v>0</v>
      </c>
      <c r="BD301" s="28">
        <f t="shared" si="316"/>
        <v>0</v>
      </c>
      <c r="BE301" s="28">
        <v>0</v>
      </c>
      <c r="BF301" s="28">
        <f>301</f>
        <v>301</v>
      </c>
      <c r="BH301" s="28">
        <f t="shared" si="317"/>
        <v>0</v>
      </c>
      <c r="BI301" s="28">
        <f t="shared" si="318"/>
        <v>0</v>
      </c>
      <c r="BJ301" s="28">
        <f t="shared" si="319"/>
        <v>0</v>
      </c>
      <c r="BK301" s="28"/>
      <c r="BL301" s="28">
        <v>734</v>
      </c>
      <c r="BW301" s="28">
        <v>21</v>
      </c>
    </row>
    <row r="302" spans="1:75" ht="13.5" customHeight="1">
      <c r="A302" s="38" t="s">
        <v>750</v>
      </c>
      <c r="B302" s="39" t="s">
        <v>334</v>
      </c>
      <c r="C302" s="39" t="s">
        <v>944</v>
      </c>
      <c r="D302" s="50" t="s">
        <v>1077</v>
      </c>
      <c r="E302" s="51"/>
      <c r="F302" s="39" t="s">
        <v>228</v>
      </c>
      <c r="G302" s="28">
        <v>3</v>
      </c>
      <c r="H302" s="120">
        <v>0</v>
      </c>
      <c r="I302" s="120">
        <f t="shared" si="300"/>
        <v>0</v>
      </c>
      <c r="K302" s="8"/>
      <c r="Z302" s="28">
        <f t="shared" si="301"/>
        <v>0</v>
      </c>
      <c r="AB302" s="28">
        <f t="shared" si="302"/>
        <v>0</v>
      </c>
      <c r="AC302" s="28">
        <f t="shared" si="303"/>
        <v>0</v>
      </c>
      <c r="AD302" s="28">
        <f t="shared" si="304"/>
        <v>0</v>
      </c>
      <c r="AE302" s="28">
        <f t="shared" si="305"/>
        <v>0</v>
      </c>
      <c r="AF302" s="28">
        <f t="shared" si="306"/>
        <v>0</v>
      </c>
      <c r="AG302" s="28">
        <f t="shared" si="307"/>
        <v>0</v>
      </c>
      <c r="AH302" s="28">
        <f t="shared" si="308"/>
        <v>0</v>
      </c>
      <c r="AI302" s="21" t="s">
        <v>334</v>
      </c>
      <c r="AJ302" s="28">
        <f t="shared" si="309"/>
        <v>0</v>
      </c>
      <c r="AK302" s="28">
        <f t="shared" si="310"/>
        <v>0</v>
      </c>
      <c r="AL302" s="28">
        <f t="shared" si="311"/>
        <v>0</v>
      </c>
      <c r="AN302" s="28">
        <v>21</v>
      </c>
      <c r="AO302" s="28">
        <f>H302*0.893386019482375</f>
        <v>0</v>
      </c>
      <c r="AP302" s="28">
        <f>H302*(1-0.893386019482375)</f>
        <v>0</v>
      </c>
      <c r="AQ302" s="30" t="s">
        <v>900</v>
      </c>
      <c r="AV302" s="28">
        <f t="shared" si="312"/>
        <v>0</v>
      </c>
      <c r="AW302" s="28">
        <f t="shared" si="313"/>
        <v>0</v>
      </c>
      <c r="AX302" s="28">
        <f t="shared" si="314"/>
        <v>0</v>
      </c>
      <c r="AY302" s="30" t="s">
        <v>178</v>
      </c>
      <c r="AZ302" s="30" t="s">
        <v>183</v>
      </c>
      <c r="BA302" s="21" t="s">
        <v>497</v>
      </c>
      <c r="BC302" s="28">
        <f t="shared" si="315"/>
        <v>0</v>
      </c>
      <c r="BD302" s="28">
        <f t="shared" si="316"/>
        <v>0</v>
      </c>
      <c r="BE302" s="28">
        <v>0</v>
      </c>
      <c r="BF302" s="28">
        <f>302</f>
        <v>302</v>
      </c>
      <c r="BH302" s="28">
        <f t="shared" si="317"/>
        <v>0</v>
      </c>
      <c r="BI302" s="28">
        <f t="shared" si="318"/>
        <v>0</v>
      </c>
      <c r="BJ302" s="28">
        <f t="shared" si="319"/>
        <v>0</v>
      </c>
      <c r="BK302" s="28"/>
      <c r="BL302" s="28">
        <v>734</v>
      </c>
      <c r="BW302" s="28">
        <v>21</v>
      </c>
    </row>
    <row r="303" spans="1:47" ht="15" customHeight="1">
      <c r="A303" s="3" t="s">
        <v>626</v>
      </c>
      <c r="B303" s="43" t="s">
        <v>334</v>
      </c>
      <c r="C303" s="43" t="s">
        <v>390</v>
      </c>
      <c r="D303" s="103" t="s">
        <v>274</v>
      </c>
      <c r="E303" s="104"/>
      <c r="F303" s="37" t="s">
        <v>836</v>
      </c>
      <c r="G303" s="37" t="s">
        <v>836</v>
      </c>
      <c r="H303" s="118" t="s">
        <v>836</v>
      </c>
      <c r="I303" s="119">
        <f>SUM(I304:I305)</f>
        <v>0</v>
      </c>
      <c r="K303" s="8"/>
      <c r="AI303" s="21" t="s">
        <v>334</v>
      </c>
      <c r="AS303" s="31">
        <f>SUM(AJ304:AJ305)</f>
        <v>0</v>
      </c>
      <c r="AT303" s="31">
        <f>SUM(AK304:AK305)</f>
        <v>0</v>
      </c>
      <c r="AU303" s="31">
        <f>SUM(AL304:AL305)</f>
        <v>0</v>
      </c>
    </row>
    <row r="304" spans="1:75" ht="13.5" customHeight="1">
      <c r="A304" s="38" t="s">
        <v>572</v>
      </c>
      <c r="B304" s="39" t="s">
        <v>334</v>
      </c>
      <c r="C304" s="39" t="s">
        <v>774</v>
      </c>
      <c r="D304" s="50" t="s">
        <v>1027</v>
      </c>
      <c r="E304" s="51"/>
      <c r="F304" s="39" t="s">
        <v>853</v>
      </c>
      <c r="G304" s="28">
        <v>50</v>
      </c>
      <c r="H304" s="120">
        <v>0</v>
      </c>
      <c r="I304" s="120">
        <f>G304*H304</f>
        <v>0</v>
      </c>
      <c r="K304" s="8"/>
      <c r="Z304" s="28">
        <f>IF(AQ304="5",BJ304,0)</f>
        <v>0</v>
      </c>
      <c r="AB304" s="28">
        <f>IF(AQ304="1",BH304,0)</f>
        <v>0</v>
      </c>
      <c r="AC304" s="28">
        <f>IF(AQ304="1",BI304,0)</f>
        <v>0</v>
      </c>
      <c r="AD304" s="28">
        <f>IF(AQ304="7",BH304,0)</f>
        <v>0</v>
      </c>
      <c r="AE304" s="28">
        <f>IF(AQ304="7",BI304,0)</f>
        <v>0</v>
      </c>
      <c r="AF304" s="28">
        <f>IF(AQ304="2",BH304,0)</f>
        <v>0</v>
      </c>
      <c r="AG304" s="28">
        <f>IF(AQ304="2",BI304,0)</f>
        <v>0</v>
      </c>
      <c r="AH304" s="28">
        <f>IF(AQ304="0",BJ304,0)</f>
        <v>0</v>
      </c>
      <c r="AI304" s="21" t="s">
        <v>334</v>
      </c>
      <c r="AJ304" s="28">
        <f>IF(AN304=0,I304,0)</f>
        <v>0</v>
      </c>
      <c r="AK304" s="28">
        <f>IF(AN304=12,I304,0)</f>
        <v>0</v>
      </c>
      <c r="AL304" s="28">
        <f>IF(AN304=21,I304,0)</f>
        <v>0</v>
      </c>
      <c r="AN304" s="28">
        <v>21</v>
      </c>
      <c r="AO304" s="28">
        <f>H304*0.166280991735537</f>
        <v>0</v>
      </c>
      <c r="AP304" s="28">
        <f>H304*(1-0.166280991735537)</f>
        <v>0</v>
      </c>
      <c r="AQ304" s="30" t="s">
        <v>900</v>
      </c>
      <c r="AV304" s="28">
        <f>AW304+AX304</f>
        <v>0</v>
      </c>
      <c r="AW304" s="28">
        <f>G304*AO304</f>
        <v>0</v>
      </c>
      <c r="AX304" s="28">
        <f>G304*AP304</f>
        <v>0</v>
      </c>
      <c r="AY304" s="30" t="s">
        <v>250</v>
      </c>
      <c r="AZ304" s="30" t="s">
        <v>153</v>
      </c>
      <c r="BA304" s="21" t="s">
        <v>497</v>
      </c>
      <c r="BC304" s="28">
        <f>AW304+AX304</f>
        <v>0</v>
      </c>
      <c r="BD304" s="28">
        <f>H304/(100-BE304)*100</f>
        <v>0</v>
      </c>
      <c r="BE304" s="28">
        <v>0</v>
      </c>
      <c r="BF304" s="28">
        <f>304</f>
        <v>304</v>
      </c>
      <c r="BH304" s="28">
        <f>G304*AO304</f>
        <v>0</v>
      </c>
      <c r="BI304" s="28">
        <f>G304*AP304</f>
        <v>0</v>
      </c>
      <c r="BJ304" s="28">
        <f>G304*H304</f>
        <v>0</v>
      </c>
      <c r="BK304" s="28"/>
      <c r="BL304" s="28">
        <v>767</v>
      </c>
      <c r="BW304" s="28">
        <v>21</v>
      </c>
    </row>
    <row r="305" spans="1:75" ht="13.5" customHeight="1">
      <c r="A305" s="38" t="s">
        <v>148</v>
      </c>
      <c r="B305" s="39" t="s">
        <v>334</v>
      </c>
      <c r="C305" s="39" t="s">
        <v>783</v>
      </c>
      <c r="D305" s="50" t="s">
        <v>39</v>
      </c>
      <c r="E305" s="51"/>
      <c r="F305" s="39" t="s">
        <v>853</v>
      </c>
      <c r="G305" s="28">
        <v>60</v>
      </c>
      <c r="H305" s="120">
        <v>0</v>
      </c>
      <c r="I305" s="120">
        <f>G305*H305</f>
        <v>0</v>
      </c>
      <c r="K305" s="8"/>
      <c r="Z305" s="28">
        <f>IF(AQ305="5",BJ305,0)</f>
        <v>0</v>
      </c>
      <c r="AB305" s="28">
        <f>IF(AQ305="1",BH305,0)</f>
        <v>0</v>
      </c>
      <c r="AC305" s="28">
        <f>IF(AQ305="1",BI305,0)</f>
        <v>0</v>
      </c>
      <c r="AD305" s="28">
        <f>IF(AQ305="7",BH305,0)</f>
        <v>0</v>
      </c>
      <c r="AE305" s="28">
        <f>IF(AQ305="7",BI305,0)</f>
        <v>0</v>
      </c>
      <c r="AF305" s="28">
        <f>IF(AQ305="2",BH305,0)</f>
        <v>0</v>
      </c>
      <c r="AG305" s="28">
        <f>IF(AQ305="2",BI305,0)</f>
        <v>0</v>
      </c>
      <c r="AH305" s="28">
        <f>IF(AQ305="0",BJ305,0)</f>
        <v>0</v>
      </c>
      <c r="AI305" s="21" t="s">
        <v>334</v>
      </c>
      <c r="AJ305" s="28">
        <f>IF(AN305=0,I305,0)</f>
        <v>0</v>
      </c>
      <c r="AK305" s="28">
        <f>IF(AN305=12,I305,0)</f>
        <v>0</v>
      </c>
      <c r="AL305" s="28">
        <f>IF(AN305=21,I305,0)</f>
        <v>0</v>
      </c>
      <c r="AN305" s="28">
        <v>21</v>
      </c>
      <c r="AO305" s="28">
        <f>H305*0.329041487839771</f>
        <v>0</v>
      </c>
      <c r="AP305" s="28">
        <f>H305*(1-0.329041487839771)</f>
        <v>0</v>
      </c>
      <c r="AQ305" s="30" t="s">
        <v>900</v>
      </c>
      <c r="AV305" s="28">
        <f>AW305+AX305</f>
        <v>0</v>
      </c>
      <c r="AW305" s="28">
        <f>G305*AO305</f>
        <v>0</v>
      </c>
      <c r="AX305" s="28">
        <f>G305*AP305</f>
        <v>0</v>
      </c>
      <c r="AY305" s="30" t="s">
        <v>250</v>
      </c>
      <c r="AZ305" s="30" t="s">
        <v>153</v>
      </c>
      <c r="BA305" s="21" t="s">
        <v>497</v>
      </c>
      <c r="BC305" s="28">
        <f>AW305+AX305</f>
        <v>0</v>
      </c>
      <c r="BD305" s="28">
        <f>H305/(100-BE305)*100</f>
        <v>0</v>
      </c>
      <c r="BE305" s="28">
        <v>0</v>
      </c>
      <c r="BF305" s="28">
        <f>305</f>
        <v>305</v>
      </c>
      <c r="BH305" s="28">
        <f>G305*AO305</f>
        <v>0</v>
      </c>
      <c r="BI305" s="28">
        <f>G305*AP305</f>
        <v>0</v>
      </c>
      <c r="BJ305" s="28">
        <f>G305*H305</f>
        <v>0</v>
      </c>
      <c r="BK305" s="28"/>
      <c r="BL305" s="28">
        <v>767</v>
      </c>
      <c r="BW305" s="28">
        <v>21</v>
      </c>
    </row>
    <row r="306" spans="1:35" ht="15" customHeight="1">
      <c r="A306" s="3" t="s">
        <v>626</v>
      </c>
      <c r="B306" s="43" t="s">
        <v>334</v>
      </c>
      <c r="C306" s="43" t="s">
        <v>626</v>
      </c>
      <c r="D306" s="103" t="s">
        <v>523</v>
      </c>
      <c r="E306" s="104"/>
      <c r="F306" s="37" t="s">
        <v>836</v>
      </c>
      <c r="G306" s="37" t="s">
        <v>836</v>
      </c>
      <c r="H306" s="118" t="s">
        <v>836</v>
      </c>
      <c r="I306" s="119">
        <f>I307</f>
        <v>0</v>
      </c>
      <c r="K306" s="8"/>
      <c r="AI306" s="21" t="s">
        <v>334</v>
      </c>
    </row>
    <row r="307" spans="1:47" ht="15" customHeight="1">
      <c r="A307" s="3" t="s">
        <v>626</v>
      </c>
      <c r="B307" s="43" t="s">
        <v>334</v>
      </c>
      <c r="C307" s="43" t="s">
        <v>79</v>
      </c>
      <c r="D307" s="103" t="s">
        <v>868</v>
      </c>
      <c r="E307" s="104"/>
      <c r="F307" s="37" t="s">
        <v>836</v>
      </c>
      <c r="G307" s="37" t="s">
        <v>836</v>
      </c>
      <c r="H307" s="118" t="s">
        <v>836</v>
      </c>
      <c r="I307" s="119">
        <f>SUM(I308:I308)</f>
        <v>0</v>
      </c>
      <c r="K307" s="8"/>
      <c r="AI307" s="21" t="s">
        <v>334</v>
      </c>
      <c r="AS307" s="31">
        <f>SUM(AJ308:AJ308)</f>
        <v>0</v>
      </c>
      <c r="AT307" s="31">
        <f>SUM(AK308:AK308)</f>
        <v>0</v>
      </c>
      <c r="AU307" s="31">
        <f>SUM(AL308:AL308)</f>
        <v>0</v>
      </c>
    </row>
    <row r="308" spans="1:75" ht="13.5" customHeight="1">
      <c r="A308" s="38" t="s">
        <v>415</v>
      </c>
      <c r="B308" s="39" t="s">
        <v>334</v>
      </c>
      <c r="C308" s="39" t="s">
        <v>617</v>
      </c>
      <c r="D308" s="50" t="s">
        <v>1016</v>
      </c>
      <c r="E308" s="51"/>
      <c r="F308" s="39" t="s">
        <v>603</v>
      </c>
      <c r="G308" s="28">
        <v>1</v>
      </c>
      <c r="H308" s="120">
        <v>0</v>
      </c>
      <c r="I308" s="120">
        <f>G308*H308</f>
        <v>0</v>
      </c>
      <c r="K308" s="8"/>
      <c r="Z308" s="28">
        <f>IF(AQ308="5",BJ308,0)</f>
        <v>0</v>
      </c>
      <c r="AB308" s="28">
        <f>IF(AQ308="1",BH308,0)</f>
        <v>0</v>
      </c>
      <c r="AC308" s="28">
        <f>IF(AQ308="1",BI308,0)</f>
        <v>0</v>
      </c>
      <c r="AD308" s="28">
        <f>IF(AQ308="7",BH308,0)</f>
        <v>0</v>
      </c>
      <c r="AE308" s="28">
        <f>IF(AQ308="7",BI308,0)</f>
        <v>0</v>
      </c>
      <c r="AF308" s="28">
        <f>IF(AQ308="2",BH308,0)</f>
        <v>0</v>
      </c>
      <c r="AG308" s="28">
        <f>IF(AQ308="2",BI308,0)</f>
        <v>0</v>
      </c>
      <c r="AH308" s="28">
        <f>IF(AQ308="0",BJ308,0)</f>
        <v>0</v>
      </c>
      <c r="AI308" s="21" t="s">
        <v>334</v>
      </c>
      <c r="AJ308" s="28">
        <f>IF(AN308=0,I308,0)</f>
        <v>0</v>
      </c>
      <c r="AK308" s="28">
        <f>IF(AN308=12,I308,0)</f>
        <v>0</v>
      </c>
      <c r="AL308" s="28">
        <f>IF(AN308=21,I308,0)</f>
        <v>0</v>
      </c>
      <c r="AN308" s="28">
        <v>21</v>
      </c>
      <c r="AO308" s="28">
        <f>H308*0</f>
        <v>0</v>
      </c>
      <c r="AP308" s="28">
        <f>H308*(1-0)</f>
        <v>0</v>
      </c>
      <c r="AQ308" s="30" t="s">
        <v>408</v>
      </c>
      <c r="AV308" s="28">
        <f>AW308+AX308</f>
        <v>0</v>
      </c>
      <c r="AW308" s="28">
        <f>G308*AO308</f>
        <v>0</v>
      </c>
      <c r="AX308" s="28">
        <f>G308*AP308</f>
        <v>0</v>
      </c>
      <c r="AY308" s="30" t="s">
        <v>462</v>
      </c>
      <c r="AZ308" s="30" t="s">
        <v>707</v>
      </c>
      <c r="BA308" s="21" t="s">
        <v>497</v>
      </c>
      <c r="BC308" s="28">
        <f>AW308+AX308</f>
        <v>0</v>
      </c>
      <c r="BD308" s="28">
        <f>H308/(100-BE308)*100</f>
        <v>0</v>
      </c>
      <c r="BE308" s="28">
        <v>0</v>
      </c>
      <c r="BF308" s="28">
        <f>308</f>
        <v>308</v>
      </c>
      <c r="BH308" s="28">
        <f>G308*AO308</f>
        <v>0</v>
      </c>
      <c r="BI308" s="28">
        <f>G308*AP308</f>
        <v>0</v>
      </c>
      <c r="BJ308" s="28">
        <f>G308*H308</f>
        <v>0</v>
      </c>
      <c r="BK308" s="28"/>
      <c r="BL308" s="28"/>
      <c r="BR308" s="28">
        <f>G308*H308</f>
        <v>0</v>
      </c>
      <c r="BW308" s="28">
        <v>21</v>
      </c>
    </row>
    <row r="309" spans="1:11" ht="15" customHeight="1">
      <c r="A309" s="3" t="s">
        <v>626</v>
      </c>
      <c r="B309" s="43" t="s">
        <v>328</v>
      </c>
      <c r="C309" s="43" t="s">
        <v>626</v>
      </c>
      <c r="D309" s="103" t="s">
        <v>786</v>
      </c>
      <c r="E309" s="104"/>
      <c r="F309" s="37" t="s">
        <v>836</v>
      </c>
      <c r="G309" s="37" t="s">
        <v>836</v>
      </c>
      <c r="H309" s="118" t="s">
        <v>836</v>
      </c>
      <c r="I309" s="119">
        <f>I310+I320+I322+I335+I337+I345+I357+I373+I377</f>
        <v>0</v>
      </c>
      <c r="K309" s="8"/>
    </row>
    <row r="310" spans="1:47" ht="15" customHeight="1">
      <c r="A310" s="3" t="s">
        <v>626</v>
      </c>
      <c r="B310" s="43" t="s">
        <v>328</v>
      </c>
      <c r="C310" s="43" t="s">
        <v>451</v>
      </c>
      <c r="D310" s="103" t="s">
        <v>538</v>
      </c>
      <c r="E310" s="104"/>
      <c r="F310" s="37" t="s">
        <v>836</v>
      </c>
      <c r="G310" s="37" t="s">
        <v>836</v>
      </c>
      <c r="H310" s="118" t="s">
        <v>836</v>
      </c>
      <c r="I310" s="119">
        <f>SUM(I311:I319)</f>
        <v>0</v>
      </c>
      <c r="K310" s="8"/>
      <c r="AI310" s="21" t="s">
        <v>328</v>
      </c>
      <c r="AS310" s="31">
        <f>SUM(AJ311:AJ319)</f>
        <v>0</v>
      </c>
      <c r="AT310" s="31">
        <f>SUM(AK311:AK319)</f>
        <v>0</v>
      </c>
      <c r="AU310" s="31">
        <f>SUM(AL311:AL319)</f>
        <v>0</v>
      </c>
    </row>
    <row r="311" spans="1:75" ht="13.5" customHeight="1">
      <c r="A311" s="38" t="s">
        <v>1004</v>
      </c>
      <c r="B311" s="39" t="s">
        <v>328</v>
      </c>
      <c r="C311" s="39" t="s">
        <v>840</v>
      </c>
      <c r="D311" s="50" t="s">
        <v>483</v>
      </c>
      <c r="E311" s="51"/>
      <c r="F311" s="39" t="s">
        <v>228</v>
      </c>
      <c r="G311" s="28">
        <v>1</v>
      </c>
      <c r="H311" s="120">
        <v>0</v>
      </c>
      <c r="I311" s="120">
        <f aca="true" t="shared" si="320" ref="I311:I319">G311*H311</f>
        <v>0</v>
      </c>
      <c r="K311" s="8"/>
      <c r="Z311" s="28">
        <f aca="true" t="shared" si="321" ref="Z311:Z319">IF(AQ311="5",BJ311,0)</f>
        <v>0</v>
      </c>
      <c r="AB311" s="28">
        <f aca="true" t="shared" si="322" ref="AB311:AB319">IF(AQ311="1",BH311,0)</f>
        <v>0</v>
      </c>
      <c r="AC311" s="28">
        <f aca="true" t="shared" si="323" ref="AC311:AC319">IF(AQ311="1",BI311,0)</f>
        <v>0</v>
      </c>
      <c r="AD311" s="28">
        <f aca="true" t="shared" si="324" ref="AD311:AD319">IF(AQ311="7",BH311,0)</f>
        <v>0</v>
      </c>
      <c r="AE311" s="28">
        <f aca="true" t="shared" si="325" ref="AE311:AE319">IF(AQ311="7",BI311,0)</f>
        <v>0</v>
      </c>
      <c r="AF311" s="28">
        <f aca="true" t="shared" si="326" ref="AF311:AF319">IF(AQ311="2",BH311,0)</f>
        <v>0</v>
      </c>
      <c r="AG311" s="28">
        <f aca="true" t="shared" si="327" ref="AG311:AG319">IF(AQ311="2",BI311,0)</f>
        <v>0</v>
      </c>
      <c r="AH311" s="28">
        <f aca="true" t="shared" si="328" ref="AH311:AH319">IF(AQ311="0",BJ311,0)</f>
        <v>0</v>
      </c>
      <c r="AI311" s="21" t="s">
        <v>328</v>
      </c>
      <c r="AJ311" s="28">
        <f aca="true" t="shared" si="329" ref="AJ311:AJ319">IF(AN311=0,I311,0)</f>
        <v>0</v>
      </c>
      <c r="AK311" s="28">
        <f aca="true" t="shared" si="330" ref="AK311:AK319">IF(AN311=12,I311,0)</f>
        <v>0</v>
      </c>
      <c r="AL311" s="28">
        <f aca="true" t="shared" si="331" ref="AL311:AL319">IF(AN311=21,I311,0)</f>
        <v>0</v>
      </c>
      <c r="AN311" s="28">
        <v>21</v>
      </c>
      <c r="AO311" s="28">
        <f>H311*0</f>
        <v>0</v>
      </c>
      <c r="AP311" s="28">
        <f>H311*(1-0)</f>
        <v>0</v>
      </c>
      <c r="AQ311" s="30" t="s">
        <v>893</v>
      </c>
      <c r="AV311" s="28">
        <f aca="true" t="shared" si="332" ref="AV311:AV319">AW311+AX311</f>
        <v>0</v>
      </c>
      <c r="AW311" s="28">
        <f aca="true" t="shared" si="333" ref="AW311:AW319">G311*AO311</f>
        <v>0</v>
      </c>
      <c r="AX311" s="28">
        <f aca="true" t="shared" si="334" ref="AX311:AX319">G311*AP311</f>
        <v>0</v>
      </c>
      <c r="AY311" s="30" t="s">
        <v>792</v>
      </c>
      <c r="AZ311" s="30" t="s">
        <v>804</v>
      </c>
      <c r="BA311" s="21" t="s">
        <v>542</v>
      </c>
      <c r="BC311" s="28">
        <f aca="true" t="shared" si="335" ref="BC311:BC319">AW311+AX311</f>
        <v>0</v>
      </c>
      <c r="BD311" s="28">
        <f aca="true" t="shared" si="336" ref="BD311:BD319">H311/(100-BE311)*100</f>
        <v>0</v>
      </c>
      <c r="BE311" s="28">
        <v>0</v>
      </c>
      <c r="BF311" s="28">
        <f>311</f>
        <v>311</v>
      </c>
      <c r="BH311" s="28">
        <f aca="true" t="shared" si="337" ref="BH311:BH319">G311*AO311</f>
        <v>0</v>
      </c>
      <c r="BI311" s="28">
        <f aca="true" t="shared" si="338" ref="BI311:BI319">G311*AP311</f>
        <v>0</v>
      </c>
      <c r="BJ311" s="28">
        <f aca="true" t="shared" si="339" ref="BJ311:BJ319">G311*H311</f>
        <v>0</v>
      </c>
      <c r="BK311" s="28"/>
      <c r="BL311" s="28">
        <v>0</v>
      </c>
      <c r="BW311" s="28">
        <v>21</v>
      </c>
    </row>
    <row r="312" spans="1:75" ht="13.5" customHeight="1">
      <c r="A312" s="38" t="s">
        <v>961</v>
      </c>
      <c r="B312" s="39" t="s">
        <v>328</v>
      </c>
      <c r="C312" s="39" t="s">
        <v>624</v>
      </c>
      <c r="D312" s="50" t="s">
        <v>763</v>
      </c>
      <c r="E312" s="51"/>
      <c r="F312" s="39" t="s">
        <v>473</v>
      </c>
      <c r="G312" s="28">
        <v>8</v>
      </c>
      <c r="H312" s="120">
        <v>0</v>
      </c>
      <c r="I312" s="120">
        <f t="shared" si="320"/>
        <v>0</v>
      </c>
      <c r="K312" s="8"/>
      <c r="Z312" s="28">
        <f t="shared" si="321"/>
        <v>0</v>
      </c>
      <c r="AB312" s="28">
        <f t="shared" si="322"/>
        <v>0</v>
      </c>
      <c r="AC312" s="28">
        <f t="shared" si="323"/>
        <v>0</v>
      </c>
      <c r="AD312" s="28">
        <f t="shared" si="324"/>
        <v>0</v>
      </c>
      <c r="AE312" s="28">
        <f t="shared" si="325"/>
        <v>0</v>
      </c>
      <c r="AF312" s="28">
        <f t="shared" si="326"/>
        <v>0</v>
      </c>
      <c r="AG312" s="28">
        <f t="shared" si="327"/>
        <v>0</v>
      </c>
      <c r="AH312" s="28">
        <f t="shared" si="328"/>
        <v>0</v>
      </c>
      <c r="AI312" s="21" t="s">
        <v>328</v>
      </c>
      <c r="AJ312" s="28">
        <f t="shared" si="329"/>
        <v>0</v>
      </c>
      <c r="AK312" s="28">
        <f t="shared" si="330"/>
        <v>0</v>
      </c>
      <c r="AL312" s="28">
        <f t="shared" si="331"/>
        <v>0</v>
      </c>
      <c r="AN312" s="28">
        <v>21</v>
      </c>
      <c r="AO312" s="28">
        <f>H312*0</f>
        <v>0</v>
      </c>
      <c r="AP312" s="28">
        <f>H312*(1-0)</f>
        <v>0</v>
      </c>
      <c r="AQ312" s="30" t="s">
        <v>893</v>
      </c>
      <c r="AV312" s="28">
        <f t="shared" si="332"/>
        <v>0</v>
      </c>
      <c r="AW312" s="28">
        <f t="shared" si="333"/>
        <v>0</v>
      </c>
      <c r="AX312" s="28">
        <f t="shared" si="334"/>
        <v>0</v>
      </c>
      <c r="AY312" s="30" t="s">
        <v>792</v>
      </c>
      <c r="AZ312" s="30" t="s">
        <v>804</v>
      </c>
      <c r="BA312" s="21" t="s">
        <v>542</v>
      </c>
      <c r="BC312" s="28">
        <f t="shared" si="335"/>
        <v>0</v>
      </c>
      <c r="BD312" s="28">
        <f t="shared" si="336"/>
        <v>0</v>
      </c>
      <c r="BE312" s="28">
        <v>0</v>
      </c>
      <c r="BF312" s="28">
        <f>312</f>
        <v>312</v>
      </c>
      <c r="BH312" s="28">
        <f t="shared" si="337"/>
        <v>0</v>
      </c>
      <c r="BI312" s="28">
        <f t="shared" si="338"/>
        <v>0</v>
      </c>
      <c r="BJ312" s="28">
        <f t="shared" si="339"/>
        <v>0</v>
      </c>
      <c r="BK312" s="28"/>
      <c r="BL312" s="28">
        <v>0</v>
      </c>
      <c r="BW312" s="28">
        <v>21</v>
      </c>
    </row>
    <row r="313" spans="1:75" ht="27" customHeight="1">
      <c r="A313" s="38" t="s">
        <v>405</v>
      </c>
      <c r="B313" s="39" t="s">
        <v>328</v>
      </c>
      <c r="C313" s="39" t="s">
        <v>618</v>
      </c>
      <c r="D313" s="50" t="s">
        <v>616</v>
      </c>
      <c r="E313" s="51"/>
      <c r="F313" s="39" t="s">
        <v>578</v>
      </c>
      <c r="G313" s="28">
        <v>8</v>
      </c>
      <c r="H313" s="120">
        <v>0</v>
      </c>
      <c r="I313" s="120">
        <f t="shared" si="320"/>
        <v>0</v>
      </c>
      <c r="K313" s="8"/>
      <c r="Z313" s="28">
        <f t="shared" si="321"/>
        <v>0</v>
      </c>
      <c r="AB313" s="28">
        <f t="shared" si="322"/>
        <v>0</v>
      </c>
      <c r="AC313" s="28">
        <f t="shared" si="323"/>
        <v>0</v>
      </c>
      <c r="AD313" s="28">
        <f t="shared" si="324"/>
        <v>0</v>
      </c>
      <c r="AE313" s="28">
        <f t="shared" si="325"/>
        <v>0</v>
      </c>
      <c r="AF313" s="28">
        <f t="shared" si="326"/>
        <v>0</v>
      </c>
      <c r="AG313" s="28">
        <f t="shared" si="327"/>
        <v>0</v>
      </c>
      <c r="AH313" s="28">
        <f t="shared" si="328"/>
        <v>0</v>
      </c>
      <c r="AI313" s="21" t="s">
        <v>328</v>
      </c>
      <c r="AJ313" s="28">
        <f t="shared" si="329"/>
        <v>0</v>
      </c>
      <c r="AK313" s="28">
        <f t="shared" si="330"/>
        <v>0</v>
      </c>
      <c r="AL313" s="28">
        <f t="shared" si="331"/>
        <v>0</v>
      </c>
      <c r="AN313" s="28">
        <v>21</v>
      </c>
      <c r="AO313" s="28">
        <f>H313*0.298352654057352</f>
        <v>0</v>
      </c>
      <c r="AP313" s="28">
        <f>H313*(1-0.298352654057352)</f>
        <v>0</v>
      </c>
      <c r="AQ313" s="30" t="s">
        <v>893</v>
      </c>
      <c r="AV313" s="28">
        <f t="shared" si="332"/>
        <v>0</v>
      </c>
      <c r="AW313" s="28">
        <f t="shared" si="333"/>
        <v>0</v>
      </c>
      <c r="AX313" s="28">
        <f t="shared" si="334"/>
        <v>0</v>
      </c>
      <c r="AY313" s="30" t="s">
        <v>792</v>
      </c>
      <c r="AZ313" s="30" t="s">
        <v>804</v>
      </c>
      <c r="BA313" s="21" t="s">
        <v>542</v>
      </c>
      <c r="BC313" s="28">
        <f t="shared" si="335"/>
        <v>0</v>
      </c>
      <c r="BD313" s="28">
        <f t="shared" si="336"/>
        <v>0</v>
      </c>
      <c r="BE313" s="28">
        <v>0</v>
      </c>
      <c r="BF313" s="28">
        <f>313</f>
        <v>313</v>
      </c>
      <c r="BH313" s="28">
        <f t="shared" si="337"/>
        <v>0</v>
      </c>
      <c r="BI313" s="28">
        <f t="shared" si="338"/>
        <v>0</v>
      </c>
      <c r="BJ313" s="28">
        <f t="shared" si="339"/>
        <v>0</v>
      </c>
      <c r="BK313" s="28"/>
      <c r="BL313" s="28">
        <v>0</v>
      </c>
      <c r="BW313" s="28">
        <v>21</v>
      </c>
    </row>
    <row r="314" spans="1:75" ht="13.5" customHeight="1">
      <c r="A314" s="38" t="s">
        <v>955</v>
      </c>
      <c r="B314" s="39" t="s">
        <v>328</v>
      </c>
      <c r="C314" s="39" t="s">
        <v>181</v>
      </c>
      <c r="D314" s="50" t="s">
        <v>28</v>
      </c>
      <c r="E314" s="51"/>
      <c r="F314" s="39" t="s">
        <v>311</v>
      </c>
      <c r="G314" s="28">
        <v>1</v>
      </c>
      <c r="H314" s="120">
        <v>0</v>
      </c>
      <c r="I314" s="120">
        <f t="shared" si="320"/>
        <v>0</v>
      </c>
      <c r="K314" s="8"/>
      <c r="Z314" s="28">
        <f t="shared" si="321"/>
        <v>0</v>
      </c>
      <c r="AB314" s="28">
        <f t="shared" si="322"/>
        <v>0</v>
      </c>
      <c r="AC314" s="28">
        <f t="shared" si="323"/>
        <v>0</v>
      </c>
      <c r="AD314" s="28">
        <f t="shared" si="324"/>
        <v>0</v>
      </c>
      <c r="AE314" s="28">
        <f t="shared" si="325"/>
        <v>0</v>
      </c>
      <c r="AF314" s="28">
        <f t="shared" si="326"/>
        <v>0</v>
      </c>
      <c r="AG314" s="28">
        <f t="shared" si="327"/>
        <v>0</v>
      </c>
      <c r="AH314" s="28">
        <f t="shared" si="328"/>
        <v>0</v>
      </c>
      <c r="AI314" s="21" t="s">
        <v>328</v>
      </c>
      <c r="AJ314" s="28">
        <f t="shared" si="329"/>
        <v>0</v>
      </c>
      <c r="AK314" s="28">
        <f t="shared" si="330"/>
        <v>0</v>
      </c>
      <c r="AL314" s="28">
        <f t="shared" si="331"/>
        <v>0</v>
      </c>
      <c r="AN314" s="28">
        <v>21</v>
      </c>
      <c r="AO314" s="28">
        <f>H314*0</f>
        <v>0</v>
      </c>
      <c r="AP314" s="28">
        <f>H314*(1-0)</f>
        <v>0</v>
      </c>
      <c r="AQ314" s="30" t="s">
        <v>893</v>
      </c>
      <c r="AV314" s="28">
        <f t="shared" si="332"/>
        <v>0</v>
      </c>
      <c r="AW314" s="28">
        <f t="shared" si="333"/>
        <v>0</v>
      </c>
      <c r="AX314" s="28">
        <f t="shared" si="334"/>
        <v>0</v>
      </c>
      <c r="AY314" s="30" t="s">
        <v>792</v>
      </c>
      <c r="AZ314" s="30" t="s">
        <v>804</v>
      </c>
      <c r="BA314" s="21" t="s">
        <v>542</v>
      </c>
      <c r="BC314" s="28">
        <f t="shared" si="335"/>
        <v>0</v>
      </c>
      <c r="BD314" s="28">
        <f t="shared" si="336"/>
        <v>0</v>
      </c>
      <c r="BE314" s="28">
        <v>0</v>
      </c>
      <c r="BF314" s="28">
        <f>314</f>
        <v>314</v>
      </c>
      <c r="BH314" s="28">
        <f t="shared" si="337"/>
        <v>0</v>
      </c>
      <c r="BI314" s="28">
        <f t="shared" si="338"/>
        <v>0</v>
      </c>
      <c r="BJ314" s="28">
        <f t="shared" si="339"/>
        <v>0</v>
      </c>
      <c r="BK314" s="28"/>
      <c r="BL314" s="28">
        <v>0</v>
      </c>
      <c r="BW314" s="28">
        <v>21</v>
      </c>
    </row>
    <row r="315" spans="1:75" ht="13.5" customHeight="1">
      <c r="A315" s="38" t="s">
        <v>459</v>
      </c>
      <c r="B315" s="39" t="s">
        <v>328</v>
      </c>
      <c r="C315" s="39" t="s">
        <v>370</v>
      </c>
      <c r="D315" s="50" t="s">
        <v>32</v>
      </c>
      <c r="E315" s="51"/>
      <c r="F315" s="39" t="s">
        <v>311</v>
      </c>
      <c r="G315" s="28">
        <v>1</v>
      </c>
      <c r="H315" s="120">
        <v>0</v>
      </c>
      <c r="I315" s="120">
        <f t="shared" si="320"/>
        <v>0</v>
      </c>
      <c r="K315" s="8"/>
      <c r="Z315" s="28">
        <f t="shared" si="321"/>
        <v>0</v>
      </c>
      <c r="AB315" s="28">
        <f t="shared" si="322"/>
        <v>0</v>
      </c>
      <c r="AC315" s="28">
        <f t="shared" si="323"/>
        <v>0</v>
      </c>
      <c r="AD315" s="28">
        <f t="shared" si="324"/>
        <v>0</v>
      </c>
      <c r="AE315" s="28">
        <f t="shared" si="325"/>
        <v>0</v>
      </c>
      <c r="AF315" s="28">
        <f t="shared" si="326"/>
        <v>0</v>
      </c>
      <c r="AG315" s="28">
        <f t="shared" si="327"/>
        <v>0</v>
      </c>
      <c r="AH315" s="28">
        <f t="shared" si="328"/>
        <v>0</v>
      </c>
      <c r="AI315" s="21" t="s">
        <v>328</v>
      </c>
      <c r="AJ315" s="28">
        <f t="shared" si="329"/>
        <v>0</v>
      </c>
      <c r="AK315" s="28">
        <f t="shared" si="330"/>
        <v>0</v>
      </c>
      <c r="AL315" s="28">
        <f t="shared" si="331"/>
        <v>0</v>
      </c>
      <c r="AN315" s="28">
        <v>21</v>
      </c>
      <c r="AO315" s="28">
        <f>H315*0</f>
        <v>0</v>
      </c>
      <c r="AP315" s="28">
        <f>H315*(1-0)</f>
        <v>0</v>
      </c>
      <c r="AQ315" s="30" t="s">
        <v>893</v>
      </c>
      <c r="AV315" s="28">
        <f t="shared" si="332"/>
        <v>0</v>
      </c>
      <c r="AW315" s="28">
        <f t="shared" si="333"/>
        <v>0</v>
      </c>
      <c r="AX315" s="28">
        <f t="shared" si="334"/>
        <v>0</v>
      </c>
      <c r="AY315" s="30" t="s">
        <v>792</v>
      </c>
      <c r="AZ315" s="30" t="s">
        <v>804</v>
      </c>
      <c r="BA315" s="21" t="s">
        <v>542</v>
      </c>
      <c r="BC315" s="28">
        <f t="shared" si="335"/>
        <v>0</v>
      </c>
      <c r="BD315" s="28">
        <f t="shared" si="336"/>
        <v>0</v>
      </c>
      <c r="BE315" s="28">
        <v>0</v>
      </c>
      <c r="BF315" s="28">
        <f>315</f>
        <v>315</v>
      </c>
      <c r="BH315" s="28">
        <f t="shared" si="337"/>
        <v>0</v>
      </c>
      <c r="BI315" s="28">
        <f t="shared" si="338"/>
        <v>0</v>
      </c>
      <c r="BJ315" s="28">
        <f t="shared" si="339"/>
        <v>0</v>
      </c>
      <c r="BK315" s="28"/>
      <c r="BL315" s="28">
        <v>0</v>
      </c>
      <c r="BW315" s="28">
        <v>21</v>
      </c>
    </row>
    <row r="316" spans="1:75" ht="13.5" customHeight="1">
      <c r="A316" s="38" t="s">
        <v>673</v>
      </c>
      <c r="B316" s="39" t="s">
        <v>328</v>
      </c>
      <c r="C316" s="39" t="s">
        <v>861</v>
      </c>
      <c r="D316" s="50" t="s">
        <v>11</v>
      </c>
      <c r="E316" s="51"/>
      <c r="F316" s="39" t="s">
        <v>311</v>
      </c>
      <c r="G316" s="28">
        <v>1</v>
      </c>
      <c r="H316" s="120">
        <v>0</v>
      </c>
      <c r="I316" s="120">
        <f t="shared" si="320"/>
        <v>0</v>
      </c>
      <c r="K316" s="8"/>
      <c r="Z316" s="28">
        <f t="shared" si="321"/>
        <v>0</v>
      </c>
      <c r="AB316" s="28">
        <f t="shared" si="322"/>
        <v>0</v>
      </c>
      <c r="AC316" s="28">
        <f t="shared" si="323"/>
        <v>0</v>
      </c>
      <c r="AD316" s="28">
        <f t="shared" si="324"/>
        <v>0</v>
      </c>
      <c r="AE316" s="28">
        <f t="shared" si="325"/>
        <v>0</v>
      </c>
      <c r="AF316" s="28">
        <f t="shared" si="326"/>
        <v>0</v>
      </c>
      <c r="AG316" s="28">
        <f t="shared" si="327"/>
        <v>0</v>
      </c>
      <c r="AH316" s="28">
        <f t="shared" si="328"/>
        <v>0</v>
      </c>
      <c r="AI316" s="21" t="s">
        <v>328</v>
      </c>
      <c r="AJ316" s="28">
        <f t="shared" si="329"/>
        <v>0</v>
      </c>
      <c r="AK316" s="28">
        <f t="shared" si="330"/>
        <v>0</v>
      </c>
      <c r="AL316" s="28">
        <f t="shared" si="331"/>
        <v>0</v>
      </c>
      <c r="AN316" s="28">
        <v>21</v>
      </c>
      <c r="AO316" s="28">
        <f>H316*0.632508123680949</f>
        <v>0</v>
      </c>
      <c r="AP316" s="28">
        <f>H316*(1-0.632508123680949)</f>
        <v>0</v>
      </c>
      <c r="AQ316" s="30" t="s">
        <v>893</v>
      </c>
      <c r="AV316" s="28">
        <f t="shared" si="332"/>
        <v>0</v>
      </c>
      <c r="AW316" s="28">
        <f t="shared" si="333"/>
        <v>0</v>
      </c>
      <c r="AX316" s="28">
        <f t="shared" si="334"/>
        <v>0</v>
      </c>
      <c r="AY316" s="30" t="s">
        <v>792</v>
      </c>
      <c r="AZ316" s="30" t="s">
        <v>804</v>
      </c>
      <c r="BA316" s="21" t="s">
        <v>542</v>
      </c>
      <c r="BC316" s="28">
        <f t="shared" si="335"/>
        <v>0</v>
      </c>
      <c r="BD316" s="28">
        <f t="shared" si="336"/>
        <v>0</v>
      </c>
      <c r="BE316" s="28">
        <v>0</v>
      </c>
      <c r="BF316" s="28">
        <f>316</f>
        <v>316</v>
      </c>
      <c r="BH316" s="28">
        <f t="shared" si="337"/>
        <v>0</v>
      </c>
      <c r="BI316" s="28">
        <f t="shared" si="338"/>
        <v>0</v>
      </c>
      <c r="BJ316" s="28">
        <f t="shared" si="339"/>
        <v>0</v>
      </c>
      <c r="BK316" s="28"/>
      <c r="BL316" s="28">
        <v>0</v>
      </c>
      <c r="BW316" s="28">
        <v>21</v>
      </c>
    </row>
    <row r="317" spans="1:75" ht="13.5" customHeight="1">
      <c r="A317" s="38" t="s">
        <v>393</v>
      </c>
      <c r="B317" s="39" t="s">
        <v>328</v>
      </c>
      <c r="C317" s="39" t="s">
        <v>526</v>
      </c>
      <c r="D317" s="50" t="s">
        <v>98</v>
      </c>
      <c r="E317" s="51"/>
      <c r="F317" s="39" t="s">
        <v>228</v>
      </c>
      <c r="G317" s="28">
        <v>1</v>
      </c>
      <c r="H317" s="120">
        <v>0</v>
      </c>
      <c r="I317" s="120">
        <f t="shared" si="320"/>
        <v>0</v>
      </c>
      <c r="K317" s="8"/>
      <c r="Z317" s="28">
        <f t="shared" si="321"/>
        <v>0</v>
      </c>
      <c r="AB317" s="28">
        <f t="shared" si="322"/>
        <v>0</v>
      </c>
      <c r="AC317" s="28">
        <f t="shared" si="323"/>
        <v>0</v>
      </c>
      <c r="AD317" s="28">
        <f t="shared" si="324"/>
        <v>0</v>
      </c>
      <c r="AE317" s="28">
        <f t="shared" si="325"/>
        <v>0</v>
      </c>
      <c r="AF317" s="28">
        <f t="shared" si="326"/>
        <v>0</v>
      </c>
      <c r="AG317" s="28">
        <f t="shared" si="327"/>
        <v>0</v>
      </c>
      <c r="AH317" s="28">
        <f t="shared" si="328"/>
        <v>0</v>
      </c>
      <c r="AI317" s="21" t="s">
        <v>328</v>
      </c>
      <c r="AJ317" s="28">
        <f t="shared" si="329"/>
        <v>0</v>
      </c>
      <c r="AK317" s="28">
        <f t="shared" si="330"/>
        <v>0</v>
      </c>
      <c r="AL317" s="28">
        <f t="shared" si="331"/>
        <v>0</v>
      </c>
      <c r="AN317" s="28">
        <v>21</v>
      </c>
      <c r="AO317" s="28">
        <f>H317*0</f>
        <v>0</v>
      </c>
      <c r="AP317" s="28">
        <f>H317*(1-0)</f>
        <v>0</v>
      </c>
      <c r="AQ317" s="30" t="s">
        <v>893</v>
      </c>
      <c r="AV317" s="28">
        <f t="shared" si="332"/>
        <v>0</v>
      </c>
      <c r="AW317" s="28">
        <f t="shared" si="333"/>
        <v>0</v>
      </c>
      <c r="AX317" s="28">
        <f t="shared" si="334"/>
        <v>0</v>
      </c>
      <c r="AY317" s="30" t="s">
        <v>792</v>
      </c>
      <c r="AZ317" s="30" t="s">
        <v>804</v>
      </c>
      <c r="BA317" s="21" t="s">
        <v>542</v>
      </c>
      <c r="BC317" s="28">
        <f t="shared" si="335"/>
        <v>0</v>
      </c>
      <c r="BD317" s="28">
        <f t="shared" si="336"/>
        <v>0</v>
      </c>
      <c r="BE317" s="28">
        <v>0</v>
      </c>
      <c r="BF317" s="28">
        <f>317</f>
        <v>317</v>
      </c>
      <c r="BH317" s="28">
        <f t="shared" si="337"/>
        <v>0</v>
      </c>
      <c r="BI317" s="28">
        <f t="shared" si="338"/>
        <v>0</v>
      </c>
      <c r="BJ317" s="28">
        <f t="shared" si="339"/>
        <v>0</v>
      </c>
      <c r="BK317" s="28"/>
      <c r="BL317" s="28">
        <v>0</v>
      </c>
      <c r="BW317" s="28">
        <v>21</v>
      </c>
    </row>
    <row r="318" spans="1:75" ht="13.5" customHeight="1">
      <c r="A318" s="38" t="s">
        <v>891</v>
      </c>
      <c r="B318" s="39" t="s">
        <v>328</v>
      </c>
      <c r="C318" s="39" t="s">
        <v>476</v>
      </c>
      <c r="D318" s="50" t="s">
        <v>731</v>
      </c>
      <c r="E318" s="51"/>
      <c r="F318" s="39" t="s">
        <v>396</v>
      </c>
      <c r="G318" s="28">
        <v>1.04924</v>
      </c>
      <c r="H318" s="120">
        <v>0</v>
      </c>
      <c r="I318" s="120">
        <f t="shared" si="320"/>
        <v>0</v>
      </c>
      <c r="K318" s="8"/>
      <c r="Z318" s="28">
        <f t="shared" si="321"/>
        <v>0</v>
      </c>
      <c r="AB318" s="28">
        <f t="shared" si="322"/>
        <v>0</v>
      </c>
      <c r="AC318" s="28">
        <f t="shared" si="323"/>
        <v>0</v>
      </c>
      <c r="AD318" s="28">
        <f t="shared" si="324"/>
        <v>0</v>
      </c>
      <c r="AE318" s="28">
        <f t="shared" si="325"/>
        <v>0</v>
      </c>
      <c r="AF318" s="28">
        <f t="shared" si="326"/>
        <v>0</v>
      </c>
      <c r="AG318" s="28">
        <f t="shared" si="327"/>
        <v>0</v>
      </c>
      <c r="AH318" s="28">
        <f t="shared" si="328"/>
        <v>0</v>
      </c>
      <c r="AI318" s="21" t="s">
        <v>328</v>
      </c>
      <c r="AJ318" s="28">
        <f t="shared" si="329"/>
        <v>0</v>
      </c>
      <c r="AK318" s="28">
        <f t="shared" si="330"/>
        <v>0</v>
      </c>
      <c r="AL318" s="28">
        <f t="shared" si="331"/>
        <v>0</v>
      </c>
      <c r="AN318" s="28">
        <v>21</v>
      </c>
      <c r="AO318" s="28">
        <f>H318*0</f>
        <v>0</v>
      </c>
      <c r="AP318" s="28">
        <f>H318*(1-0)</f>
        <v>0</v>
      </c>
      <c r="AQ318" s="30" t="s">
        <v>455</v>
      </c>
      <c r="AV318" s="28">
        <f t="shared" si="332"/>
        <v>0</v>
      </c>
      <c r="AW318" s="28">
        <f t="shared" si="333"/>
        <v>0</v>
      </c>
      <c r="AX318" s="28">
        <f t="shared" si="334"/>
        <v>0</v>
      </c>
      <c r="AY318" s="30" t="s">
        <v>792</v>
      </c>
      <c r="AZ318" s="30" t="s">
        <v>804</v>
      </c>
      <c r="BA318" s="21" t="s">
        <v>542</v>
      </c>
      <c r="BC318" s="28">
        <f t="shared" si="335"/>
        <v>0</v>
      </c>
      <c r="BD318" s="28">
        <f t="shared" si="336"/>
        <v>0</v>
      </c>
      <c r="BE318" s="28">
        <v>0</v>
      </c>
      <c r="BF318" s="28">
        <f>318</f>
        <v>318</v>
      </c>
      <c r="BH318" s="28">
        <f t="shared" si="337"/>
        <v>0</v>
      </c>
      <c r="BI318" s="28">
        <f t="shared" si="338"/>
        <v>0</v>
      </c>
      <c r="BJ318" s="28">
        <f t="shared" si="339"/>
        <v>0</v>
      </c>
      <c r="BK318" s="28"/>
      <c r="BL318" s="28">
        <v>0</v>
      </c>
      <c r="BW318" s="28">
        <v>21</v>
      </c>
    </row>
    <row r="319" spans="1:75" ht="13.5" customHeight="1">
      <c r="A319" s="38" t="s">
        <v>358</v>
      </c>
      <c r="B319" s="39" t="s">
        <v>328</v>
      </c>
      <c r="C319" s="39" t="s">
        <v>169</v>
      </c>
      <c r="D319" s="50" t="s">
        <v>372</v>
      </c>
      <c r="E319" s="51"/>
      <c r="F319" s="39" t="s">
        <v>396</v>
      </c>
      <c r="G319" s="28">
        <v>1.04925</v>
      </c>
      <c r="H319" s="120">
        <v>0</v>
      </c>
      <c r="I319" s="120">
        <f t="shared" si="320"/>
        <v>0</v>
      </c>
      <c r="K319" s="8"/>
      <c r="Z319" s="28">
        <f t="shared" si="321"/>
        <v>0</v>
      </c>
      <c r="AB319" s="28">
        <f t="shared" si="322"/>
        <v>0</v>
      </c>
      <c r="AC319" s="28">
        <f t="shared" si="323"/>
        <v>0</v>
      </c>
      <c r="AD319" s="28">
        <f t="shared" si="324"/>
        <v>0</v>
      </c>
      <c r="AE319" s="28">
        <f t="shared" si="325"/>
        <v>0</v>
      </c>
      <c r="AF319" s="28">
        <f t="shared" si="326"/>
        <v>0</v>
      </c>
      <c r="AG319" s="28">
        <f t="shared" si="327"/>
        <v>0</v>
      </c>
      <c r="AH319" s="28">
        <f t="shared" si="328"/>
        <v>0</v>
      </c>
      <c r="AI319" s="21" t="s">
        <v>328</v>
      </c>
      <c r="AJ319" s="28">
        <f t="shared" si="329"/>
        <v>0</v>
      </c>
      <c r="AK319" s="28">
        <f t="shared" si="330"/>
        <v>0</v>
      </c>
      <c r="AL319" s="28">
        <f t="shared" si="331"/>
        <v>0</v>
      </c>
      <c r="AN319" s="28">
        <v>21</v>
      </c>
      <c r="AO319" s="28">
        <f>H319*0</f>
        <v>0</v>
      </c>
      <c r="AP319" s="28">
        <f>H319*(1-0)</f>
        <v>0</v>
      </c>
      <c r="AQ319" s="30" t="s">
        <v>455</v>
      </c>
      <c r="AV319" s="28">
        <f t="shared" si="332"/>
        <v>0</v>
      </c>
      <c r="AW319" s="28">
        <f t="shared" si="333"/>
        <v>0</v>
      </c>
      <c r="AX319" s="28">
        <f t="shared" si="334"/>
        <v>0</v>
      </c>
      <c r="AY319" s="30" t="s">
        <v>792</v>
      </c>
      <c r="AZ319" s="30" t="s">
        <v>804</v>
      </c>
      <c r="BA319" s="21" t="s">
        <v>542</v>
      </c>
      <c r="BC319" s="28">
        <f t="shared" si="335"/>
        <v>0</v>
      </c>
      <c r="BD319" s="28">
        <f t="shared" si="336"/>
        <v>0</v>
      </c>
      <c r="BE319" s="28">
        <v>0</v>
      </c>
      <c r="BF319" s="28">
        <f>319</f>
        <v>319</v>
      </c>
      <c r="BH319" s="28">
        <f t="shared" si="337"/>
        <v>0</v>
      </c>
      <c r="BI319" s="28">
        <f t="shared" si="338"/>
        <v>0</v>
      </c>
      <c r="BJ319" s="28">
        <f t="shared" si="339"/>
        <v>0</v>
      </c>
      <c r="BK319" s="28"/>
      <c r="BL319" s="28">
        <v>0</v>
      </c>
      <c r="BW319" s="28">
        <v>21</v>
      </c>
    </row>
    <row r="320" spans="1:47" ht="15" customHeight="1">
      <c r="A320" s="3" t="s">
        <v>626</v>
      </c>
      <c r="B320" s="43" t="s">
        <v>328</v>
      </c>
      <c r="C320" s="43" t="s">
        <v>724</v>
      </c>
      <c r="D320" s="103" t="s">
        <v>775</v>
      </c>
      <c r="E320" s="104"/>
      <c r="F320" s="37" t="s">
        <v>836</v>
      </c>
      <c r="G320" s="37" t="s">
        <v>836</v>
      </c>
      <c r="H320" s="118" t="s">
        <v>836</v>
      </c>
      <c r="I320" s="119">
        <f>SUM(I321:I321)</f>
        <v>0</v>
      </c>
      <c r="K320" s="8"/>
      <c r="AI320" s="21" t="s">
        <v>328</v>
      </c>
      <c r="AS320" s="31">
        <f>SUM(AJ321:AJ321)</f>
        <v>0</v>
      </c>
      <c r="AT320" s="31">
        <f>SUM(AK321:AK321)</f>
        <v>0</v>
      </c>
      <c r="AU320" s="31">
        <f>SUM(AL321:AL321)</f>
        <v>0</v>
      </c>
    </row>
    <row r="321" spans="1:75" ht="13.5" customHeight="1">
      <c r="A321" s="38" t="s">
        <v>128</v>
      </c>
      <c r="B321" s="39" t="s">
        <v>328</v>
      </c>
      <c r="C321" s="39" t="s">
        <v>431</v>
      </c>
      <c r="D321" s="50" t="s">
        <v>549</v>
      </c>
      <c r="E321" s="51"/>
      <c r="F321" s="39" t="s">
        <v>741</v>
      </c>
      <c r="G321" s="28">
        <v>20</v>
      </c>
      <c r="H321" s="120">
        <v>0</v>
      </c>
      <c r="I321" s="120">
        <f>G321*H321</f>
        <v>0</v>
      </c>
      <c r="K321" s="8"/>
      <c r="Z321" s="28">
        <f>IF(AQ321="5",BJ321,0)</f>
        <v>0</v>
      </c>
      <c r="AB321" s="28">
        <f>IF(AQ321="1",BH321,0)</f>
        <v>0</v>
      </c>
      <c r="AC321" s="28">
        <f>IF(AQ321="1",BI321,0)</f>
        <v>0</v>
      </c>
      <c r="AD321" s="28">
        <f>IF(AQ321="7",BH321,0)</f>
        <v>0</v>
      </c>
      <c r="AE321" s="28">
        <f>IF(AQ321="7",BI321,0)</f>
        <v>0</v>
      </c>
      <c r="AF321" s="28">
        <f>IF(AQ321="2",BH321,0)</f>
        <v>0</v>
      </c>
      <c r="AG321" s="28">
        <f>IF(AQ321="2",BI321,0)</f>
        <v>0</v>
      </c>
      <c r="AH321" s="28">
        <f>IF(AQ321="0",BJ321,0)</f>
        <v>0</v>
      </c>
      <c r="AI321" s="21" t="s">
        <v>328</v>
      </c>
      <c r="AJ321" s="28">
        <f>IF(AN321=0,I321,0)</f>
        <v>0</v>
      </c>
      <c r="AK321" s="28">
        <f>IF(AN321=12,I321,0)</f>
        <v>0</v>
      </c>
      <c r="AL321" s="28">
        <f>IF(AN321=21,I321,0)</f>
        <v>0</v>
      </c>
      <c r="AN321" s="28">
        <v>21</v>
      </c>
      <c r="AO321" s="28">
        <f>H321*0</f>
        <v>0</v>
      </c>
      <c r="AP321" s="28">
        <f>H321*(1-0)</f>
        <v>0</v>
      </c>
      <c r="AQ321" s="30" t="s">
        <v>900</v>
      </c>
      <c r="AV321" s="28">
        <f>AW321+AX321</f>
        <v>0</v>
      </c>
      <c r="AW321" s="28">
        <f>G321*AO321</f>
        <v>0</v>
      </c>
      <c r="AX321" s="28">
        <f>G321*AP321</f>
        <v>0</v>
      </c>
      <c r="AY321" s="30" t="s">
        <v>698</v>
      </c>
      <c r="AZ321" s="30" t="s">
        <v>896</v>
      </c>
      <c r="BA321" s="21" t="s">
        <v>542</v>
      </c>
      <c r="BC321" s="28">
        <f>AW321+AX321</f>
        <v>0</v>
      </c>
      <c r="BD321" s="28">
        <f>H321/(100-BE321)*100</f>
        <v>0</v>
      </c>
      <c r="BE321" s="28">
        <v>0</v>
      </c>
      <c r="BF321" s="28">
        <f>321</f>
        <v>321</v>
      </c>
      <c r="BH321" s="28">
        <f>G321*AO321</f>
        <v>0</v>
      </c>
      <c r="BI321" s="28">
        <f>G321*AP321</f>
        <v>0</v>
      </c>
      <c r="BJ321" s="28">
        <f>G321*H321</f>
        <v>0</v>
      </c>
      <c r="BK321" s="28"/>
      <c r="BL321" s="28">
        <v>713</v>
      </c>
      <c r="BW321" s="28">
        <v>21</v>
      </c>
    </row>
    <row r="322" spans="1:47" ht="15" customHeight="1">
      <c r="A322" s="3" t="s">
        <v>626</v>
      </c>
      <c r="B322" s="43" t="s">
        <v>328</v>
      </c>
      <c r="C322" s="43" t="s">
        <v>812</v>
      </c>
      <c r="D322" s="103" t="s">
        <v>547</v>
      </c>
      <c r="E322" s="104"/>
      <c r="F322" s="37" t="s">
        <v>836</v>
      </c>
      <c r="G322" s="37" t="s">
        <v>836</v>
      </c>
      <c r="H322" s="118" t="s">
        <v>836</v>
      </c>
      <c r="I322" s="119">
        <f>SUM(I323:I334)</f>
        <v>0</v>
      </c>
      <c r="K322" s="8"/>
      <c r="AI322" s="21" t="s">
        <v>328</v>
      </c>
      <c r="AS322" s="31">
        <f>SUM(AJ323:AJ334)</f>
        <v>0</v>
      </c>
      <c r="AT322" s="31">
        <f>SUM(AK323:AK334)</f>
        <v>0</v>
      </c>
      <c r="AU322" s="31">
        <f>SUM(AL323:AL334)</f>
        <v>0</v>
      </c>
    </row>
    <row r="323" spans="1:75" ht="13.5" customHeight="1">
      <c r="A323" s="38" t="s">
        <v>246</v>
      </c>
      <c r="B323" s="39" t="s">
        <v>328</v>
      </c>
      <c r="C323" s="39" t="s">
        <v>378</v>
      </c>
      <c r="D323" s="50" t="s">
        <v>847</v>
      </c>
      <c r="E323" s="51"/>
      <c r="F323" s="39" t="s">
        <v>228</v>
      </c>
      <c r="G323" s="28">
        <v>8</v>
      </c>
      <c r="H323" s="120">
        <v>0</v>
      </c>
      <c r="I323" s="120">
        <f aca="true" t="shared" si="340" ref="I323:I334">G323*H323</f>
        <v>0</v>
      </c>
      <c r="K323" s="8"/>
      <c r="Z323" s="28">
        <f aca="true" t="shared" si="341" ref="Z323:Z334">IF(AQ323="5",BJ323,0)</f>
        <v>0</v>
      </c>
      <c r="AB323" s="28">
        <f aca="true" t="shared" si="342" ref="AB323:AB334">IF(AQ323="1",BH323,0)</f>
        <v>0</v>
      </c>
      <c r="AC323" s="28">
        <f aca="true" t="shared" si="343" ref="AC323:AC334">IF(AQ323="1",BI323,0)</f>
        <v>0</v>
      </c>
      <c r="AD323" s="28">
        <f aca="true" t="shared" si="344" ref="AD323:AD334">IF(AQ323="7",BH323,0)</f>
        <v>0</v>
      </c>
      <c r="AE323" s="28">
        <f aca="true" t="shared" si="345" ref="AE323:AE334">IF(AQ323="7",BI323,0)</f>
        <v>0</v>
      </c>
      <c r="AF323" s="28">
        <f aca="true" t="shared" si="346" ref="AF323:AF334">IF(AQ323="2",BH323,0)</f>
        <v>0</v>
      </c>
      <c r="AG323" s="28">
        <f aca="true" t="shared" si="347" ref="AG323:AG334">IF(AQ323="2",BI323,0)</f>
        <v>0</v>
      </c>
      <c r="AH323" s="28">
        <f aca="true" t="shared" si="348" ref="AH323:AH334">IF(AQ323="0",BJ323,0)</f>
        <v>0</v>
      </c>
      <c r="AI323" s="21" t="s">
        <v>328</v>
      </c>
      <c r="AJ323" s="28">
        <f aca="true" t="shared" si="349" ref="AJ323:AJ334">IF(AN323=0,I323,0)</f>
        <v>0</v>
      </c>
      <c r="AK323" s="28">
        <f aca="true" t="shared" si="350" ref="AK323:AK334">IF(AN323=12,I323,0)</f>
        <v>0</v>
      </c>
      <c r="AL323" s="28">
        <f aca="true" t="shared" si="351" ref="AL323:AL334">IF(AN323=21,I323,0)</f>
        <v>0</v>
      </c>
      <c r="AN323" s="28">
        <v>21</v>
      </c>
      <c r="AO323" s="28">
        <f>H323*0</f>
        <v>0</v>
      </c>
      <c r="AP323" s="28">
        <f>H323*(1-0)</f>
        <v>0</v>
      </c>
      <c r="AQ323" s="30" t="s">
        <v>900</v>
      </c>
      <c r="AV323" s="28">
        <f aca="true" t="shared" si="352" ref="AV323:AV334">AW323+AX323</f>
        <v>0</v>
      </c>
      <c r="AW323" s="28">
        <f aca="true" t="shared" si="353" ref="AW323:AW334">G323*AO323</f>
        <v>0</v>
      </c>
      <c r="AX323" s="28">
        <f aca="true" t="shared" si="354" ref="AX323:AX334">G323*AP323</f>
        <v>0</v>
      </c>
      <c r="AY323" s="30" t="s">
        <v>562</v>
      </c>
      <c r="AZ323" s="30" t="s">
        <v>198</v>
      </c>
      <c r="BA323" s="21" t="s">
        <v>542</v>
      </c>
      <c r="BC323" s="28">
        <f aca="true" t="shared" si="355" ref="BC323:BC334">AW323+AX323</f>
        <v>0</v>
      </c>
      <c r="BD323" s="28">
        <f aca="true" t="shared" si="356" ref="BD323:BD334">H323/(100-BE323)*100</f>
        <v>0</v>
      </c>
      <c r="BE323" s="28">
        <v>0</v>
      </c>
      <c r="BF323" s="28">
        <f>323</f>
        <v>323</v>
      </c>
      <c r="BH323" s="28">
        <f aca="true" t="shared" si="357" ref="BH323:BH334">G323*AO323</f>
        <v>0</v>
      </c>
      <c r="BI323" s="28">
        <f aca="true" t="shared" si="358" ref="BI323:BI334">G323*AP323</f>
        <v>0</v>
      </c>
      <c r="BJ323" s="28">
        <f aca="true" t="shared" si="359" ref="BJ323:BJ334">G323*H323</f>
        <v>0</v>
      </c>
      <c r="BK323" s="28"/>
      <c r="BL323" s="28">
        <v>722</v>
      </c>
      <c r="BW323" s="28">
        <v>21</v>
      </c>
    </row>
    <row r="324" spans="1:75" ht="13.5" customHeight="1">
      <c r="A324" s="38" t="s">
        <v>428</v>
      </c>
      <c r="B324" s="39" t="s">
        <v>328</v>
      </c>
      <c r="C324" s="39" t="s">
        <v>221</v>
      </c>
      <c r="D324" s="50" t="s">
        <v>892</v>
      </c>
      <c r="E324" s="51"/>
      <c r="F324" s="39" t="s">
        <v>741</v>
      </c>
      <c r="G324" s="28">
        <v>8</v>
      </c>
      <c r="H324" s="120">
        <v>0</v>
      </c>
      <c r="I324" s="120">
        <f t="shared" si="340"/>
        <v>0</v>
      </c>
      <c r="K324" s="8"/>
      <c r="Z324" s="28">
        <f t="shared" si="341"/>
        <v>0</v>
      </c>
      <c r="AB324" s="28">
        <f t="shared" si="342"/>
        <v>0</v>
      </c>
      <c r="AC324" s="28">
        <f t="shared" si="343"/>
        <v>0</v>
      </c>
      <c r="AD324" s="28">
        <f t="shared" si="344"/>
        <v>0</v>
      </c>
      <c r="AE324" s="28">
        <f t="shared" si="345"/>
        <v>0</v>
      </c>
      <c r="AF324" s="28">
        <f t="shared" si="346"/>
        <v>0</v>
      </c>
      <c r="AG324" s="28">
        <f t="shared" si="347"/>
        <v>0</v>
      </c>
      <c r="AH324" s="28">
        <f t="shared" si="348"/>
        <v>0</v>
      </c>
      <c r="AI324" s="21" t="s">
        <v>328</v>
      </c>
      <c r="AJ324" s="28">
        <f t="shared" si="349"/>
        <v>0</v>
      </c>
      <c r="AK324" s="28">
        <f t="shared" si="350"/>
        <v>0</v>
      </c>
      <c r="AL324" s="28">
        <f t="shared" si="351"/>
        <v>0</v>
      </c>
      <c r="AN324" s="28">
        <v>21</v>
      </c>
      <c r="AO324" s="28">
        <f>H324*0</f>
        <v>0</v>
      </c>
      <c r="AP324" s="28">
        <f>H324*(1-0)</f>
        <v>0</v>
      </c>
      <c r="AQ324" s="30" t="s">
        <v>900</v>
      </c>
      <c r="AV324" s="28">
        <f t="shared" si="352"/>
        <v>0</v>
      </c>
      <c r="AW324" s="28">
        <f t="shared" si="353"/>
        <v>0</v>
      </c>
      <c r="AX324" s="28">
        <f t="shared" si="354"/>
        <v>0</v>
      </c>
      <c r="AY324" s="30" t="s">
        <v>562</v>
      </c>
      <c r="AZ324" s="30" t="s">
        <v>198</v>
      </c>
      <c r="BA324" s="21" t="s">
        <v>542</v>
      </c>
      <c r="BC324" s="28">
        <f t="shared" si="355"/>
        <v>0</v>
      </c>
      <c r="BD324" s="28">
        <f t="shared" si="356"/>
        <v>0</v>
      </c>
      <c r="BE324" s="28">
        <v>0</v>
      </c>
      <c r="BF324" s="28">
        <f>324</f>
        <v>324</v>
      </c>
      <c r="BH324" s="28">
        <f t="shared" si="357"/>
        <v>0</v>
      </c>
      <c r="BI324" s="28">
        <f t="shared" si="358"/>
        <v>0</v>
      </c>
      <c r="BJ324" s="28">
        <f t="shared" si="359"/>
        <v>0</v>
      </c>
      <c r="BK324" s="28"/>
      <c r="BL324" s="28">
        <v>722</v>
      </c>
      <c r="BW324" s="28">
        <v>21</v>
      </c>
    </row>
    <row r="325" spans="1:75" ht="13.5" customHeight="1">
      <c r="A325" s="38" t="s">
        <v>553</v>
      </c>
      <c r="B325" s="39" t="s">
        <v>328</v>
      </c>
      <c r="C325" s="39" t="s">
        <v>132</v>
      </c>
      <c r="D325" s="50" t="s">
        <v>240</v>
      </c>
      <c r="E325" s="51"/>
      <c r="F325" s="39" t="s">
        <v>228</v>
      </c>
      <c r="G325" s="28">
        <v>2</v>
      </c>
      <c r="H325" s="120">
        <v>0</v>
      </c>
      <c r="I325" s="120">
        <f t="shared" si="340"/>
        <v>0</v>
      </c>
      <c r="K325" s="8"/>
      <c r="Z325" s="28">
        <f t="shared" si="341"/>
        <v>0</v>
      </c>
      <c r="AB325" s="28">
        <f t="shared" si="342"/>
        <v>0</v>
      </c>
      <c r="AC325" s="28">
        <f t="shared" si="343"/>
        <v>0</v>
      </c>
      <c r="AD325" s="28">
        <f t="shared" si="344"/>
        <v>0</v>
      </c>
      <c r="AE325" s="28">
        <f t="shared" si="345"/>
        <v>0</v>
      </c>
      <c r="AF325" s="28">
        <f t="shared" si="346"/>
        <v>0</v>
      </c>
      <c r="AG325" s="28">
        <f t="shared" si="347"/>
        <v>0</v>
      </c>
      <c r="AH325" s="28">
        <f t="shared" si="348"/>
        <v>0</v>
      </c>
      <c r="AI325" s="21" t="s">
        <v>328</v>
      </c>
      <c r="AJ325" s="28">
        <f t="shared" si="349"/>
        <v>0</v>
      </c>
      <c r="AK325" s="28">
        <f t="shared" si="350"/>
        <v>0</v>
      </c>
      <c r="AL325" s="28">
        <f t="shared" si="351"/>
        <v>0</v>
      </c>
      <c r="AN325" s="28">
        <v>21</v>
      </c>
      <c r="AO325" s="28">
        <f>H325*0.635584415584416</f>
        <v>0</v>
      </c>
      <c r="AP325" s="28">
        <f>H325*(1-0.635584415584416)</f>
        <v>0</v>
      </c>
      <c r="AQ325" s="30" t="s">
        <v>900</v>
      </c>
      <c r="AV325" s="28">
        <f t="shared" si="352"/>
        <v>0</v>
      </c>
      <c r="AW325" s="28">
        <f t="shared" si="353"/>
        <v>0</v>
      </c>
      <c r="AX325" s="28">
        <f t="shared" si="354"/>
        <v>0</v>
      </c>
      <c r="AY325" s="30" t="s">
        <v>562</v>
      </c>
      <c r="AZ325" s="30" t="s">
        <v>198</v>
      </c>
      <c r="BA325" s="21" t="s">
        <v>542</v>
      </c>
      <c r="BC325" s="28">
        <f t="shared" si="355"/>
        <v>0</v>
      </c>
      <c r="BD325" s="28">
        <f t="shared" si="356"/>
        <v>0</v>
      </c>
      <c r="BE325" s="28">
        <v>0</v>
      </c>
      <c r="BF325" s="28">
        <f>325</f>
        <v>325</v>
      </c>
      <c r="BH325" s="28">
        <f t="shared" si="357"/>
        <v>0</v>
      </c>
      <c r="BI325" s="28">
        <f t="shared" si="358"/>
        <v>0</v>
      </c>
      <c r="BJ325" s="28">
        <f t="shared" si="359"/>
        <v>0</v>
      </c>
      <c r="BK325" s="28"/>
      <c r="BL325" s="28">
        <v>722</v>
      </c>
      <c r="BW325" s="28">
        <v>21</v>
      </c>
    </row>
    <row r="326" spans="1:75" ht="13.5" customHeight="1">
      <c r="A326" s="38" t="s">
        <v>857</v>
      </c>
      <c r="B326" s="39" t="s">
        <v>328</v>
      </c>
      <c r="C326" s="39" t="s">
        <v>656</v>
      </c>
      <c r="D326" s="50" t="s">
        <v>1033</v>
      </c>
      <c r="E326" s="51"/>
      <c r="F326" s="39" t="s">
        <v>741</v>
      </c>
      <c r="G326" s="28">
        <v>8</v>
      </c>
      <c r="H326" s="120">
        <v>0</v>
      </c>
      <c r="I326" s="120">
        <f t="shared" si="340"/>
        <v>0</v>
      </c>
      <c r="K326" s="8"/>
      <c r="Z326" s="28">
        <f t="shared" si="341"/>
        <v>0</v>
      </c>
      <c r="AB326" s="28">
        <f t="shared" si="342"/>
        <v>0</v>
      </c>
      <c r="AC326" s="28">
        <f t="shared" si="343"/>
        <v>0</v>
      </c>
      <c r="AD326" s="28">
        <f t="shared" si="344"/>
        <v>0</v>
      </c>
      <c r="AE326" s="28">
        <f t="shared" si="345"/>
        <v>0</v>
      </c>
      <c r="AF326" s="28">
        <f t="shared" si="346"/>
        <v>0</v>
      </c>
      <c r="AG326" s="28">
        <f t="shared" si="347"/>
        <v>0</v>
      </c>
      <c r="AH326" s="28">
        <f t="shared" si="348"/>
        <v>0</v>
      </c>
      <c r="AI326" s="21" t="s">
        <v>328</v>
      </c>
      <c r="AJ326" s="28">
        <f t="shared" si="349"/>
        <v>0</v>
      </c>
      <c r="AK326" s="28">
        <f t="shared" si="350"/>
        <v>0</v>
      </c>
      <c r="AL326" s="28">
        <f t="shared" si="351"/>
        <v>0</v>
      </c>
      <c r="AN326" s="28">
        <v>21</v>
      </c>
      <c r="AO326" s="28">
        <f>H326*0.388270254929131</f>
        <v>0</v>
      </c>
      <c r="AP326" s="28">
        <f>H326*(1-0.388270254929131)</f>
        <v>0</v>
      </c>
      <c r="AQ326" s="30" t="s">
        <v>900</v>
      </c>
      <c r="AV326" s="28">
        <f t="shared" si="352"/>
        <v>0</v>
      </c>
      <c r="AW326" s="28">
        <f t="shared" si="353"/>
        <v>0</v>
      </c>
      <c r="AX326" s="28">
        <f t="shared" si="354"/>
        <v>0</v>
      </c>
      <c r="AY326" s="30" t="s">
        <v>562</v>
      </c>
      <c r="AZ326" s="30" t="s">
        <v>198</v>
      </c>
      <c r="BA326" s="21" t="s">
        <v>542</v>
      </c>
      <c r="BC326" s="28">
        <f t="shared" si="355"/>
        <v>0</v>
      </c>
      <c r="BD326" s="28">
        <f t="shared" si="356"/>
        <v>0</v>
      </c>
      <c r="BE326" s="28">
        <v>0</v>
      </c>
      <c r="BF326" s="28">
        <f>326</f>
        <v>326</v>
      </c>
      <c r="BH326" s="28">
        <f t="shared" si="357"/>
        <v>0</v>
      </c>
      <c r="BI326" s="28">
        <f t="shared" si="358"/>
        <v>0</v>
      </c>
      <c r="BJ326" s="28">
        <f t="shared" si="359"/>
        <v>0</v>
      </c>
      <c r="BK326" s="28"/>
      <c r="BL326" s="28">
        <v>722</v>
      </c>
      <c r="BW326" s="28">
        <v>21</v>
      </c>
    </row>
    <row r="327" spans="1:75" ht="13.5" customHeight="1">
      <c r="A327" s="38" t="s">
        <v>201</v>
      </c>
      <c r="B327" s="39" t="s">
        <v>328</v>
      </c>
      <c r="C327" s="39" t="s">
        <v>88</v>
      </c>
      <c r="D327" s="50" t="s">
        <v>1062</v>
      </c>
      <c r="E327" s="51"/>
      <c r="F327" s="39" t="s">
        <v>741</v>
      </c>
      <c r="G327" s="28">
        <v>4</v>
      </c>
      <c r="H327" s="120">
        <v>0</v>
      </c>
      <c r="I327" s="120">
        <f t="shared" si="340"/>
        <v>0</v>
      </c>
      <c r="K327" s="8"/>
      <c r="Z327" s="28">
        <f t="shared" si="341"/>
        <v>0</v>
      </c>
      <c r="AB327" s="28">
        <f t="shared" si="342"/>
        <v>0</v>
      </c>
      <c r="AC327" s="28">
        <f t="shared" si="343"/>
        <v>0</v>
      </c>
      <c r="AD327" s="28">
        <f t="shared" si="344"/>
        <v>0</v>
      </c>
      <c r="AE327" s="28">
        <f t="shared" si="345"/>
        <v>0</v>
      </c>
      <c r="AF327" s="28">
        <f t="shared" si="346"/>
        <v>0</v>
      </c>
      <c r="AG327" s="28">
        <f t="shared" si="347"/>
        <v>0</v>
      </c>
      <c r="AH327" s="28">
        <f t="shared" si="348"/>
        <v>0</v>
      </c>
      <c r="AI327" s="21" t="s">
        <v>328</v>
      </c>
      <c r="AJ327" s="28">
        <f t="shared" si="349"/>
        <v>0</v>
      </c>
      <c r="AK327" s="28">
        <f t="shared" si="350"/>
        <v>0</v>
      </c>
      <c r="AL327" s="28">
        <f t="shared" si="351"/>
        <v>0</v>
      </c>
      <c r="AN327" s="28">
        <v>21</v>
      </c>
      <c r="AO327" s="28">
        <f>H327*0.628405063291139</f>
        <v>0</v>
      </c>
      <c r="AP327" s="28">
        <f>H327*(1-0.628405063291139)</f>
        <v>0</v>
      </c>
      <c r="AQ327" s="30" t="s">
        <v>900</v>
      </c>
      <c r="AV327" s="28">
        <f t="shared" si="352"/>
        <v>0</v>
      </c>
      <c r="AW327" s="28">
        <f t="shared" si="353"/>
        <v>0</v>
      </c>
      <c r="AX327" s="28">
        <f t="shared" si="354"/>
        <v>0</v>
      </c>
      <c r="AY327" s="30" t="s">
        <v>562</v>
      </c>
      <c r="AZ327" s="30" t="s">
        <v>198</v>
      </c>
      <c r="BA327" s="21" t="s">
        <v>542</v>
      </c>
      <c r="BC327" s="28">
        <f t="shared" si="355"/>
        <v>0</v>
      </c>
      <c r="BD327" s="28">
        <f t="shared" si="356"/>
        <v>0</v>
      </c>
      <c r="BE327" s="28">
        <v>0</v>
      </c>
      <c r="BF327" s="28">
        <f>327</f>
        <v>327</v>
      </c>
      <c r="BH327" s="28">
        <f t="shared" si="357"/>
        <v>0</v>
      </c>
      <c r="BI327" s="28">
        <f t="shared" si="358"/>
        <v>0</v>
      </c>
      <c r="BJ327" s="28">
        <f t="shared" si="359"/>
        <v>0</v>
      </c>
      <c r="BK327" s="28"/>
      <c r="BL327" s="28">
        <v>722</v>
      </c>
      <c r="BW327" s="28">
        <v>21</v>
      </c>
    </row>
    <row r="328" spans="1:75" ht="13.5" customHeight="1">
      <c r="A328" s="38" t="s">
        <v>874</v>
      </c>
      <c r="B328" s="39" t="s">
        <v>328</v>
      </c>
      <c r="C328" s="39" t="s">
        <v>946</v>
      </c>
      <c r="D328" s="50" t="s">
        <v>1063</v>
      </c>
      <c r="E328" s="51"/>
      <c r="F328" s="39" t="s">
        <v>741</v>
      </c>
      <c r="G328" s="28">
        <v>4</v>
      </c>
      <c r="H328" s="120">
        <v>0</v>
      </c>
      <c r="I328" s="120">
        <f t="shared" si="340"/>
        <v>0</v>
      </c>
      <c r="K328" s="8"/>
      <c r="Z328" s="28">
        <f t="shared" si="341"/>
        <v>0</v>
      </c>
      <c r="AB328" s="28">
        <f t="shared" si="342"/>
        <v>0</v>
      </c>
      <c r="AC328" s="28">
        <f t="shared" si="343"/>
        <v>0</v>
      </c>
      <c r="AD328" s="28">
        <f t="shared" si="344"/>
        <v>0</v>
      </c>
      <c r="AE328" s="28">
        <f t="shared" si="345"/>
        <v>0</v>
      </c>
      <c r="AF328" s="28">
        <f t="shared" si="346"/>
        <v>0</v>
      </c>
      <c r="AG328" s="28">
        <f t="shared" si="347"/>
        <v>0</v>
      </c>
      <c r="AH328" s="28">
        <f t="shared" si="348"/>
        <v>0</v>
      </c>
      <c r="AI328" s="21" t="s">
        <v>328</v>
      </c>
      <c r="AJ328" s="28">
        <f t="shared" si="349"/>
        <v>0</v>
      </c>
      <c r="AK328" s="28">
        <f t="shared" si="350"/>
        <v>0</v>
      </c>
      <c r="AL328" s="28">
        <f t="shared" si="351"/>
        <v>0</v>
      </c>
      <c r="AN328" s="28">
        <v>21</v>
      </c>
      <c r="AO328" s="28">
        <f>H328*0.373931824584468</f>
        <v>0</v>
      </c>
      <c r="AP328" s="28">
        <f>H328*(1-0.373931824584468)</f>
        <v>0</v>
      </c>
      <c r="AQ328" s="30" t="s">
        <v>900</v>
      </c>
      <c r="AV328" s="28">
        <f t="shared" si="352"/>
        <v>0</v>
      </c>
      <c r="AW328" s="28">
        <f t="shared" si="353"/>
        <v>0</v>
      </c>
      <c r="AX328" s="28">
        <f t="shared" si="354"/>
        <v>0</v>
      </c>
      <c r="AY328" s="30" t="s">
        <v>562</v>
      </c>
      <c r="AZ328" s="30" t="s">
        <v>198</v>
      </c>
      <c r="BA328" s="21" t="s">
        <v>542</v>
      </c>
      <c r="BC328" s="28">
        <f t="shared" si="355"/>
        <v>0</v>
      </c>
      <c r="BD328" s="28">
        <f t="shared" si="356"/>
        <v>0</v>
      </c>
      <c r="BE328" s="28">
        <v>0</v>
      </c>
      <c r="BF328" s="28">
        <f>328</f>
        <v>328</v>
      </c>
      <c r="BH328" s="28">
        <f t="shared" si="357"/>
        <v>0</v>
      </c>
      <c r="BI328" s="28">
        <f t="shared" si="358"/>
        <v>0</v>
      </c>
      <c r="BJ328" s="28">
        <f t="shared" si="359"/>
        <v>0</v>
      </c>
      <c r="BK328" s="28"/>
      <c r="BL328" s="28">
        <v>722</v>
      </c>
      <c r="BW328" s="28">
        <v>21</v>
      </c>
    </row>
    <row r="329" spans="1:75" ht="13.5" customHeight="1">
      <c r="A329" s="38" t="s">
        <v>366</v>
      </c>
      <c r="B329" s="39" t="s">
        <v>328</v>
      </c>
      <c r="C329" s="39" t="s">
        <v>156</v>
      </c>
      <c r="D329" s="50" t="s">
        <v>330</v>
      </c>
      <c r="E329" s="51"/>
      <c r="F329" s="39" t="s">
        <v>228</v>
      </c>
      <c r="G329" s="28">
        <v>1</v>
      </c>
      <c r="H329" s="120">
        <v>0</v>
      </c>
      <c r="I329" s="120">
        <f t="shared" si="340"/>
        <v>0</v>
      </c>
      <c r="K329" s="8"/>
      <c r="Z329" s="28">
        <f t="shared" si="341"/>
        <v>0</v>
      </c>
      <c r="AB329" s="28">
        <f t="shared" si="342"/>
        <v>0</v>
      </c>
      <c r="AC329" s="28">
        <f t="shared" si="343"/>
        <v>0</v>
      </c>
      <c r="AD329" s="28">
        <f t="shared" si="344"/>
        <v>0</v>
      </c>
      <c r="AE329" s="28">
        <f t="shared" si="345"/>
        <v>0</v>
      </c>
      <c r="AF329" s="28">
        <f t="shared" si="346"/>
        <v>0</v>
      </c>
      <c r="AG329" s="28">
        <f t="shared" si="347"/>
        <v>0</v>
      </c>
      <c r="AH329" s="28">
        <f t="shared" si="348"/>
        <v>0</v>
      </c>
      <c r="AI329" s="21" t="s">
        <v>328</v>
      </c>
      <c r="AJ329" s="28">
        <f t="shared" si="349"/>
        <v>0</v>
      </c>
      <c r="AK329" s="28">
        <f t="shared" si="350"/>
        <v>0</v>
      </c>
      <c r="AL329" s="28">
        <f t="shared" si="351"/>
        <v>0</v>
      </c>
      <c r="AN329" s="28">
        <v>21</v>
      </c>
      <c r="AO329" s="28">
        <f>H329*0.945809322033898</f>
        <v>0</v>
      </c>
      <c r="AP329" s="28">
        <f>H329*(1-0.945809322033898)</f>
        <v>0</v>
      </c>
      <c r="AQ329" s="30" t="s">
        <v>900</v>
      </c>
      <c r="AV329" s="28">
        <f t="shared" si="352"/>
        <v>0</v>
      </c>
      <c r="AW329" s="28">
        <f t="shared" si="353"/>
        <v>0</v>
      </c>
      <c r="AX329" s="28">
        <f t="shared" si="354"/>
        <v>0</v>
      </c>
      <c r="AY329" s="30" t="s">
        <v>562</v>
      </c>
      <c r="AZ329" s="30" t="s">
        <v>198</v>
      </c>
      <c r="BA329" s="21" t="s">
        <v>542</v>
      </c>
      <c r="BC329" s="28">
        <f t="shared" si="355"/>
        <v>0</v>
      </c>
      <c r="BD329" s="28">
        <f t="shared" si="356"/>
        <v>0</v>
      </c>
      <c r="BE329" s="28">
        <v>0</v>
      </c>
      <c r="BF329" s="28">
        <f>329</f>
        <v>329</v>
      </c>
      <c r="BH329" s="28">
        <f t="shared" si="357"/>
        <v>0</v>
      </c>
      <c r="BI329" s="28">
        <f t="shared" si="358"/>
        <v>0</v>
      </c>
      <c r="BJ329" s="28">
        <f t="shared" si="359"/>
        <v>0</v>
      </c>
      <c r="BK329" s="28"/>
      <c r="BL329" s="28">
        <v>722</v>
      </c>
      <c r="BW329" s="28">
        <v>21</v>
      </c>
    </row>
    <row r="330" spans="1:75" ht="13.5" customHeight="1">
      <c r="A330" s="38" t="s">
        <v>9</v>
      </c>
      <c r="B330" s="39" t="s">
        <v>328</v>
      </c>
      <c r="C330" s="39" t="s">
        <v>735</v>
      </c>
      <c r="D330" s="50" t="s">
        <v>285</v>
      </c>
      <c r="E330" s="51"/>
      <c r="F330" s="39" t="s">
        <v>228</v>
      </c>
      <c r="G330" s="28">
        <v>1</v>
      </c>
      <c r="H330" s="120">
        <v>0</v>
      </c>
      <c r="I330" s="120">
        <f t="shared" si="340"/>
        <v>0</v>
      </c>
      <c r="K330" s="8"/>
      <c r="Z330" s="28">
        <f t="shared" si="341"/>
        <v>0</v>
      </c>
      <c r="AB330" s="28">
        <f t="shared" si="342"/>
        <v>0</v>
      </c>
      <c r="AC330" s="28">
        <f t="shared" si="343"/>
        <v>0</v>
      </c>
      <c r="AD330" s="28">
        <f t="shared" si="344"/>
        <v>0</v>
      </c>
      <c r="AE330" s="28">
        <f t="shared" si="345"/>
        <v>0</v>
      </c>
      <c r="AF330" s="28">
        <f t="shared" si="346"/>
        <v>0</v>
      </c>
      <c r="AG330" s="28">
        <f t="shared" si="347"/>
        <v>0</v>
      </c>
      <c r="AH330" s="28">
        <f t="shared" si="348"/>
        <v>0</v>
      </c>
      <c r="AI330" s="21" t="s">
        <v>328</v>
      </c>
      <c r="AJ330" s="28">
        <f t="shared" si="349"/>
        <v>0</v>
      </c>
      <c r="AK330" s="28">
        <f t="shared" si="350"/>
        <v>0</v>
      </c>
      <c r="AL330" s="28">
        <f t="shared" si="351"/>
        <v>0</v>
      </c>
      <c r="AN330" s="28">
        <v>21</v>
      </c>
      <c r="AO330" s="28">
        <f>H330*0.963329388560158</f>
        <v>0</v>
      </c>
      <c r="AP330" s="28">
        <f>H330*(1-0.963329388560158)</f>
        <v>0</v>
      </c>
      <c r="AQ330" s="30" t="s">
        <v>900</v>
      </c>
      <c r="AV330" s="28">
        <f t="shared" si="352"/>
        <v>0</v>
      </c>
      <c r="AW330" s="28">
        <f t="shared" si="353"/>
        <v>0</v>
      </c>
      <c r="AX330" s="28">
        <f t="shared" si="354"/>
        <v>0</v>
      </c>
      <c r="AY330" s="30" t="s">
        <v>562</v>
      </c>
      <c r="AZ330" s="30" t="s">
        <v>198</v>
      </c>
      <c r="BA330" s="21" t="s">
        <v>542</v>
      </c>
      <c r="BC330" s="28">
        <f t="shared" si="355"/>
        <v>0</v>
      </c>
      <c r="BD330" s="28">
        <f t="shared" si="356"/>
        <v>0</v>
      </c>
      <c r="BE330" s="28">
        <v>0</v>
      </c>
      <c r="BF330" s="28">
        <f>330</f>
        <v>330</v>
      </c>
      <c r="BH330" s="28">
        <f t="shared" si="357"/>
        <v>0</v>
      </c>
      <c r="BI330" s="28">
        <f t="shared" si="358"/>
        <v>0</v>
      </c>
      <c r="BJ330" s="28">
        <f t="shared" si="359"/>
        <v>0</v>
      </c>
      <c r="BK330" s="28"/>
      <c r="BL330" s="28">
        <v>722</v>
      </c>
      <c r="BW330" s="28">
        <v>21</v>
      </c>
    </row>
    <row r="331" spans="1:75" ht="13.5" customHeight="1">
      <c r="A331" s="38" t="s">
        <v>389</v>
      </c>
      <c r="B331" s="39" t="s">
        <v>328</v>
      </c>
      <c r="C331" s="39" t="s">
        <v>119</v>
      </c>
      <c r="D331" s="50" t="s">
        <v>1039</v>
      </c>
      <c r="E331" s="51"/>
      <c r="F331" s="39" t="s">
        <v>228</v>
      </c>
      <c r="G331" s="28">
        <v>4</v>
      </c>
      <c r="H331" s="120">
        <v>0</v>
      </c>
      <c r="I331" s="120">
        <f t="shared" si="340"/>
        <v>0</v>
      </c>
      <c r="K331" s="8"/>
      <c r="Z331" s="28">
        <f t="shared" si="341"/>
        <v>0</v>
      </c>
      <c r="AB331" s="28">
        <f t="shared" si="342"/>
        <v>0</v>
      </c>
      <c r="AC331" s="28">
        <f t="shared" si="343"/>
        <v>0</v>
      </c>
      <c r="AD331" s="28">
        <f t="shared" si="344"/>
        <v>0</v>
      </c>
      <c r="AE331" s="28">
        <f t="shared" si="345"/>
        <v>0</v>
      </c>
      <c r="AF331" s="28">
        <f t="shared" si="346"/>
        <v>0</v>
      </c>
      <c r="AG331" s="28">
        <f t="shared" si="347"/>
        <v>0</v>
      </c>
      <c r="AH331" s="28">
        <f t="shared" si="348"/>
        <v>0</v>
      </c>
      <c r="AI331" s="21" t="s">
        <v>328</v>
      </c>
      <c r="AJ331" s="28">
        <f t="shared" si="349"/>
        <v>0</v>
      </c>
      <c r="AK331" s="28">
        <f t="shared" si="350"/>
        <v>0</v>
      </c>
      <c r="AL331" s="28">
        <f t="shared" si="351"/>
        <v>0</v>
      </c>
      <c r="AN331" s="28">
        <v>21</v>
      </c>
      <c r="AO331" s="28">
        <f>H331*0.767472727272727</f>
        <v>0</v>
      </c>
      <c r="AP331" s="28">
        <f>H331*(1-0.767472727272727)</f>
        <v>0</v>
      </c>
      <c r="AQ331" s="30" t="s">
        <v>900</v>
      </c>
      <c r="AV331" s="28">
        <f t="shared" si="352"/>
        <v>0</v>
      </c>
      <c r="AW331" s="28">
        <f t="shared" si="353"/>
        <v>0</v>
      </c>
      <c r="AX331" s="28">
        <f t="shared" si="354"/>
        <v>0</v>
      </c>
      <c r="AY331" s="30" t="s">
        <v>562</v>
      </c>
      <c r="AZ331" s="30" t="s">
        <v>198</v>
      </c>
      <c r="BA331" s="21" t="s">
        <v>542</v>
      </c>
      <c r="BC331" s="28">
        <f t="shared" si="355"/>
        <v>0</v>
      </c>
      <c r="BD331" s="28">
        <f t="shared" si="356"/>
        <v>0</v>
      </c>
      <c r="BE331" s="28">
        <v>0</v>
      </c>
      <c r="BF331" s="28">
        <f>331</f>
        <v>331</v>
      </c>
      <c r="BH331" s="28">
        <f t="shared" si="357"/>
        <v>0</v>
      </c>
      <c r="BI331" s="28">
        <f t="shared" si="358"/>
        <v>0</v>
      </c>
      <c r="BJ331" s="28">
        <f t="shared" si="359"/>
        <v>0</v>
      </c>
      <c r="BK331" s="28"/>
      <c r="BL331" s="28">
        <v>722</v>
      </c>
      <c r="BW331" s="28">
        <v>21</v>
      </c>
    </row>
    <row r="332" spans="1:75" ht="13.5" customHeight="1">
      <c r="A332" s="38" t="s">
        <v>202</v>
      </c>
      <c r="B332" s="39" t="s">
        <v>328</v>
      </c>
      <c r="C332" s="39" t="s">
        <v>545</v>
      </c>
      <c r="D332" s="50" t="s">
        <v>1064</v>
      </c>
      <c r="E332" s="51"/>
      <c r="F332" s="39" t="s">
        <v>228</v>
      </c>
      <c r="G332" s="28">
        <v>1</v>
      </c>
      <c r="H332" s="120">
        <v>0</v>
      </c>
      <c r="I332" s="120">
        <f t="shared" si="340"/>
        <v>0</v>
      </c>
      <c r="K332" s="8"/>
      <c r="Z332" s="28">
        <f t="shared" si="341"/>
        <v>0</v>
      </c>
      <c r="AB332" s="28">
        <f t="shared" si="342"/>
        <v>0</v>
      </c>
      <c r="AC332" s="28">
        <f t="shared" si="343"/>
        <v>0</v>
      </c>
      <c r="AD332" s="28">
        <f t="shared" si="344"/>
        <v>0</v>
      </c>
      <c r="AE332" s="28">
        <f t="shared" si="345"/>
        <v>0</v>
      </c>
      <c r="AF332" s="28">
        <f t="shared" si="346"/>
        <v>0</v>
      </c>
      <c r="AG332" s="28">
        <f t="shared" si="347"/>
        <v>0</v>
      </c>
      <c r="AH332" s="28">
        <f t="shared" si="348"/>
        <v>0</v>
      </c>
      <c r="AI332" s="21" t="s">
        <v>328</v>
      </c>
      <c r="AJ332" s="28">
        <f t="shared" si="349"/>
        <v>0</v>
      </c>
      <c r="AK332" s="28">
        <f t="shared" si="350"/>
        <v>0</v>
      </c>
      <c r="AL332" s="28">
        <f t="shared" si="351"/>
        <v>0</v>
      </c>
      <c r="AN332" s="28">
        <v>21</v>
      </c>
      <c r="AO332" s="28">
        <f>H332*0.869366700715015</f>
        <v>0</v>
      </c>
      <c r="AP332" s="28">
        <f>H332*(1-0.869366700715015)</f>
        <v>0</v>
      </c>
      <c r="AQ332" s="30" t="s">
        <v>900</v>
      </c>
      <c r="AV332" s="28">
        <f t="shared" si="352"/>
        <v>0</v>
      </c>
      <c r="AW332" s="28">
        <f t="shared" si="353"/>
        <v>0</v>
      </c>
      <c r="AX332" s="28">
        <f t="shared" si="354"/>
        <v>0</v>
      </c>
      <c r="AY332" s="30" t="s">
        <v>562</v>
      </c>
      <c r="AZ332" s="30" t="s">
        <v>198</v>
      </c>
      <c r="BA332" s="21" t="s">
        <v>542</v>
      </c>
      <c r="BC332" s="28">
        <f t="shared" si="355"/>
        <v>0</v>
      </c>
      <c r="BD332" s="28">
        <f t="shared" si="356"/>
        <v>0</v>
      </c>
      <c r="BE332" s="28">
        <v>0</v>
      </c>
      <c r="BF332" s="28">
        <f>332</f>
        <v>332</v>
      </c>
      <c r="BH332" s="28">
        <f t="shared" si="357"/>
        <v>0</v>
      </c>
      <c r="BI332" s="28">
        <f t="shared" si="358"/>
        <v>0</v>
      </c>
      <c r="BJ332" s="28">
        <f t="shared" si="359"/>
        <v>0</v>
      </c>
      <c r="BK332" s="28"/>
      <c r="BL332" s="28">
        <v>722</v>
      </c>
      <c r="BW332" s="28">
        <v>21</v>
      </c>
    </row>
    <row r="333" spans="1:75" ht="13.5" customHeight="1">
      <c r="A333" s="38" t="s">
        <v>466</v>
      </c>
      <c r="B333" s="39" t="s">
        <v>328</v>
      </c>
      <c r="C333" s="39" t="s">
        <v>796</v>
      </c>
      <c r="D333" s="50" t="s">
        <v>1065</v>
      </c>
      <c r="E333" s="51"/>
      <c r="F333" s="39" t="s">
        <v>228</v>
      </c>
      <c r="G333" s="28">
        <v>1</v>
      </c>
      <c r="H333" s="120">
        <v>0</v>
      </c>
      <c r="I333" s="120">
        <f t="shared" si="340"/>
        <v>0</v>
      </c>
      <c r="K333" s="8"/>
      <c r="Z333" s="28">
        <f t="shared" si="341"/>
        <v>0</v>
      </c>
      <c r="AB333" s="28">
        <f t="shared" si="342"/>
        <v>0</v>
      </c>
      <c r="AC333" s="28">
        <f t="shared" si="343"/>
        <v>0</v>
      </c>
      <c r="AD333" s="28">
        <f t="shared" si="344"/>
        <v>0</v>
      </c>
      <c r="AE333" s="28">
        <f t="shared" si="345"/>
        <v>0</v>
      </c>
      <c r="AF333" s="28">
        <f t="shared" si="346"/>
        <v>0</v>
      </c>
      <c r="AG333" s="28">
        <f t="shared" si="347"/>
        <v>0</v>
      </c>
      <c r="AH333" s="28">
        <f t="shared" si="348"/>
        <v>0</v>
      </c>
      <c r="AI333" s="21" t="s">
        <v>328</v>
      </c>
      <c r="AJ333" s="28">
        <f t="shared" si="349"/>
        <v>0</v>
      </c>
      <c r="AK333" s="28">
        <f t="shared" si="350"/>
        <v>0</v>
      </c>
      <c r="AL333" s="28">
        <f t="shared" si="351"/>
        <v>0</v>
      </c>
      <c r="AN333" s="28">
        <v>21</v>
      </c>
      <c r="AO333" s="28">
        <f>H333*0.767894736842105</f>
        <v>0</v>
      </c>
      <c r="AP333" s="28">
        <f>H333*(1-0.767894736842105)</f>
        <v>0</v>
      </c>
      <c r="AQ333" s="30" t="s">
        <v>900</v>
      </c>
      <c r="AV333" s="28">
        <f t="shared" si="352"/>
        <v>0</v>
      </c>
      <c r="AW333" s="28">
        <f t="shared" si="353"/>
        <v>0</v>
      </c>
      <c r="AX333" s="28">
        <f t="shared" si="354"/>
        <v>0</v>
      </c>
      <c r="AY333" s="30" t="s">
        <v>562</v>
      </c>
      <c r="AZ333" s="30" t="s">
        <v>198</v>
      </c>
      <c r="BA333" s="21" t="s">
        <v>542</v>
      </c>
      <c r="BC333" s="28">
        <f t="shared" si="355"/>
        <v>0</v>
      </c>
      <c r="BD333" s="28">
        <f t="shared" si="356"/>
        <v>0</v>
      </c>
      <c r="BE333" s="28">
        <v>0</v>
      </c>
      <c r="BF333" s="28">
        <f>333</f>
        <v>333</v>
      </c>
      <c r="BH333" s="28">
        <f t="shared" si="357"/>
        <v>0</v>
      </c>
      <c r="BI333" s="28">
        <f t="shared" si="358"/>
        <v>0</v>
      </c>
      <c r="BJ333" s="28">
        <f t="shared" si="359"/>
        <v>0</v>
      </c>
      <c r="BK333" s="28"/>
      <c r="BL333" s="28">
        <v>722</v>
      </c>
      <c r="BW333" s="28">
        <v>21</v>
      </c>
    </row>
    <row r="334" spans="1:75" ht="13.5" customHeight="1">
      <c r="A334" s="38" t="s">
        <v>873</v>
      </c>
      <c r="B334" s="39" t="s">
        <v>328</v>
      </c>
      <c r="C334" s="39" t="s">
        <v>901</v>
      </c>
      <c r="D334" s="50" t="s">
        <v>1066</v>
      </c>
      <c r="E334" s="51"/>
      <c r="F334" s="39" t="s">
        <v>228</v>
      </c>
      <c r="G334" s="28">
        <v>1</v>
      </c>
      <c r="H334" s="120">
        <v>0</v>
      </c>
      <c r="I334" s="120">
        <f t="shared" si="340"/>
        <v>0</v>
      </c>
      <c r="K334" s="8"/>
      <c r="Z334" s="28">
        <f t="shared" si="341"/>
        <v>0</v>
      </c>
      <c r="AB334" s="28">
        <f t="shared" si="342"/>
        <v>0</v>
      </c>
      <c r="AC334" s="28">
        <f t="shared" si="343"/>
        <v>0</v>
      </c>
      <c r="AD334" s="28">
        <f t="shared" si="344"/>
        <v>0</v>
      </c>
      <c r="AE334" s="28">
        <f t="shared" si="345"/>
        <v>0</v>
      </c>
      <c r="AF334" s="28">
        <f t="shared" si="346"/>
        <v>0</v>
      </c>
      <c r="AG334" s="28">
        <f t="shared" si="347"/>
        <v>0</v>
      </c>
      <c r="AH334" s="28">
        <f t="shared" si="348"/>
        <v>0</v>
      </c>
      <c r="AI334" s="21" t="s">
        <v>328</v>
      </c>
      <c r="AJ334" s="28">
        <f t="shared" si="349"/>
        <v>0</v>
      </c>
      <c r="AK334" s="28">
        <f t="shared" si="350"/>
        <v>0</v>
      </c>
      <c r="AL334" s="28">
        <f t="shared" si="351"/>
        <v>0</v>
      </c>
      <c r="AN334" s="28">
        <v>21</v>
      </c>
      <c r="AO334" s="28">
        <f>H334*0.901698693312836</f>
        <v>0</v>
      </c>
      <c r="AP334" s="28">
        <f>H334*(1-0.901698693312836)</f>
        <v>0</v>
      </c>
      <c r="AQ334" s="30" t="s">
        <v>900</v>
      </c>
      <c r="AV334" s="28">
        <f t="shared" si="352"/>
        <v>0</v>
      </c>
      <c r="AW334" s="28">
        <f t="shared" si="353"/>
        <v>0</v>
      </c>
      <c r="AX334" s="28">
        <f t="shared" si="354"/>
        <v>0</v>
      </c>
      <c r="AY334" s="30" t="s">
        <v>562</v>
      </c>
      <c r="AZ334" s="30" t="s">
        <v>198</v>
      </c>
      <c r="BA334" s="21" t="s">
        <v>542</v>
      </c>
      <c r="BC334" s="28">
        <f t="shared" si="355"/>
        <v>0</v>
      </c>
      <c r="BD334" s="28">
        <f t="shared" si="356"/>
        <v>0</v>
      </c>
      <c r="BE334" s="28">
        <v>0</v>
      </c>
      <c r="BF334" s="28">
        <f>334</f>
        <v>334</v>
      </c>
      <c r="BH334" s="28">
        <f t="shared" si="357"/>
        <v>0</v>
      </c>
      <c r="BI334" s="28">
        <f t="shared" si="358"/>
        <v>0</v>
      </c>
      <c r="BJ334" s="28">
        <f t="shared" si="359"/>
        <v>0</v>
      </c>
      <c r="BK334" s="28"/>
      <c r="BL334" s="28">
        <v>722</v>
      </c>
      <c r="BW334" s="28">
        <v>21</v>
      </c>
    </row>
    <row r="335" spans="1:47" ht="15" customHeight="1">
      <c r="A335" s="3" t="s">
        <v>626</v>
      </c>
      <c r="B335" s="43" t="s">
        <v>328</v>
      </c>
      <c r="C335" s="43" t="s">
        <v>550</v>
      </c>
      <c r="D335" s="103" t="s">
        <v>995</v>
      </c>
      <c r="E335" s="104"/>
      <c r="F335" s="37" t="s">
        <v>836</v>
      </c>
      <c r="G335" s="37" t="s">
        <v>836</v>
      </c>
      <c r="H335" s="118" t="s">
        <v>836</v>
      </c>
      <c r="I335" s="119">
        <f>SUM(I336:I336)</f>
        <v>0</v>
      </c>
      <c r="K335" s="8"/>
      <c r="AI335" s="21" t="s">
        <v>328</v>
      </c>
      <c r="AS335" s="31">
        <f>SUM(AJ336:AJ336)</f>
        <v>0</v>
      </c>
      <c r="AT335" s="31">
        <f>SUM(AK336:AK336)</f>
        <v>0</v>
      </c>
      <c r="AU335" s="31">
        <f>SUM(AL336:AL336)</f>
        <v>0</v>
      </c>
    </row>
    <row r="336" spans="1:75" ht="13.5" customHeight="1">
      <c r="A336" s="38" t="s">
        <v>715</v>
      </c>
      <c r="B336" s="39" t="s">
        <v>328</v>
      </c>
      <c r="C336" s="39" t="s">
        <v>759</v>
      </c>
      <c r="D336" s="50" t="s">
        <v>780</v>
      </c>
      <c r="E336" s="51"/>
      <c r="F336" s="39" t="s">
        <v>311</v>
      </c>
      <c r="G336" s="28">
        <v>1</v>
      </c>
      <c r="H336" s="120">
        <v>0</v>
      </c>
      <c r="I336" s="120">
        <f>G336*H336</f>
        <v>0</v>
      </c>
      <c r="K336" s="8"/>
      <c r="Z336" s="28">
        <f>IF(AQ336="5",BJ336,0)</f>
        <v>0</v>
      </c>
      <c r="AB336" s="28">
        <f>IF(AQ336="1",BH336,0)</f>
        <v>0</v>
      </c>
      <c r="AC336" s="28">
        <f>IF(AQ336="1",BI336,0)</f>
        <v>0</v>
      </c>
      <c r="AD336" s="28">
        <f>IF(AQ336="7",BH336,0)</f>
        <v>0</v>
      </c>
      <c r="AE336" s="28">
        <f>IF(AQ336="7",BI336,0)</f>
        <v>0</v>
      </c>
      <c r="AF336" s="28">
        <f>IF(AQ336="2",BH336,0)</f>
        <v>0</v>
      </c>
      <c r="AG336" s="28">
        <f>IF(AQ336="2",BI336,0)</f>
        <v>0</v>
      </c>
      <c r="AH336" s="28">
        <f>IF(AQ336="0",BJ336,0)</f>
        <v>0</v>
      </c>
      <c r="AI336" s="21" t="s">
        <v>328</v>
      </c>
      <c r="AJ336" s="28">
        <f>IF(AN336=0,I336,0)</f>
        <v>0</v>
      </c>
      <c r="AK336" s="28">
        <f>IF(AN336=12,I336,0)</f>
        <v>0</v>
      </c>
      <c r="AL336" s="28">
        <f>IF(AN336=21,I336,0)</f>
        <v>0</v>
      </c>
      <c r="AN336" s="28">
        <v>21</v>
      </c>
      <c r="AO336" s="28">
        <f>H336*0.346020761245675</f>
        <v>0</v>
      </c>
      <c r="AP336" s="28">
        <f>H336*(1-0.346020761245675)</f>
        <v>0</v>
      </c>
      <c r="AQ336" s="30" t="s">
        <v>900</v>
      </c>
      <c r="AV336" s="28">
        <f>AW336+AX336</f>
        <v>0</v>
      </c>
      <c r="AW336" s="28">
        <f>G336*AO336</f>
        <v>0</v>
      </c>
      <c r="AX336" s="28">
        <f>G336*AP336</f>
        <v>0</v>
      </c>
      <c r="AY336" s="30" t="s">
        <v>817</v>
      </c>
      <c r="AZ336" s="30" t="s">
        <v>951</v>
      </c>
      <c r="BA336" s="21" t="s">
        <v>542</v>
      </c>
      <c r="BC336" s="28">
        <f>AW336+AX336</f>
        <v>0</v>
      </c>
      <c r="BD336" s="28">
        <f>H336/(100-BE336)*100</f>
        <v>0</v>
      </c>
      <c r="BE336" s="28">
        <v>0</v>
      </c>
      <c r="BF336" s="28">
        <f>336</f>
        <v>336</v>
      </c>
      <c r="BH336" s="28">
        <f>G336*AO336</f>
        <v>0</v>
      </c>
      <c r="BI336" s="28">
        <f>G336*AP336</f>
        <v>0</v>
      </c>
      <c r="BJ336" s="28">
        <f>G336*H336</f>
        <v>0</v>
      </c>
      <c r="BK336" s="28"/>
      <c r="BL336" s="28">
        <v>73</v>
      </c>
      <c r="BW336" s="28">
        <v>21</v>
      </c>
    </row>
    <row r="337" spans="1:47" ht="15" customHeight="1">
      <c r="A337" s="3" t="s">
        <v>626</v>
      </c>
      <c r="B337" s="43" t="s">
        <v>328</v>
      </c>
      <c r="C337" s="43" t="s">
        <v>595</v>
      </c>
      <c r="D337" s="103" t="s">
        <v>898</v>
      </c>
      <c r="E337" s="104"/>
      <c r="F337" s="37" t="s">
        <v>836</v>
      </c>
      <c r="G337" s="37" t="s">
        <v>836</v>
      </c>
      <c r="H337" s="118" t="s">
        <v>836</v>
      </c>
      <c r="I337" s="119">
        <f>SUM(I338:I344)</f>
        <v>0</v>
      </c>
      <c r="K337" s="8"/>
      <c r="AI337" s="21" t="s">
        <v>328</v>
      </c>
      <c r="AS337" s="31">
        <f>SUM(AJ338:AJ344)</f>
        <v>0</v>
      </c>
      <c r="AT337" s="31">
        <f>SUM(AK338:AK344)</f>
        <v>0</v>
      </c>
      <c r="AU337" s="31">
        <f>SUM(AL338:AL344)</f>
        <v>0</v>
      </c>
    </row>
    <row r="338" spans="1:75" ht="13.5" customHeight="1">
      <c r="A338" s="38" t="s">
        <v>708</v>
      </c>
      <c r="B338" s="39" t="s">
        <v>328</v>
      </c>
      <c r="C338" s="39" t="s">
        <v>118</v>
      </c>
      <c r="D338" s="50" t="s">
        <v>325</v>
      </c>
      <c r="E338" s="51"/>
      <c r="F338" s="39" t="s">
        <v>311</v>
      </c>
      <c r="G338" s="28">
        <v>11</v>
      </c>
      <c r="H338" s="120">
        <v>0</v>
      </c>
      <c r="I338" s="120">
        <f aca="true" t="shared" si="360" ref="I338:I344">G338*H338</f>
        <v>0</v>
      </c>
      <c r="K338" s="8"/>
      <c r="Z338" s="28">
        <f aca="true" t="shared" si="361" ref="Z338:Z344">IF(AQ338="5",BJ338,0)</f>
        <v>0</v>
      </c>
      <c r="AB338" s="28">
        <f aca="true" t="shared" si="362" ref="AB338:AB344">IF(AQ338="1",BH338,0)</f>
        <v>0</v>
      </c>
      <c r="AC338" s="28">
        <f aca="true" t="shared" si="363" ref="AC338:AC344">IF(AQ338="1",BI338,0)</f>
        <v>0</v>
      </c>
      <c r="AD338" s="28">
        <f aca="true" t="shared" si="364" ref="AD338:AD344">IF(AQ338="7",BH338,0)</f>
        <v>0</v>
      </c>
      <c r="AE338" s="28">
        <f aca="true" t="shared" si="365" ref="AE338:AE344">IF(AQ338="7",BI338,0)</f>
        <v>0</v>
      </c>
      <c r="AF338" s="28">
        <f aca="true" t="shared" si="366" ref="AF338:AF344">IF(AQ338="2",BH338,0)</f>
        <v>0</v>
      </c>
      <c r="AG338" s="28">
        <f aca="true" t="shared" si="367" ref="AG338:AG344">IF(AQ338="2",BI338,0)</f>
        <v>0</v>
      </c>
      <c r="AH338" s="28">
        <f aca="true" t="shared" si="368" ref="AH338:AH344">IF(AQ338="0",BJ338,0)</f>
        <v>0</v>
      </c>
      <c r="AI338" s="21" t="s">
        <v>328</v>
      </c>
      <c r="AJ338" s="28">
        <f aca="true" t="shared" si="369" ref="AJ338:AJ344">IF(AN338=0,I338,0)</f>
        <v>0</v>
      </c>
      <c r="AK338" s="28">
        <f aca="true" t="shared" si="370" ref="AK338:AK344">IF(AN338=12,I338,0)</f>
        <v>0</v>
      </c>
      <c r="AL338" s="28">
        <f aca="true" t="shared" si="371" ref="AL338:AL344">IF(AN338=21,I338,0)</f>
        <v>0</v>
      </c>
      <c r="AN338" s="28">
        <v>21</v>
      </c>
      <c r="AO338" s="28">
        <f>H338*0.658518518518519</f>
        <v>0</v>
      </c>
      <c r="AP338" s="28">
        <f>H338*(1-0.658518518518519)</f>
        <v>0</v>
      </c>
      <c r="AQ338" s="30" t="s">
        <v>900</v>
      </c>
      <c r="AV338" s="28">
        <f aca="true" t="shared" si="372" ref="AV338:AV344">AW338+AX338</f>
        <v>0</v>
      </c>
      <c r="AW338" s="28">
        <f aca="true" t="shared" si="373" ref="AW338:AW344">G338*AO338</f>
        <v>0</v>
      </c>
      <c r="AX338" s="28">
        <f aca="true" t="shared" si="374" ref="AX338:AX344">G338*AP338</f>
        <v>0</v>
      </c>
      <c r="AY338" s="30" t="s">
        <v>399</v>
      </c>
      <c r="AZ338" s="30" t="s">
        <v>951</v>
      </c>
      <c r="BA338" s="21" t="s">
        <v>542</v>
      </c>
      <c r="BC338" s="28">
        <f aca="true" t="shared" si="375" ref="BC338:BC344">AW338+AX338</f>
        <v>0</v>
      </c>
      <c r="BD338" s="28">
        <f aca="true" t="shared" si="376" ref="BD338:BD344">H338/(100-BE338)*100</f>
        <v>0</v>
      </c>
      <c r="BE338" s="28">
        <v>0</v>
      </c>
      <c r="BF338" s="28">
        <f>338</f>
        <v>338</v>
      </c>
      <c r="BH338" s="28">
        <f aca="true" t="shared" si="377" ref="BH338:BH344">G338*AO338</f>
        <v>0</v>
      </c>
      <c r="BI338" s="28">
        <f aca="true" t="shared" si="378" ref="BI338:BI344">G338*AP338</f>
        <v>0</v>
      </c>
      <c r="BJ338" s="28">
        <f aca="true" t="shared" si="379" ref="BJ338:BJ344">G338*H338</f>
        <v>0</v>
      </c>
      <c r="BK338" s="28"/>
      <c r="BL338" s="28">
        <v>732</v>
      </c>
      <c r="BW338" s="28">
        <v>21</v>
      </c>
    </row>
    <row r="339" spans="1:75" ht="13.5" customHeight="1">
      <c r="A339" s="38" t="s">
        <v>136</v>
      </c>
      <c r="B339" s="39" t="s">
        <v>328</v>
      </c>
      <c r="C339" s="39" t="s">
        <v>703</v>
      </c>
      <c r="D339" s="50" t="s">
        <v>666</v>
      </c>
      <c r="E339" s="51"/>
      <c r="F339" s="39" t="s">
        <v>741</v>
      </c>
      <c r="G339" s="28">
        <v>2</v>
      </c>
      <c r="H339" s="120">
        <v>0</v>
      </c>
      <c r="I339" s="120">
        <f t="shared" si="360"/>
        <v>0</v>
      </c>
      <c r="K339" s="8"/>
      <c r="Z339" s="28">
        <f t="shared" si="361"/>
        <v>0</v>
      </c>
      <c r="AB339" s="28">
        <f t="shared" si="362"/>
        <v>0</v>
      </c>
      <c r="AC339" s="28">
        <f t="shared" si="363"/>
        <v>0</v>
      </c>
      <c r="AD339" s="28">
        <f t="shared" si="364"/>
        <v>0</v>
      </c>
      <c r="AE339" s="28">
        <f t="shared" si="365"/>
        <v>0</v>
      </c>
      <c r="AF339" s="28">
        <f t="shared" si="366"/>
        <v>0</v>
      </c>
      <c r="AG339" s="28">
        <f t="shared" si="367"/>
        <v>0</v>
      </c>
      <c r="AH339" s="28">
        <f t="shared" si="368"/>
        <v>0</v>
      </c>
      <c r="AI339" s="21" t="s">
        <v>328</v>
      </c>
      <c r="AJ339" s="28">
        <f t="shared" si="369"/>
        <v>0</v>
      </c>
      <c r="AK339" s="28">
        <f t="shared" si="370"/>
        <v>0</v>
      </c>
      <c r="AL339" s="28">
        <f t="shared" si="371"/>
        <v>0</v>
      </c>
      <c r="AN339" s="28">
        <v>21</v>
      </c>
      <c r="AO339" s="28">
        <f>H339*0</f>
        <v>0</v>
      </c>
      <c r="AP339" s="28">
        <f>H339*(1-0)</f>
        <v>0</v>
      </c>
      <c r="AQ339" s="30" t="s">
        <v>900</v>
      </c>
      <c r="AV339" s="28">
        <f t="shared" si="372"/>
        <v>0</v>
      </c>
      <c r="AW339" s="28">
        <f t="shared" si="373"/>
        <v>0</v>
      </c>
      <c r="AX339" s="28">
        <f t="shared" si="374"/>
        <v>0</v>
      </c>
      <c r="AY339" s="30" t="s">
        <v>399</v>
      </c>
      <c r="AZ339" s="30" t="s">
        <v>951</v>
      </c>
      <c r="BA339" s="21" t="s">
        <v>542</v>
      </c>
      <c r="BC339" s="28">
        <f t="shared" si="375"/>
        <v>0</v>
      </c>
      <c r="BD339" s="28">
        <f t="shared" si="376"/>
        <v>0</v>
      </c>
      <c r="BE339" s="28">
        <v>0</v>
      </c>
      <c r="BF339" s="28">
        <f>339</f>
        <v>339</v>
      </c>
      <c r="BH339" s="28">
        <f t="shared" si="377"/>
        <v>0</v>
      </c>
      <c r="BI339" s="28">
        <f t="shared" si="378"/>
        <v>0</v>
      </c>
      <c r="BJ339" s="28">
        <f t="shared" si="379"/>
        <v>0</v>
      </c>
      <c r="BK339" s="28"/>
      <c r="BL339" s="28">
        <v>732</v>
      </c>
      <c r="BW339" s="28">
        <v>21</v>
      </c>
    </row>
    <row r="340" spans="1:75" ht="13.5" customHeight="1">
      <c r="A340" s="38" t="s">
        <v>375</v>
      </c>
      <c r="B340" s="39" t="s">
        <v>328</v>
      </c>
      <c r="C340" s="39" t="s">
        <v>117</v>
      </c>
      <c r="D340" s="50" t="s">
        <v>34</v>
      </c>
      <c r="E340" s="51"/>
      <c r="F340" s="39" t="s">
        <v>228</v>
      </c>
      <c r="G340" s="28">
        <v>1</v>
      </c>
      <c r="H340" s="120">
        <v>0</v>
      </c>
      <c r="I340" s="120">
        <f t="shared" si="360"/>
        <v>0</v>
      </c>
      <c r="K340" s="8"/>
      <c r="Z340" s="28">
        <f t="shared" si="361"/>
        <v>0</v>
      </c>
      <c r="AB340" s="28">
        <f t="shared" si="362"/>
        <v>0</v>
      </c>
      <c r="AC340" s="28">
        <f t="shared" si="363"/>
        <v>0</v>
      </c>
      <c r="AD340" s="28">
        <f t="shared" si="364"/>
        <v>0</v>
      </c>
      <c r="AE340" s="28">
        <f t="shared" si="365"/>
        <v>0</v>
      </c>
      <c r="AF340" s="28">
        <f t="shared" si="366"/>
        <v>0</v>
      </c>
      <c r="AG340" s="28">
        <f t="shared" si="367"/>
        <v>0</v>
      </c>
      <c r="AH340" s="28">
        <f t="shared" si="368"/>
        <v>0</v>
      </c>
      <c r="AI340" s="21" t="s">
        <v>328</v>
      </c>
      <c r="AJ340" s="28">
        <f t="shared" si="369"/>
        <v>0</v>
      </c>
      <c r="AK340" s="28">
        <f t="shared" si="370"/>
        <v>0</v>
      </c>
      <c r="AL340" s="28">
        <f t="shared" si="371"/>
        <v>0</v>
      </c>
      <c r="AN340" s="28">
        <v>21</v>
      </c>
      <c r="AO340" s="28">
        <f>H340*0.674383346425766</f>
        <v>0</v>
      </c>
      <c r="AP340" s="28">
        <f>H340*(1-0.674383346425766)</f>
        <v>0</v>
      </c>
      <c r="AQ340" s="30" t="s">
        <v>900</v>
      </c>
      <c r="AV340" s="28">
        <f t="shared" si="372"/>
        <v>0</v>
      </c>
      <c r="AW340" s="28">
        <f t="shared" si="373"/>
        <v>0</v>
      </c>
      <c r="AX340" s="28">
        <f t="shared" si="374"/>
        <v>0</v>
      </c>
      <c r="AY340" s="30" t="s">
        <v>399</v>
      </c>
      <c r="AZ340" s="30" t="s">
        <v>951</v>
      </c>
      <c r="BA340" s="21" t="s">
        <v>542</v>
      </c>
      <c r="BC340" s="28">
        <f t="shared" si="375"/>
        <v>0</v>
      </c>
      <c r="BD340" s="28">
        <f t="shared" si="376"/>
        <v>0</v>
      </c>
      <c r="BE340" s="28">
        <v>0</v>
      </c>
      <c r="BF340" s="28">
        <f>340</f>
        <v>340</v>
      </c>
      <c r="BH340" s="28">
        <f t="shared" si="377"/>
        <v>0</v>
      </c>
      <c r="BI340" s="28">
        <f t="shared" si="378"/>
        <v>0</v>
      </c>
      <c r="BJ340" s="28">
        <f t="shared" si="379"/>
        <v>0</v>
      </c>
      <c r="BK340" s="28"/>
      <c r="BL340" s="28">
        <v>732</v>
      </c>
      <c r="BW340" s="28">
        <v>21</v>
      </c>
    </row>
    <row r="341" spans="1:75" ht="13.5" customHeight="1">
      <c r="A341" s="38" t="s">
        <v>199</v>
      </c>
      <c r="B341" s="39" t="s">
        <v>328</v>
      </c>
      <c r="C341" s="39" t="s">
        <v>290</v>
      </c>
      <c r="D341" s="50" t="s">
        <v>886</v>
      </c>
      <c r="E341" s="51"/>
      <c r="F341" s="39" t="s">
        <v>228</v>
      </c>
      <c r="G341" s="28">
        <v>2</v>
      </c>
      <c r="H341" s="120">
        <v>0</v>
      </c>
      <c r="I341" s="120">
        <f t="shared" si="360"/>
        <v>0</v>
      </c>
      <c r="K341" s="8"/>
      <c r="Z341" s="28">
        <f t="shared" si="361"/>
        <v>0</v>
      </c>
      <c r="AB341" s="28">
        <f t="shared" si="362"/>
        <v>0</v>
      </c>
      <c r="AC341" s="28">
        <f t="shared" si="363"/>
        <v>0</v>
      </c>
      <c r="AD341" s="28">
        <f t="shared" si="364"/>
        <v>0</v>
      </c>
      <c r="AE341" s="28">
        <f t="shared" si="365"/>
        <v>0</v>
      </c>
      <c r="AF341" s="28">
        <f t="shared" si="366"/>
        <v>0</v>
      </c>
      <c r="AG341" s="28">
        <f t="shared" si="367"/>
        <v>0</v>
      </c>
      <c r="AH341" s="28">
        <f t="shared" si="368"/>
        <v>0</v>
      </c>
      <c r="AI341" s="21" t="s">
        <v>328</v>
      </c>
      <c r="AJ341" s="28">
        <f t="shared" si="369"/>
        <v>0</v>
      </c>
      <c r="AK341" s="28">
        <f t="shared" si="370"/>
        <v>0</v>
      </c>
      <c r="AL341" s="28">
        <f t="shared" si="371"/>
        <v>0</v>
      </c>
      <c r="AN341" s="28">
        <v>21</v>
      </c>
      <c r="AO341" s="28">
        <f>H341*0.532435331230284</f>
        <v>0</v>
      </c>
      <c r="AP341" s="28">
        <f>H341*(1-0.532435331230284)</f>
        <v>0</v>
      </c>
      <c r="AQ341" s="30" t="s">
        <v>900</v>
      </c>
      <c r="AV341" s="28">
        <f t="shared" si="372"/>
        <v>0</v>
      </c>
      <c r="AW341" s="28">
        <f t="shared" si="373"/>
        <v>0</v>
      </c>
      <c r="AX341" s="28">
        <f t="shared" si="374"/>
        <v>0</v>
      </c>
      <c r="AY341" s="30" t="s">
        <v>399</v>
      </c>
      <c r="AZ341" s="30" t="s">
        <v>951</v>
      </c>
      <c r="BA341" s="21" t="s">
        <v>542</v>
      </c>
      <c r="BC341" s="28">
        <f t="shared" si="375"/>
        <v>0</v>
      </c>
      <c r="BD341" s="28">
        <f t="shared" si="376"/>
        <v>0</v>
      </c>
      <c r="BE341" s="28">
        <v>0</v>
      </c>
      <c r="BF341" s="28">
        <f>341</f>
        <v>341</v>
      </c>
      <c r="BH341" s="28">
        <f t="shared" si="377"/>
        <v>0</v>
      </c>
      <c r="BI341" s="28">
        <f t="shared" si="378"/>
        <v>0</v>
      </c>
      <c r="BJ341" s="28">
        <f t="shared" si="379"/>
        <v>0</v>
      </c>
      <c r="BK341" s="28"/>
      <c r="BL341" s="28">
        <v>732</v>
      </c>
      <c r="BW341" s="28">
        <v>21</v>
      </c>
    </row>
    <row r="342" spans="1:75" ht="13.5" customHeight="1">
      <c r="A342" s="38" t="s">
        <v>369</v>
      </c>
      <c r="B342" s="39" t="s">
        <v>328</v>
      </c>
      <c r="C342" s="39" t="s">
        <v>949</v>
      </c>
      <c r="D342" s="50" t="s">
        <v>1049</v>
      </c>
      <c r="E342" s="51"/>
      <c r="F342" s="39" t="s">
        <v>626</v>
      </c>
      <c r="G342" s="28">
        <v>1</v>
      </c>
      <c r="H342" s="120">
        <v>0</v>
      </c>
      <c r="I342" s="120">
        <f t="shared" si="360"/>
        <v>0</v>
      </c>
      <c r="K342" s="8"/>
      <c r="Z342" s="28">
        <f t="shared" si="361"/>
        <v>0</v>
      </c>
      <c r="AB342" s="28">
        <f t="shared" si="362"/>
        <v>0</v>
      </c>
      <c r="AC342" s="28">
        <f t="shared" si="363"/>
        <v>0</v>
      </c>
      <c r="AD342" s="28">
        <f t="shared" si="364"/>
        <v>0</v>
      </c>
      <c r="AE342" s="28">
        <f t="shared" si="365"/>
        <v>0</v>
      </c>
      <c r="AF342" s="28">
        <f t="shared" si="366"/>
        <v>0</v>
      </c>
      <c r="AG342" s="28">
        <f t="shared" si="367"/>
        <v>0</v>
      </c>
      <c r="AH342" s="28">
        <f t="shared" si="368"/>
        <v>0</v>
      </c>
      <c r="AI342" s="21" t="s">
        <v>328</v>
      </c>
      <c r="AJ342" s="28">
        <f t="shared" si="369"/>
        <v>0</v>
      </c>
      <c r="AK342" s="28">
        <f t="shared" si="370"/>
        <v>0</v>
      </c>
      <c r="AL342" s="28">
        <f t="shared" si="371"/>
        <v>0</v>
      </c>
      <c r="AN342" s="28">
        <v>21</v>
      </c>
      <c r="AO342" s="28">
        <f>H342*0.974240082431736</f>
        <v>0</v>
      </c>
      <c r="AP342" s="28">
        <f>H342*(1-0.974240082431736)</f>
        <v>0</v>
      </c>
      <c r="AQ342" s="30" t="s">
        <v>900</v>
      </c>
      <c r="AV342" s="28">
        <f t="shared" si="372"/>
        <v>0</v>
      </c>
      <c r="AW342" s="28">
        <f t="shared" si="373"/>
        <v>0</v>
      </c>
      <c r="AX342" s="28">
        <f t="shared" si="374"/>
        <v>0</v>
      </c>
      <c r="AY342" s="30" t="s">
        <v>399</v>
      </c>
      <c r="AZ342" s="30" t="s">
        <v>951</v>
      </c>
      <c r="BA342" s="21" t="s">
        <v>542</v>
      </c>
      <c r="BC342" s="28">
        <f t="shared" si="375"/>
        <v>0</v>
      </c>
      <c r="BD342" s="28">
        <f t="shared" si="376"/>
        <v>0</v>
      </c>
      <c r="BE342" s="28">
        <v>0</v>
      </c>
      <c r="BF342" s="28">
        <f>342</f>
        <v>342</v>
      </c>
      <c r="BH342" s="28">
        <f t="shared" si="377"/>
        <v>0</v>
      </c>
      <c r="BI342" s="28">
        <f t="shared" si="378"/>
        <v>0</v>
      </c>
      <c r="BJ342" s="28">
        <f t="shared" si="379"/>
        <v>0</v>
      </c>
      <c r="BK342" s="28"/>
      <c r="BL342" s="28">
        <v>732</v>
      </c>
      <c r="BW342" s="28">
        <v>21</v>
      </c>
    </row>
    <row r="343" spans="1:75" ht="13.5" customHeight="1">
      <c r="A343" s="38" t="s">
        <v>21</v>
      </c>
      <c r="B343" s="39" t="s">
        <v>328</v>
      </c>
      <c r="C343" s="39" t="s">
        <v>491</v>
      </c>
      <c r="D343" s="50" t="s">
        <v>123</v>
      </c>
      <c r="E343" s="51"/>
      <c r="F343" s="39" t="s">
        <v>311</v>
      </c>
      <c r="G343" s="28">
        <v>1</v>
      </c>
      <c r="H343" s="120">
        <v>0</v>
      </c>
      <c r="I343" s="120">
        <f t="shared" si="360"/>
        <v>0</v>
      </c>
      <c r="K343" s="8"/>
      <c r="Z343" s="28">
        <f t="shared" si="361"/>
        <v>0</v>
      </c>
      <c r="AB343" s="28">
        <f t="shared" si="362"/>
        <v>0</v>
      </c>
      <c r="AC343" s="28">
        <f t="shared" si="363"/>
        <v>0</v>
      </c>
      <c r="AD343" s="28">
        <f t="shared" si="364"/>
        <v>0</v>
      </c>
      <c r="AE343" s="28">
        <f t="shared" si="365"/>
        <v>0</v>
      </c>
      <c r="AF343" s="28">
        <f t="shared" si="366"/>
        <v>0</v>
      </c>
      <c r="AG343" s="28">
        <f t="shared" si="367"/>
        <v>0</v>
      </c>
      <c r="AH343" s="28">
        <f t="shared" si="368"/>
        <v>0</v>
      </c>
      <c r="AI343" s="21" t="s">
        <v>328</v>
      </c>
      <c r="AJ343" s="28">
        <f t="shared" si="369"/>
        <v>0</v>
      </c>
      <c r="AK343" s="28">
        <f t="shared" si="370"/>
        <v>0</v>
      </c>
      <c r="AL343" s="28">
        <f t="shared" si="371"/>
        <v>0</v>
      </c>
      <c r="AN343" s="28">
        <v>21</v>
      </c>
      <c r="AO343" s="28">
        <f>H343*0.642985041792658</f>
        <v>0</v>
      </c>
      <c r="AP343" s="28">
        <f>H343*(1-0.642985041792658)</f>
        <v>0</v>
      </c>
      <c r="AQ343" s="30" t="s">
        <v>900</v>
      </c>
      <c r="AV343" s="28">
        <f t="shared" si="372"/>
        <v>0</v>
      </c>
      <c r="AW343" s="28">
        <f t="shared" si="373"/>
        <v>0</v>
      </c>
      <c r="AX343" s="28">
        <f t="shared" si="374"/>
        <v>0</v>
      </c>
      <c r="AY343" s="30" t="s">
        <v>399</v>
      </c>
      <c r="AZ343" s="30" t="s">
        <v>951</v>
      </c>
      <c r="BA343" s="21" t="s">
        <v>542</v>
      </c>
      <c r="BC343" s="28">
        <f t="shared" si="375"/>
        <v>0</v>
      </c>
      <c r="BD343" s="28">
        <f t="shared" si="376"/>
        <v>0</v>
      </c>
      <c r="BE343" s="28">
        <v>0</v>
      </c>
      <c r="BF343" s="28">
        <f>343</f>
        <v>343</v>
      </c>
      <c r="BH343" s="28">
        <f t="shared" si="377"/>
        <v>0</v>
      </c>
      <c r="BI343" s="28">
        <f t="shared" si="378"/>
        <v>0</v>
      </c>
      <c r="BJ343" s="28">
        <f t="shared" si="379"/>
        <v>0</v>
      </c>
      <c r="BK343" s="28"/>
      <c r="BL343" s="28">
        <v>732</v>
      </c>
      <c r="BW343" s="28">
        <v>21</v>
      </c>
    </row>
    <row r="344" spans="1:75" ht="13.5" customHeight="1">
      <c r="A344" s="38" t="s">
        <v>776</v>
      </c>
      <c r="B344" s="39" t="s">
        <v>328</v>
      </c>
      <c r="C344" s="39" t="s">
        <v>834</v>
      </c>
      <c r="D344" s="50" t="s">
        <v>608</v>
      </c>
      <c r="E344" s="51"/>
      <c r="F344" s="39" t="s">
        <v>228</v>
      </c>
      <c r="G344" s="28">
        <v>1</v>
      </c>
      <c r="H344" s="120">
        <v>0</v>
      </c>
      <c r="I344" s="120">
        <f t="shared" si="360"/>
        <v>0</v>
      </c>
      <c r="K344" s="8"/>
      <c r="Z344" s="28">
        <f t="shared" si="361"/>
        <v>0</v>
      </c>
      <c r="AB344" s="28">
        <f t="shared" si="362"/>
        <v>0</v>
      </c>
      <c r="AC344" s="28">
        <f t="shared" si="363"/>
        <v>0</v>
      </c>
      <c r="AD344" s="28">
        <f t="shared" si="364"/>
        <v>0</v>
      </c>
      <c r="AE344" s="28">
        <f t="shared" si="365"/>
        <v>0</v>
      </c>
      <c r="AF344" s="28">
        <f t="shared" si="366"/>
        <v>0</v>
      </c>
      <c r="AG344" s="28">
        <f t="shared" si="367"/>
        <v>0</v>
      </c>
      <c r="AH344" s="28">
        <f t="shared" si="368"/>
        <v>0</v>
      </c>
      <c r="AI344" s="21" t="s">
        <v>328</v>
      </c>
      <c r="AJ344" s="28">
        <f t="shared" si="369"/>
        <v>0</v>
      </c>
      <c r="AK344" s="28">
        <f t="shared" si="370"/>
        <v>0</v>
      </c>
      <c r="AL344" s="28">
        <f t="shared" si="371"/>
        <v>0</v>
      </c>
      <c r="AN344" s="28">
        <v>21</v>
      </c>
      <c r="AO344" s="28">
        <f>H344*1</f>
        <v>0</v>
      </c>
      <c r="AP344" s="28">
        <f>H344*(1-1)</f>
        <v>0</v>
      </c>
      <c r="AQ344" s="30" t="s">
        <v>900</v>
      </c>
      <c r="AV344" s="28">
        <f t="shared" si="372"/>
        <v>0</v>
      </c>
      <c r="AW344" s="28">
        <f t="shared" si="373"/>
        <v>0</v>
      </c>
      <c r="AX344" s="28">
        <f t="shared" si="374"/>
        <v>0</v>
      </c>
      <c r="AY344" s="30" t="s">
        <v>399</v>
      </c>
      <c r="AZ344" s="30" t="s">
        <v>951</v>
      </c>
      <c r="BA344" s="21" t="s">
        <v>542</v>
      </c>
      <c r="BC344" s="28">
        <f t="shared" si="375"/>
        <v>0</v>
      </c>
      <c r="BD344" s="28">
        <f t="shared" si="376"/>
        <v>0</v>
      </c>
      <c r="BE344" s="28">
        <v>0</v>
      </c>
      <c r="BF344" s="28">
        <f>344</f>
        <v>344</v>
      </c>
      <c r="BH344" s="28">
        <f t="shared" si="377"/>
        <v>0</v>
      </c>
      <c r="BI344" s="28">
        <f t="shared" si="378"/>
        <v>0</v>
      </c>
      <c r="BJ344" s="28">
        <f t="shared" si="379"/>
        <v>0</v>
      </c>
      <c r="BK344" s="28"/>
      <c r="BL344" s="28">
        <v>732</v>
      </c>
      <c r="BW344" s="28">
        <v>21</v>
      </c>
    </row>
    <row r="345" spans="1:47" ht="15" customHeight="1">
      <c r="A345" s="3" t="s">
        <v>626</v>
      </c>
      <c r="B345" s="43" t="s">
        <v>328</v>
      </c>
      <c r="C345" s="43" t="s">
        <v>922</v>
      </c>
      <c r="D345" s="103" t="s">
        <v>754</v>
      </c>
      <c r="E345" s="104"/>
      <c r="F345" s="37" t="s">
        <v>836</v>
      </c>
      <c r="G345" s="37" t="s">
        <v>836</v>
      </c>
      <c r="H345" s="118" t="s">
        <v>836</v>
      </c>
      <c r="I345" s="119">
        <f>SUM(I346:I356)</f>
        <v>0</v>
      </c>
      <c r="K345" s="8"/>
      <c r="AI345" s="21" t="s">
        <v>328</v>
      </c>
      <c r="AS345" s="31">
        <f>SUM(AJ346:AJ356)</f>
        <v>0</v>
      </c>
      <c r="AT345" s="31">
        <f>SUM(AK346:AK356)</f>
        <v>0</v>
      </c>
      <c r="AU345" s="31">
        <f>SUM(AL346:AL356)</f>
        <v>0</v>
      </c>
    </row>
    <row r="346" spans="1:75" ht="13.5" customHeight="1">
      <c r="A346" s="38" t="s">
        <v>813</v>
      </c>
      <c r="B346" s="39" t="s">
        <v>328</v>
      </c>
      <c r="C346" s="39" t="s">
        <v>919</v>
      </c>
      <c r="D346" s="50" t="s">
        <v>556</v>
      </c>
      <c r="E346" s="51"/>
      <c r="F346" s="39" t="s">
        <v>228</v>
      </c>
      <c r="G346" s="28">
        <v>4</v>
      </c>
      <c r="H346" s="120">
        <v>0</v>
      </c>
      <c r="I346" s="120">
        <f aca="true" t="shared" si="380" ref="I346:I356">G346*H346</f>
        <v>0</v>
      </c>
      <c r="K346" s="8"/>
      <c r="Z346" s="28">
        <f aca="true" t="shared" si="381" ref="Z346:Z356">IF(AQ346="5",BJ346,0)</f>
        <v>0</v>
      </c>
      <c r="AB346" s="28">
        <f aca="true" t="shared" si="382" ref="AB346:AB356">IF(AQ346="1",BH346,0)</f>
        <v>0</v>
      </c>
      <c r="AC346" s="28">
        <f aca="true" t="shared" si="383" ref="AC346:AC356">IF(AQ346="1",BI346,0)</f>
        <v>0</v>
      </c>
      <c r="AD346" s="28">
        <f aca="true" t="shared" si="384" ref="AD346:AD356">IF(AQ346="7",BH346,0)</f>
        <v>0</v>
      </c>
      <c r="AE346" s="28">
        <f aca="true" t="shared" si="385" ref="AE346:AE356">IF(AQ346="7",BI346,0)</f>
        <v>0</v>
      </c>
      <c r="AF346" s="28">
        <f aca="true" t="shared" si="386" ref="AF346:AF356">IF(AQ346="2",BH346,0)</f>
        <v>0</v>
      </c>
      <c r="AG346" s="28">
        <f aca="true" t="shared" si="387" ref="AG346:AG356">IF(AQ346="2",BI346,0)</f>
        <v>0</v>
      </c>
      <c r="AH346" s="28">
        <f aca="true" t="shared" si="388" ref="AH346:AH356">IF(AQ346="0",BJ346,0)</f>
        <v>0</v>
      </c>
      <c r="AI346" s="21" t="s">
        <v>328</v>
      </c>
      <c r="AJ346" s="28">
        <f aca="true" t="shared" si="389" ref="AJ346:AJ356">IF(AN346=0,I346,0)</f>
        <v>0</v>
      </c>
      <c r="AK346" s="28">
        <f aca="true" t="shared" si="390" ref="AK346:AK356">IF(AN346=12,I346,0)</f>
        <v>0</v>
      </c>
      <c r="AL346" s="28">
        <f aca="true" t="shared" si="391" ref="AL346:AL356">IF(AN346=21,I346,0)</f>
        <v>0</v>
      </c>
      <c r="AN346" s="28">
        <v>21</v>
      </c>
      <c r="AO346" s="28">
        <f>H346*0.620309050772627</f>
        <v>0</v>
      </c>
      <c r="AP346" s="28">
        <f>H346*(1-0.620309050772627)</f>
        <v>0</v>
      </c>
      <c r="AQ346" s="30" t="s">
        <v>900</v>
      </c>
      <c r="AV346" s="28">
        <f aca="true" t="shared" si="392" ref="AV346:AV356">AW346+AX346</f>
        <v>0</v>
      </c>
      <c r="AW346" s="28">
        <f aca="true" t="shared" si="393" ref="AW346:AW356">G346*AO346</f>
        <v>0</v>
      </c>
      <c r="AX346" s="28">
        <f aca="true" t="shared" si="394" ref="AX346:AX356">G346*AP346</f>
        <v>0</v>
      </c>
      <c r="AY346" s="30" t="s">
        <v>92</v>
      </c>
      <c r="AZ346" s="30" t="s">
        <v>951</v>
      </c>
      <c r="BA346" s="21" t="s">
        <v>542</v>
      </c>
      <c r="BC346" s="28">
        <f aca="true" t="shared" si="395" ref="BC346:BC356">AW346+AX346</f>
        <v>0</v>
      </c>
      <c r="BD346" s="28">
        <f aca="true" t="shared" si="396" ref="BD346:BD356">H346/(100-BE346)*100</f>
        <v>0</v>
      </c>
      <c r="BE346" s="28">
        <v>0</v>
      </c>
      <c r="BF346" s="28">
        <f>346</f>
        <v>346</v>
      </c>
      <c r="BH346" s="28">
        <f aca="true" t="shared" si="397" ref="BH346:BH356">G346*AO346</f>
        <v>0</v>
      </c>
      <c r="BI346" s="28">
        <f aca="true" t="shared" si="398" ref="BI346:BI356">G346*AP346</f>
        <v>0</v>
      </c>
      <c r="BJ346" s="28">
        <f aca="true" t="shared" si="399" ref="BJ346:BJ356">G346*H346</f>
        <v>0</v>
      </c>
      <c r="BK346" s="28"/>
      <c r="BL346" s="28">
        <v>733</v>
      </c>
      <c r="BW346" s="28">
        <v>21</v>
      </c>
    </row>
    <row r="347" spans="1:75" ht="13.5" customHeight="1">
      <c r="A347" s="38" t="s">
        <v>699</v>
      </c>
      <c r="B347" s="39" t="s">
        <v>328</v>
      </c>
      <c r="C347" s="39" t="s">
        <v>937</v>
      </c>
      <c r="D347" s="50" t="s">
        <v>101</v>
      </c>
      <c r="E347" s="51"/>
      <c r="F347" s="39" t="s">
        <v>228</v>
      </c>
      <c r="G347" s="28">
        <v>4</v>
      </c>
      <c r="H347" s="120">
        <v>0</v>
      </c>
      <c r="I347" s="120">
        <f t="shared" si="380"/>
        <v>0</v>
      </c>
      <c r="K347" s="8"/>
      <c r="Z347" s="28">
        <f t="shared" si="381"/>
        <v>0</v>
      </c>
      <c r="AB347" s="28">
        <f t="shared" si="382"/>
        <v>0</v>
      </c>
      <c r="AC347" s="28">
        <f t="shared" si="383"/>
        <v>0</v>
      </c>
      <c r="AD347" s="28">
        <f t="shared" si="384"/>
        <v>0</v>
      </c>
      <c r="AE347" s="28">
        <f t="shared" si="385"/>
        <v>0</v>
      </c>
      <c r="AF347" s="28">
        <f t="shared" si="386"/>
        <v>0</v>
      </c>
      <c r="AG347" s="28">
        <f t="shared" si="387"/>
        <v>0</v>
      </c>
      <c r="AH347" s="28">
        <f t="shared" si="388"/>
        <v>0</v>
      </c>
      <c r="AI347" s="21" t="s">
        <v>328</v>
      </c>
      <c r="AJ347" s="28">
        <f t="shared" si="389"/>
        <v>0</v>
      </c>
      <c r="AK347" s="28">
        <f t="shared" si="390"/>
        <v>0</v>
      </c>
      <c r="AL347" s="28">
        <f t="shared" si="391"/>
        <v>0</v>
      </c>
      <c r="AN347" s="28">
        <v>21</v>
      </c>
      <c r="AO347" s="28">
        <f>H347*0.259191290824261</f>
        <v>0</v>
      </c>
      <c r="AP347" s="28">
        <f>H347*(1-0.259191290824261)</f>
        <v>0</v>
      </c>
      <c r="AQ347" s="30" t="s">
        <v>900</v>
      </c>
      <c r="AV347" s="28">
        <f t="shared" si="392"/>
        <v>0</v>
      </c>
      <c r="AW347" s="28">
        <f t="shared" si="393"/>
        <v>0</v>
      </c>
      <c r="AX347" s="28">
        <f t="shared" si="394"/>
        <v>0</v>
      </c>
      <c r="AY347" s="30" t="s">
        <v>92</v>
      </c>
      <c r="AZ347" s="30" t="s">
        <v>951</v>
      </c>
      <c r="BA347" s="21" t="s">
        <v>542</v>
      </c>
      <c r="BC347" s="28">
        <f t="shared" si="395"/>
        <v>0</v>
      </c>
      <c r="BD347" s="28">
        <f t="shared" si="396"/>
        <v>0</v>
      </c>
      <c r="BE347" s="28">
        <v>0</v>
      </c>
      <c r="BF347" s="28">
        <f>347</f>
        <v>347</v>
      </c>
      <c r="BH347" s="28">
        <f t="shared" si="397"/>
        <v>0</v>
      </c>
      <c r="BI347" s="28">
        <f t="shared" si="398"/>
        <v>0</v>
      </c>
      <c r="BJ347" s="28">
        <f t="shared" si="399"/>
        <v>0</v>
      </c>
      <c r="BK347" s="28"/>
      <c r="BL347" s="28">
        <v>733</v>
      </c>
      <c r="BW347" s="28">
        <v>21</v>
      </c>
    </row>
    <row r="348" spans="1:75" ht="13.5" customHeight="1">
      <c r="A348" s="38" t="s">
        <v>304</v>
      </c>
      <c r="B348" s="39" t="s">
        <v>328</v>
      </c>
      <c r="C348" s="39" t="s">
        <v>237</v>
      </c>
      <c r="D348" s="50" t="s">
        <v>622</v>
      </c>
      <c r="E348" s="51"/>
      <c r="F348" s="39" t="s">
        <v>228</v>
      </c>
      <c r="G348" s="28">
        <v>4</v>
      </c>
      <c r="H348" s="120">
        <v>0</v>
      </c>
      <c r="I348" s="120">
        <f t="shared" si="380"/>
        <v>0</v>
      </c>
      <c r="K348" s="8"/>
      <c r="Z348" s="28">
        <f t="shared" si="381"/>
        <v>0</v>
      </c>
      <c r="AB348" s="28">
        <f t="shared" si="382"/>
        <v>0</v>
      </c>
      <c r="AC348" s="28">
        <f t="shared" si="383"/>
        <v>0</v>
      </c>
      <c r="AD348" s="28">
        <f t="shared" si="384"/>
        <v>0</v>
      </c>
      <c r="AE348" s="28">
        <f t="shared" si="385"/>
        <v>0</v>
      </c>
      <c r="AF348" s="28">
        <f t="shared" si="386"/>
        <v>0</v>
      </c>
      <c r="AG348" s="28">
        <f t="shared" si="387"/>
        <v>0</v>
      </c>
      <c r="AH348" s="28">
        <f t="shared" si="388"/>
        <v>0</v>
      </c>
      <c r="AI348" s="21" t="s">
        <v>328</v>
      </c>
      <c r="AJ348" s="28">
        <f t="shared" si="389"/>
        <v>0</v>
      </c>
      <c r="AK348" s="28">
        <f t="shared" si="390"/>
        <v>0</v>
      </c>
      <c r="AL348" s="28">
        <f t="shared" si="391"/>
        <v>0</v>
      </c>
      <c r="AN348" s="28">
        <v>21</v>
      </c>
      <c r="AO348" s="28">
        <f>H348*0.345851428571429</f>
        <v>0</v>
      </c>
      <c r="AP348" s="28">
        <f>H348*(1-0.345851428571429)</f>
        <v>0</v>
      </c>
      <c r="AQ348" s="30" t="s">
        <v>900</v>
      </c>
      <c r="AV348" s="28">
        <f t="shared" si="392"/>
        <v>0</v>
      </c>
      <c r="AW348" s="28">
        <f t="shared" si="393"/>
        <v>0</v>
      </c>
      <c r="AX348" s="28">
        <f t="shared" si="394"/>
        <v>0</v>
      </c>
      <c r="AY348" s="30" t="s">
        <v>92</v>
      </c>
      <c r="AZ348" s="30" t="s">
        <v>951</v>
      </c>
      <c r="BA348" s="21" t="s">
        <v>542</v>
      </c>
      <c r="BC348" s="28">
        <f t="shared" si="395"/>
        <v>0</v>
      </c>
      <c r="BD348" s="28">
        <f t="shared" si="396"/>
        <v>0</v>
      </c>
      <c r="BE348" s="28">
        <v>0</v>
      </c>
      <c r="BF348" s="28">
        <f>348</f>
        <v>348</v>
      </c>
      <c r="BH348" s="28">
        <f t="shared" si="397"/>
        <v>0</v>
      </c>
      <c r="BI348" s="28">
        <f t="shared" si="398"/>
        <v>0</v>
      </c>
      <c r="BJ348" s="28">
        <f t="shared" si="399"/>
        <v>0</v>
      </c>
      <c r="BK348" s="28"/>
      <c r="BL348" s="28">
        <v>733</v>
      </c>
      <c r="BW348" s="28">
        <v>21</v>
      </c>
    </row>
    <row r="349" spans="1:75" ht="13.5" customHeight="1">
      <c r="A349" s="38" t="s">
        <v>711</v>
      </c>
      <c r="B349" s="39" t="s">
        <v>328</v>
      </c>
      <c r="C349" s="39" t="s">
        <v>329</v>
      </c>
      <c r="D349" s="50" t="s">
        <v>575</v>
      </c>
      <c r="E349" s="51"/>
      <c r="F349" s="39" t="s">
        <v>741</v>
      </c>
      <c r="G349" s="28">
        <v>12</v>
      </c>
      <c r="H349" s="120">
        <v>0</v>
      </c>
      <c r="I349" s="120">
        <f t="shared" si="380"/>
        <v>0</v>
      </c>
      <c r="K349" s="8"/>
      <c r="Z349" s="28">
        <f t="shared" si="381"/>
        <v>0</v>
      </c>
      <c r="AB349" s="28">
        <f t="shared" si="382"/>
        <v>0</v>
      </c>
      <c r="AC349" s="28">
        <f t="shared" si="383"/>
        <v>0</v>
      </c>
      <c r="AD349" s="28">
        <f t="shared" si="384"/>
        <v>0</v>
      </c>
      <c r="AE349" s="28">
        <f t="shared" si="385"/>
        <v>0</v>
      </c>
      <c r="AF349" s="28">
        <f t="shared" si="386"/>
        <v>0</v>
      </c>
      <c r="AG349" s="28">
        <f t="shared" si="387"/>
        <v>0</v>
      </c>
      <c r="AH349" s="28">
        <f t="shared" si="388"/>
        <v>0</v>
      </c>
      <c r="AI349" s="21" t="s">
        <v>328</v>
      </c>
      <c r="AJ349" s="28">
        <f t="shared" si="389"/>
        <v>0</v>
      </c>
      <c r="AK349" s="28">
        <f t="shared" si="390"/>
        <v>0</v>
      </c>
      <c r="AL349" s="28">
        <f t="shared" si="391"/>
        <v>0</v>
      </c>
      <c r="AN349" s="28">
        <v>21</v>
      </c>
      <c r="AO349" s="28">
        <f>H349*0.212764227642276</f>
        <v>0</v>
      </c>
      <c r="AP349" s="28">
        <f>H349*(1-0.212764227642276)</f>
        <v>0</v>
      </c>
      <c r="AQ349" s="30" t="s">
        <v>900</v>
      </c>
      <c r="AV349" s="28">
        <f t="shared" si="392"/>
        <v>0</v>
      </c>
      <c r="AW349" s="28">
        <f t="shared" si="393"/>
        <v>0</v>
      </c>
      <c r="AX349" s="28">
        <f t="shared" si="394"/>
        <v>0</v>
      </c>
      <c r="AY349" s="30" t="s">
        <v>92</v>
      </c>
      <c r="AZ349" s="30" t="s">
        <v>951</v>
      </c>
      <c r="BA349" s="21" t="s">
        <v>542</v>
      </c>
      <c r="BC349" s="28">
        <f t="shared" si="395"/>
        <v>0</v>
      </c>
      <c r="BD349" s="28">
        <f t="shared" si="396"/>
        <v>0</v>
      </c>
      <c r="BE349" s="28">
        <v>0</v>
      </c>
      <c r="BF349" s="28">
        <f>349</f>
        <v>349</v>
      </c>
      <c r="BH349" s="28">
        <f t="shared" si="397"/>
        <v>0</v>
      </c>
      <c r="BI349" s="28">
        <f t="shared" si="398"/>
        <v>0</v>
      </c>
      <c r="BJ349" s="28">
        <f t="shared" si="399"/>
        <v>0</v>
      </c>
      <c r="BK349" s="28"/>
      <c r="BL349" s="28">
        <v>733</v>
      </c>
      <c r="BW349" s="28">
        <v>21</v>
      </c>
    </row>
    <row r="350" spans="1:75" ht="13.5" customHeight="1">
      <c r="A350" s="38" t="s">
        <v>585</v>
      </c>
      <c r="B350" s="39" t="s">
        <v>328</v>
      </c>
      <c r="C350" s="39" t="s">
        <v>859</v>
      </c>
      <c r="D350" s="50" t="s">
        <v>137</v>
      </c>
      <c r="E350" s="51"/>
      <c r="F350" s="39" t="s">
        <v>741</v>
      </c>
      <c r="G350" s="28">
        <v>6</v>
      </c>
      <c r="H350" s="120">
        <v>0</v>
      </c>
      <c r="I350" s="120">
        <f t="shared" si="380"/>
        <v>0</v>
      </c>
      <c r="K350" s="8"/>
      <c r="Z350" s="28">
        <f t="shared" si="381"/>
        <v>0</v>
      </c>
      <c r="AB350" s="28">
        <f t="shared" si="382"/>
        <v>0</v>
      </c>
      <c r="AC350" s="28">
        <f t="shared" si="383"/>
        <v>0</v>
      </c>
      <c r="AD350" s="28">
        <f t="shared" si="384"/>
        <v>0</v>
      </c>
      <c r="AE350" s="28">
        <f t="shared" si="385"/>
        <v>0</v>
      </c>
      <c r="AF350" s="28">
        <f t="shared" si="386"/>
        <v>0</v>
      </c>
      <c r="AG350" s="28">
        <f t="shared" si="387"/>
        <v>0</v>
      </c>
      <c r="AH350" s="28">
        <f t="shared" si="388"/>
        <v>0</v>
      </c>
      <c r="AI350" s="21" t="s">
        <v>328</v>
      </c>
      <c r="AJ350" s="28">
        <f t="shared" si="389"/>
        <v>0</v>
      </c>
      <c r="AK350" s="28">
        <f t="shared" si="390"/>
        <v>0</v>
      </c>
      <c r="AL350" s="28">
        <f t="shared" si="391"/>
        <v>0</v>
      </c>
      <c r="AN350" s="28">
        <v>21</v>
      </c>
      <c r="AO350" s="28">
        <f>H350*0.58344860710855</f>
        <v>0</v>
      </c>
      <c r="AP350" s="28">
        <f>H350*(1-0.58344860710855)</f>
        <v>0</v>
      </c>
      <c r="AQ350" s="30" t="s">
        <v>900</v>
      </c>
      <c r="AV350" s="28">
        <f t="shared" si="392"/>
        <v>0</v>
      </c>
      <c r="AW350" s="28">
        <f t="shared" si="393"/>
        <v>0</v>
      </c>
      <c r="AX350" s="28">
        <f t="shared" si="394"/>
        <v>0</v>
      </c>
      <c r="AY350" s="30" t="s">
        <v>92</v>
      </c>
      <c r="AZ350" s="30" t="s">
        <v>951</v>
      </c>
      <c r="BA350" s="21" t="s">
        <v>542</v>
      </c>
      <c r="BC350" s="28">
        <f t="shared" si="395"/>
        <v>0</v>
      </c>
      <c r="BD350" s="28">
        <f t="shared" si="396"/>
        <v>0</v>
      </c>
      <c r="BE350" s="28">
        <v>0</v>
      </c>
      <c r="BF350" s="28">
        <f>350</f>
        <v>350</v>
      </c>
      <c r="BH350" s="28">
        <f t="shared" si="397"/>
        <v>0</v>
      </c>
      <c r="BI350" s="28">
        <f t="shared" si="398"/>
        <v>0</v>
      </c>
      <c r="BJ350" s="28">
        <f t="shared" si="399"/>
        <v>0</v>
      </c>
      <c r="BK350" s="28"/>
      <c r="BL350" s="28">
        <v>733</v>
      </c>
      <c r="BW350" s="28">
        <v>21</v>
      </c>
    </row>
    <row r="351" spans="1:75" ht="13.5" customHeight="1">
      <c r="A351" s="38" t="s">
        <v>819</v>
      </c>
      <c r="B351" s="39" t="s">
        <v>328</v>
      </c>
      <c r="C351" s="39" t="s">
        <v>689</v>
      </c>
      <c r="D351" s="50" t="s">
        <v>770</v>
      </c>
      <c r="E351" s="51"/>
      <c r="F351" s="39" t="s">
        <v>741</v>
      </c>
      <c r="G351" s="28">
        <v>8</v>
      </c>
      <c r="H351" s="120">
        <v>0</v>
      </c>
      <c r="I351" s="120">
        <f t="shared" si="380"/>
        <v>0</v>
      </c>
      <c r="K351" s="8"/>
      <c r="Z351" s="28">
        <f t="shared" si="381"/>
        <v>0</v>
      </c>
      <c r="AB351" s="28">
        <f t="shared" si="382"/>
        <v>0</v>
      </c>
      <c r="AC351" s="28">
        <f t="shared" si="383"/>
        <v>0</v>
      </c>
      <c r="AD351" s="28">
        <f t="shared" si="384"/>
        <v>0</v>
      </c>
      <c r="AE351" s="28">
        <f t="shared" si="385"/>
        <v>0</v>
      </c>
      <c r="AF351" s="28">
        <f t="shared" si="386"/>
        <v>0</v>
      </c>
      <c r="AG351" s="28">
        <f t="shared" si="387"/>
        <v>0</v>
      </c>
      <c r="AH351" s="28">
        <f t="shared" si="388"/>
        <v>0</v>
      </c>
      <c r="AI351" s="21" t="s">
        <v>328</v>
      </c>
      <c r="AJ351" s="28">
        <f t="shared" si="389"/>
        <v>0</v>
      </c>
      <c r="AK351" s="28">
        <f t="shared" si="390"/>
        <v>0</v>
      </c>
      <c r="AL351" s="28">
        <f t="shared" si="391"/>
        <v>0</v>
      </c>
      <c r="AN351" s="28">
        <v>21</v>
      </c>
      <c r="AO351" s="28">
        <f>H351*0.144233333333333</f>
        <v>0</v>
      </c>
      <c r="AP351" s="28">
        <f>H351*(1-0.144233333333333)</f>
        <v>0</v>
      </c>
      <c r="AQ351" s="30" t="s">
        <v>900</v>
      </c>
      <c r="AV351" s="28">
        <f t="shared" si="392"/>
        <v>0</v>
      </c>
      <c r="AW351" s="28">
        <f t="shared" si="393"/>
        <v>0</v>
      </c>
      <c r="AX351" s="28">
        <f t="shared" si="394"/>
        <v>0</v>
      </c>
      <c r="AY351" s="30" t="s">
        <v>92</v>
      </c>
      <c r="AZ351" s="30" t="s">
        <v>951</v>
      </c>
      <c r="BA351" s="21" t="s">
        <v>542</v>
      </c>
      <c r="BC351" s="28">
        <f t="shared" si="395"/>
        <v>0</v>
      </c>
      <c r="BD351" s="28">
        <f t="shared" si="396"/>
        <v>0</v>
      </c>
      <c r="BE351" s="28">
        <v>0</v>
      </c>
      <c r="BF351" s="28">
        <f>351</f>
        <v>351</v>
      </c>
      <c r="BH351" s="28">
        <f t="shared" si="397"/>
        <v>0</v>
      </c>
      <c r="BI351" s="28">
        <f t="shared" si="398"/>
        <v>0</v>
      </c>
      <c r="BJ351" s="28">
        <f t="shared" si="399"/>
        <v>0</v>
      </c>
      <c r="BK351" s="28"/>
      <c r="BL351" s="28">
        <v>733</v>
      </c>
      <c r="BW351" s="28">
        <v>21</v>
      </c>
    </row>
    <row r="352" spans="1:75" ht="13.5" customHeight="1">
      <c r="A352" s="38" t="s">
        <v>771</v>
      </c>
      <c r="B352" s="39" t="s">
        <v>328</v>
      </c>
      <c r="C352" s="39" t="s">
        <v>843</v>
      </c>
      <c r="D352" s="50" t="s">
        <v>536</v>
      </c>
      <c r="E352" s="51"/>
      <c r="F352" s="39" t="s">
        <v>741</v>
      </c>
      <c r="G352" s="28">
        <v>0.5</v>
      </c>
      <c r="H352" s="120">
        <v>0</v>
      </c>
      <c r="I352" s="120">
        <f t="shared" si="380"/>
        <v>0</v>
      </c>
      <c r="K352" s="8"/>
      <c r="Z352" s="28">
        <f t="shared" si="381"/>
        <v>0</v>
      </c>
      <c r="AB352" s="28">
        <f t="shared" si="382"/>
        <v>0</v>
      </c>
      <c r="AC352" s="28">
        <f t="shared" si="383"/>
        <v>0</v>
      </c>
      <c r="AD352" s="28">
        <f t="shared" si="384"/>
        <v>0</v>
      </c>
      <c r="AE352" s="28">
        <f t="shared" si="385"/>
        <v>0</v>
      </c>
      <c r="AF352" s="28">
        <f t="shared" si="386"/>
        <v>0</v>
      </c>
      <c r="AG352" s="28">
        <f t="shared" si="387"/>
        <v>0</v>
      </c>
      <c r="AH352" s="28">
        <f t="shared" si="388"/>
        <v>0</v>
      </c>
      <c r="AI352" s="21" t="s">
        <v>328</v>
      </c>
      <c r="AJ352" s="28">
        <f t="shared" si="389"/>
        <v>0</v>
      </c>
      <c r="AK352" s="28">
        <f t="shared" si="390"/>
        <v>0</v>
      </c>
      <c r="AL352" s="28">
        <f t="shared" si="391"/>
        <v>0</v>
      </c>
      <c r="AN352" s="28">
        <v>21</v>
      </c>
      <c r="AO352" s="28">
        <f>H352*0.0775828460038986</f>
        <v>0</v>
      </c>
      <c r="AP352" s="28">
        <f>H352*(1-0.0775828460038986)</f>
        <v>0</v>
      </c>
      <c r="AQ352" s="30" t="s">
        <v>900</v>
      </c>
      <c r="AV352" s="28">
        <f t="shared" si="392"/>
        <v>0</v>
      </c>
      <c r="AW352" s="28">
        <f t="shared" si="393"/>
        <v>0</v>
      </c>
      <c r="AX352" s="28">
        <f t="shared" si="394"/>
        <v>0</v>
      </c>
      <c r="AY352" s="30" t="s">
        <v>92</v>
      </c>
      <c r="AZ352" s="30" t="s">
        <v>951</v>
      </c>
      <c r="BA352" s="21" t="s">
        <v>542</v>
      </c>
      <c r="BC352" s="28">
        <f t="shared" si="395"/>
        <v>0</v>
      </c>
      <c r="BD352" s="28">
        <f t="shared" si="396"/>
        <v>0</v>
      </c>
      <c r="BE352" s="28">
        <v>0</v>
      </c>
      <c r="BF352" s="28">
        <f>352</f>
        <v>352</v>
      </c>
      <c r="BH352" s="28">
        <f t="shared" si="397"/>
        <v>0</v>
      </c>
      <c r="BI352" s="28">
        <f t="shared" si="398"/>
        <v>0</v>
      </c>
      <c r="BJ352" s="28">
        <f t="shared" si="399"/>
        <v>0</v>
      </c>
      <c r="BK352" s="28"/>
      <c r="BL352" s="28">
        <v>733</v>
      </c>
      <c r="BW352" s="28">
        <v>21</v>
      </c>
    </row>
    <row r="353" spans="1:75" ht="13.5" customHeight="1">
      <c r="A353" s="38" t="s">
        <v>241</v>
      </c>
      <c r="B353" s="39" t="s">
        <v>328</v>
      </c>
      <c r="C353" s="39" t="s">
        <v>260</v>
      </c>
      <c r="D353" s="50" t="s">
        <v>287</v>
      </c>
      <c r="E353" s="51"/>
      <c r="F353" s="39" t="s">
        <v>741</v>
      </c>
      <c r="G353" s="28">
        <v>14.5</v>
      </c>
      <c r="H353" s="120">
        <v>0</v>
      </c>
      <c r="I353" s="120">
        <f t="shared" si="380"/>
        <v>0</v>
      </c>
      <c r="K353" s="8"/>
      <c r="Z353" s="28">
        <f t="shared" si="381"/>
        <v>0</v>
      </c>
      <c r="AB353" s="28">
        <f t="shared" si="382"/>
        <v>0</v>
      </c>
      <c r="AC353" s="28">
        <f t="shared" si="383"/>
        <v>0</v>
      </c>
      <c r="AD353" s="28">
        <f t="shared" si="384"/>
        <v>0</v>
      </c>
      <c r="AE353" s="28">
        <f t="shared" si="385"/>
        <v>0</v>
      </c>
      <c r="AF353" s="28">
        <f t="shared" si="386"/>
        <v>0</v>
      </c>
      <c r="AG353" s="28">
        <f t="shared" si="387"/>
        <v>0</v>
      </c>
      <c r="AH353" s="28">
        <f t="shared" si="388"/>
        <v>0</v>
      </c>
      <c r="AI353" s="21" t="s">
        <v>328</v>
      </c>
      <c r="AJ353" s="28">
        <f t="shared" si="389"/>
        <v>0</v>
      </c>
      <c r="AK353" s="28">
        <f t="shared" si="390"/>
        <v>0</v>
      </c>
      <c r="AL353" s="28">
        <f t="shared" si="391"/>
        <v>0</v>
      </c>
      <c r="AN353" s="28">
        <v>21</v>
      </c>
      <c r="AO353" s="28">
        <f>H353*0</f>
        <v>0</v>
      </c>
      <c r="AP353" s="28">
        <f>H353*(1-0)</f>
        <v>0</v>
      </c>
      <c r="AQ353" s="30" t="s">
        <v>900</v>
      </c>
      <c r="AV353" s="28">
        <f t="shared" si="392"/>
        <v>0</v>
      </c>
      <c r="AW353" s="28">
        <f t="shared" si="393"/>
        <v>0</v>
      </c>
      <c r="AX353" s="28">
        <f t="shared" si="394"/>
        <v>0</v>
      </c>
      <c r="AY353" s="30" t="s">
        <v>92</v>
      </c>
      <c r="AZ353" s="30" t="s">
        <v>951</v>
      </c>
      <c r="BA353" s="21" t="s">
        <v>542</v>
      </c>
      <c r="BC353" s="28">
        <f t="shared" si="395"/>
        <v>0</v>
      </c>
      <c r="BD353" s="28">
        <f t="shared" si="396"/>
        <v>0</v>
      </c>
      <c r="BE353" s="28">
        <v>0</v>
      </c>
      <c r="BF353" s="28">
        <f>353</f>
        <v>353</v>
      </c>
      <c r="BH353" s="28">
        <f t="shared" si="397"/>
        <v>0</v>
      </c>
      <c r="BI353" s="28">
        <f t="shared" si="398"/>
        <v>0</v>
      </c>
      <c r="BJ353" s="28">
        <f t="shared" si="399"/>
        <v>0</v>
      </c>
      <c r="BK353" s="28"/>
      <c r="BL353" s="28">
        <v>733</v>
      </c>
      <c r="BW353" s="28">
        <v>21</v>
      </c>
    </row>
    <row r="354" spans="1:75" ht="13.5" customHeight="1">
      <c r="A354" s="38" t="s">
        <v>394</v>
      </c>
      <c r="B354" s="39" t="s">
        <v>328</v>
      </c>
      <c r="C354" s="39" t="s">
        <v>278</v>
      </c>
      <c r="D354" s="50" t="s">
        <v>1068</v>
      </c>
      <c r="E354" s="51"/>
      <c r="F354" s="39" t="s">
        <v>741</v>
      </c>
      <c r="G354" s="28">
        <v>6</v>
      </c>
      <c r="H354" s="120">
        <v>0</v>
      </c>
      <c r="I354" s="120">
        <f t="shared" si="380"/>
        <v>0</v>
      </c>
      <c r="K354" s="8"/>
      <c r="Z354" s="28">
        <f t="shared" si="381"/>
        <v>0</v>
      </c>
      <c r="AB354" s="28">
        <f t="shared" si="382"/>
        <v>0</v>
      </c>
      <c r="AC354" s="28">
        <f t="shared" si="383"/>
        <v>0</v>
      </c>
      <c r="AD354" s="28">
        <f t="shared" si="384"/>
        <v>0</v>
      </c>
      <c r="AE354" s="28">
        <f t="shared" si="385"/>
        <v>0</v>
      </c>
      <c r="AF354" s="28">
        <f t="shared" si="386"/>
        <v>0</v>
      </c>
      <c r="AG354" s="28">
        <f t="shared" si="387"/>
        <v>0</v>
      </c>
      <c r="AH354" s="28">
        <f t="shared" si="388"/>
        <v>0</v>
      </c>
      <c r="AI354" s="21" t="s">
        <v>328</v>
      </c>
      <c r="AJ354" s="28">
        <f t="shared" si="389"/>
        <v>0</v>
      </c>
      <c r="AK354" s="28">
        <f t="shared" si="390"/>
        <v>0</v>
      </c>
      <c r="AL354" s="28">
        <f t="shared" si="391"/>
        <v>0</v>
      </c>
      <c r="AN354" s="28">
        <v>21</v>
      </c>
      <c r="AO354" s="28">
        <f>H354*1</f>
        <v>0</v>
      </c>
      <c r="AP354" s="28">
        <f>H354*(1-1)</f>
        <v>0</v>
      </c>
      <c r="AQ354" s="30" t="s">
        <v>900</v>
      </c>
      <c r="AV354" s="28">
        <f t="shared" si="392"/>
        <v>0</v>
      </c>
      <c r="AW354" s="28">
        <f t="shared" si="393"/>
        <v>0</v>
      </c>
      <c r="AX354" s="28">
        <f t="shared" si="394"/>
        <v>0</v>
      </c>
      <c r="AY354" s="30" t="s">
        <v>92</v>
      </c>
      <c r="AZ354" s="30" t="s">
        <v>951</v>
      </c>
      <c r="BA354" s="21" t="s">
        <v>542</v>
      </c>
      <c r="BC354" s="28">
        <f t="shared" si="395"/>
        <v>0</v>
      </c>
      <c r="BD354" s="28">
        <f t="shared" si="396"/>
        <v>0</v>
      </c>
      <c r="BE354" s="28">
        <v>0</v>
      </c>
      <c r="BF354" s="28">
        <f>354</f>
        <v>354</v>
      </c>
      <c r="BH354" s="28">
        <f t="shared" si="397"/>
        <v>0</v>
      </c>
      <c r="BI354" s="28">
        <f t="shared" si="398"/>
        <v>0</v>
      </c>
      <c r="BJ354" s="28">
        <f t="shared" si="399"/>
        <v>0</v>
      </c>
      <c r="BK354" s="28"/>
      <c r="BL354" s="28">
        <v>733</v>
      </c>
      <c r="BW354" s="28">
        <v>21</v>
      </c>
    </row>
    <row r="355" spans="1:75" ht="13.5" customHeight="1">
      <c r="A355" s="38" t="s">
        <v>23</v>
      </c>
      <c r="B355" s="39" t="s">
        <v>328</v>
      </c>
      <c r="C355" s="39" t="s">
        <v>825</v>
      </c>
      <c r="D355" s="50" t="s">
        <v>1069</v>
      </c>
      <c r="E355" s="51"/>
      <c r="F355" s="39" t="s">
        <v>741</v>
      </c>
      <c r="G355" s="28">
        <v>8</v>
      </c>
      <c r="H355" s="120">
        <v>0</v>
      </c>
      <c r="I355" s="120">
        <f t="shared" si="380"/>
        <v>0</v>
      </c>
      <c r="K355" s="8"/>
      <c r="Z355" s="28">
        <f t="shared" si="381"/>
        <v>0</v>
      </c>
      <c r="AB355" s="28">
        <f t="shared" si="382"/>
        <v>0</v>
      </c>
      <c r="AC355" s="28">
        <f t="shared" si="383"/>
        <v>0</v>
      </c>
      <c r="AD355" s="28">
        <f t="shared" si="384"/>
        <v>0</v>
      </c>
      <c r="AE355" s="28">
        <f t="shared" si="385"/>
        <v>0</v>
      </c>
      <c r="AF355" s="28">
        <f t="shared" si="386"/>
        <v>0</v>
      </c>
      <c r="AG355" s="28">
        <f t="shared" si="387"/>
        <v>0</v>
      </c>
      <c r="AH355" s="28">
        <f t="shared" si="388"/>
        <v>0</v>
      </c>
      <c r="AI355" s="21" t="s">
        <v>328</v>
      </c>
      <c r="AJ355" s="28">
        <f t="shared" si="389"/>
        <v>0</v>
      </c>
      <c r="AK355" s="28">
        <f t="shared" si="390"/>
        <v>0</v>
      </c>
      <c r="AL355" s="28">
        <f t="shared" si="391"/>
        <v>0</v>
      </c>
      <c r="AN355" s="28">
        <v>21</v>
      </c>
      <c r="AO355" s="28">
        <f>H355*1</f>
        <v>0</v>
      </c>
      <c r="AP355" s="28">
        <f>H355*(1-1)</f>
        <v>0</v>
      </c>
      <c r="AQ355" s="30" t="s">
        <v>900</v>
      </c>
      <c r="AV355" s="28">
        <f t="shared" si="392"/>
        <v>0</v>
      </c>
      <c r="AW355" s="28">
        <f t="shared" si="393"/>
        <v>0</v>
      </c>
      <c r="AX355" s="28">
        <f t="shared" si="394"/>
        <v>0</v>
      </c>
      <c r="AY355" s="30" t="s">
        <v>92</v>
      </c>
      <c r="AZ355" s="30" t="s">
        <v>951</v>
      </c>
      <c r="BA355" s="21" t="s">
        <v>542</v>
      </c>
      <c r="BC355" s="28">
        <f t="shared" si="395"/>
        <v>0</v>
      </c>
      <c r="BD355" s="28">
        <f t="shared" si="396"/>
        <v>0</v>
      </c>
      <c r="BE355" s="28">
        <v>0</v>
      </c>
      <c r="BF355" s="28">
        <f>355</f>
        <v>355</v>
      </c>
      <c r="BH355" s="28">
        <f t="shared" si="397"/>
        <v>0</v>
      </c>
      <c r="BI355" s="28">
        <f t="shared" si="398"/>
        <v>0</v>
      </c>
      <c r="BJ355" s="28">
        <f t="shared" si="399"/>
        <v>0</v>
      </c>
      <c r="BK355" s="28"/>
      <c r="BL355" s="28">
        <v>733</v>
      </c>
      <c r="BW355" s="28">
        <v>21</v>
      </c>
    </row>
    <row r="356" spans="1:75" ht="13.5" customHeight="1">
      <c r="A356" s="38" t="s">
        <v>514</v>
      </c>
      <c r="B356" s="39" t="s">
        <v>328</v>
      </c>
      <c r="C356" s="39" t="s">
        <v>587</v>
      </c>
      <c r="D356" s="50" t="s">
        <v>1070</v>
      </c>
      <c r="E356" s="51"/>
      <c r="F356" s="39" t="s">
        <v>741</v>
      </c>
      <c r="G356" s="28">
        <v>0.5</v>
      </c>
      <c r="H356" s="120">
        <v>0</v>
      </c>
      <c r="I356" s="120">
        <f t="shared" si="380"/>
        <v>0</v>
      </c>
      <c r="K356" s="8"/>
      <c r="Z356" s="28">
        <f t="shared" si="381"/>
        <v>0</v>
      </c>
      <c r="AB356" s="28">
        <f t="shared" si="382"/>
        <v>0</v>
      </c>
      <c r="AC356" s="28">
        <f t="shared" si="383"/>
        <v>0</v>
      </c>
      <c r="AD356" s="28">
        <f t="shared" si="384"/>
        <v>0</v>
      </c>
      <c r="AE356" s="28">
        <f t="shared" si="385"/>
        <v>0</v>
      </c>
      <c r="AF356" s="28">
        <f t="shared" si="386"/>
        <v>0</v>
      </c>
      <c r="AG356" s="28">
        <f t="shared" si="387"/>
        <v>0</v>
      </c>
      <c r="AH356" s="28">
        <f t="shared" si="388"/>
        <v>0</v>
      </c>
      <c r="AI356" s="21" t="s">
        <v>328</v>
      </c>
      <c r="AJ356" s="28">
        <f t="shared" si="389"/>
        <v>0</v>
      </c>
      <c r="AK356" s="28">
        <f t="shared" si="390"/>
        <v>0</v>
      </c>
      <c r="AL356" s="28">
        <f t="shared" si="391"/>
        <v>0</v>
      </c>
      <c r="AN356" s="28">
        <v>21</v>
      </c>
      <c r="AO356" s="28">
        <f>H356*1</f>
        <v>0</v>
      </c>
      <c r="AP356" s="28">
        <f>H356*(1-1)</f>
        <v>0</v>
      </c>
      <c r="AQ356" s="30" t="s">
        <v>900</v>
      </c>
      <c r="AV356" s="28">
        <f t="shared" si="392"/>
        <v>0</v>
      </c>
      <c r="AW356" s="28">
        <f t="shared" si="393"/>
        <v>0</v>
      </c>
      <c r="AX356" s="28">
        <f t="shared" si="394"/>
        <v>0</v>
      </c>
      <c r="AY356" s="30" t="s">
        <v>92</v>
      </c>
      <c r="AZ356" s="30" t="s">
        <v>951</v>
      </c>
      <c r="BA356" s="21" t="s">
        <v>542</v>
      </c>
      <c r="BC356" s="28">
        <f t="shared" si="395"/>
        <v>0</v>
      </c>
      <c r="BD356" s="28">
        <f t="shared" si="396"/>
        <v>0</v>
      </c>
      <c r="BE356" s="28">
        <v>0</v>
      </c>
      <c r="BF356" s="28">
        <f>356</f>
        <v>356</v>
      </c>
      <c r="BH356" s="28">
        <f t="shared" si="397"/>
        <v>0</v>
      </c>
      <c r="BI356" s="28">
        <f t="shared" si="398"/>
        <v>0</v>
      </c>
      <c r="BJ356" s="28">
        <f t="shared" si="399"/>
        <v>0</v>
      </c>
      <c r="BK356" s="28"/>
      <c r="BL356" s="28">
        <v>733</v>
      </c>
      <c r="BW356" s="28">
        <v>21</v>
      </c>
    </row>
    <row r="357" spans="1:47" ht="15" customHeight="1">
      <c r="A357" s="3" t="s">
        <v>626</v>
      </c>
      <c r="B357" s="43" t="s">
        <v>328</v>
      </c>
      <c r="C357" s="43" t="s">
        <v>761</v>
      </c>
      <c r="D357" s="103" t="s">
        <v>589</v>
      </c>
      <c r="E357" s="104"/>
      <c r="F357" s="37" t="s">
        <v>836</v>
      </c>
      <c r="G357" s="37" t="s">
        <v>836</v>
      </c>
      <c r="H357" s="118" t="s">
        <v>836</v>
      </c>
      <c r="I357" s="119">
        <f>SUM(I358:I372)</f>
        <v>0</v>
      </c>
      <c r="K357" s="8"/>
      <c r="AI357" s="21" t="s">
        <v>328</v>
      </c>
      <c r="AS357" s="31">
        <f>SUM(AJ358:AJ372)</f>
        <v>0</v>
      </c>
      <c r="AT357" s="31">
        <f>SUM(AK358:AK372)</f>
        <v>0</v>
      </c>
      <c r="AU357" s="31">
        <f>SUM(AL358:AL372)</f>
        <v>0</v>
      </c>
    </row>
    <row r="358" spans="1:75" ht="13.5" customHeight="1">
      <c r="A358" s="38" t="s">
        <v>818</v>
      </c>
      <c r="B358" s="39" t="s">
        <v>328</v>
      </c>
      <c r="C358" s="39" t="s">
        <v>582</v>
      </c>
      <c r="D358" s="50" t="s">
        <v>309</v>
      </c>
      <c r="E358" s="51"/>
      <c r="F358" s="39" t="s">
        <v>228</v>
      </c>
      <c r="G358" s="28">
        <v>6</v>
      </c>
      <c r="H358" s="120">
        <v>0</v>
      </c>
      <c r="I358" s="120">
        <f aca="true" t="shared" si="400" ref="I358:I372">G358*H358</f>
        <v>0</v>
      </c>
      <c r="K358" s="8"/>
      <c r="Z358" s="28">
        <f aca="true" t="shared" si="401" ref="Z358:Z372">IF(AQ358="5",BJ358,0)</f>
        <v>0</v>
      </c>
      <c r="AB358" s="28">
        <f aca="true" t="shared" si="402" ref="AB358:AB372">IF(AQ358="1",BH358,0)</f>
        <v>0</v>
      </c>
      <c r="AC358" s="28">
        <f aca="true" t="shared" si="403" ref="AC358:AC372">IF(AQ358="1",BI358,0)</f>
        <v>0</v>
      </c>
      <c r="AD358" s="28">
        <f aca="true" t="shared" si="404" ref="AD358:AD372">IF(AQ358="7",BH358,0)</f>
        <v>0</v>
      </c>
      <c r="AE358" s="28">
        <f aca="true" t="shared" si="405" ref="AE358:AE372">IF(AQ358="7",BI358,0)</f>
        <v>0</v>
      </c>
      <c r="AF358" s="28">
        <f aca="true" t="shared" si="406" ref="AF358:AF372">IF(AQ358="2",BH358,0)</f>
        <v>0</v>
      </c>
      <c r="AG358" s="28">
        <f aca="true" t="shared" si="407" ref="AG358:AG372">IF(AQ358="2",BI358,0)</f>
        <v>0</v>
      </c>
      <c r="AH358" s="28">
        <f aca="true" t="shared" si="408" ref="AH358:AH372">IF(AQ358="0",BJ358,0)</f>
        <v>0</v>
      </c>
      <c r="AI358" s="21" t="s">
        <v>328</v>
      </c>
      <c r="AJ358" s="28">
        <f aca="true" t="shared" si="409" ref="AJ358:AJ372">IF(AN358=0,I358,0)</f>
        <v>0</v>
      </c>
      <c r="AK358" s="28">
        <f aca="true" t="shared" si="410" ref="AK358:AK372">IF(AN358=12,I358,0)</f>
        <v>0</v>
      </c>
      <c r="AL358" s="28">
        <f aca="true" t="shared" si="411" ref="AL358:AL372">IF(AN358=21,I358,0)</f>
        <v>0</v>
      </c>
      <c r="AN358" s="28">
        <v>21</v>
      </c>
      <c r="AO358" s="28">
        <f>H358*0.289347179920003</f>
        <v>0</v>
      </c>
      <c r="AP358" s="28">
        <f>H358*(1-0.289347179920003)</f>
        <v>0</v>
      </c>
      <c r="AQ358" s="30" t="s">
        <v>900</v>
      </c>
      <c r="AV358" s="28">
        <f aca="true" t="shared" si="412" ref="AV358:AV372">AW358+AX358</f>
        <v>0</v>
      </c>
      <c r="AW358" s="28">
        <f aca="true" t="shared" si="413" ref="AW358:AW372">G358*AO358</f>
        <v>0</v>
      </c>
      <c r="AX358" s="28">
        <f aca="true" t="shared" si="414" ref="AX358:AX372">G358*AP358</f>
        <v>0</v>
      </c>
      <c r="AY358" s="30" t="s">
        <v>178</v>
      </c>
      <c r="AZ358" s="30" t="s">
        <v>951</v>
      </c>
      <c r="BA358" s="21" t="s">
        <v>542</v>
      </c>
      <c r="BC358" s="28">
        <f aca="true" t="shared" si="415" ref="BC358:BC372">AW358+AX358</f>
        <v>0</v>
      </c>
      <c r="BD358" s="28">
        <f aca="true" t="shared" si="416" ref="BD358:BD372">H358/(100-BE358)*100</f>
        <v>0</v>
      </c>
      <c r="BE358" s="28">
        <v>0</v>
      </c>
      <c r="BF358" s="28">
        <f>358</f>
        <v>358</v>
      </c>
      <c r="BH358" s="28">
        <f aca="true" t="shared" si="417" ref="BH358:BH372">G358*AO358</f>
        <v>0</v>
      </c>
      <c r="BI358" s="28">
        <f aca="true" t="shared" si="418" ref="BI358:BI372">G358*AP358</f>
        <v>0</v>
      </c>
      <c r="BJ358" s="28">
        <f aca="true" t="shared" si="419" ref="BJ358:BJ372">G358*H358</f>
        <v>0</v>
      </c>
      <c r="BK358" s="28"/>
      <c r="BL358" s="28">
        <v>734</v>
      </c>
      <c r="BW358" s="28">
        <v>21</v>
      </c>
    </row>
    <row r="359" spans="1:75" ht="13.5" customHeight="1">
      <c r="A359" s="38" t="s">
        <v>445</v>
      </c>
      <c r="B359" s="39" t="s">
        <v>328</v>
      </c>
      <c r="C359" s="39" t="s">
        <v>625</v>
      </c>
      <c r="D359" s="50" t="s">
        <v>634</v>
      </c>
      <c r="E359" s="51"/>
      <c r="F359" s="39" t="s">
        <v>228</v>
      </c>
      <c r="G359" s="28">
        <v>4</v>
      </c>
      <c r="H359" s="120">
        <v>0</v>
      </c>
      <c r="I359" s="120">
        <f t="shared" si="400"/>
        <v>0</v>
      </c>
      <c r="K359" s="8"/>
      <c r="Z359" s="28">
        <f t="shared" si="401"/>
        <v>0</v>
      </c>
      <c r="AB359" s="28">
        <f t="shared" si="402"/>
        <v>0</v>
      </c>
      <c r="AC359" s="28">
        <f t="shared" si="403"/>
        <v>0</v>
      </c>
      <c r="AD359" s="28">
        <f t="shared" si="404"/>
        <v>0</v>
      </c>
      <c r="AE359" s="28">
        <f t="shared" si="405"/>
        <v>0</v>
      </c>
      <c r="AF359" s="28">
        <f t="shared" si="406"/>
        <v>0</v>
      </c>
      <c r="AG359" s="28">
        <f t="shared" si="407"/>
        <v>0</v>
      </c>
      <c r="AH359" s="28">
        <f t="shared" si="408"/>
        <v>0</v>
      </c>
      <c r="AI359" s="21" t="s">
        <v>328</v>
      </c>
      <c r="AJ359" s="28">
        <f t="shared" si="409"/>
        <v>0</v>
      </c>
      <c r="AK359" s="28">
        <f t="shared" si="410"/>
        <v>0</v>
      </c>
      <c r="AL359" s="28">
        <f t="shared" si="411"/>
        <v>0</v>
      </c>
      <c r="AN359" s="28">
        <v>21</v>
      </c>
      <c r="AO359" s="28">
        <f>H359*0.0054421768707483</f>
        <v>0</v>
      </c>
      <c r="AP359" s="28">
        <f>H359*(1-0.0054421768707483)</f>
        <v>0</v>
      </c>
      <c r="AQ359" s="30" t="s">
        <v>900</v>
      </c>
      <c r="AV359" s="28">
        <f t="shared" si="412"/>
        <v>0</v>
      </c>
      <c r="AW359" s="28">
        <f t="shared" si="413"/>
        <v>0</v>
      </c>
      <c r="AX359" s="28">
        <f t="shared" si="414"/>
        <v>0</v>
      </c>
      <c r="AY359" s="30" t="s">
        <v>178</v>
      </c>
      <c r="AZ359" s="30" t="s">
        <v>951</v>
      </c>
      <c r="BA359" s="21" t="s">
        <v>542</v>
      </c>
      <c r="BC359" s="28">
        <f t="shared" si="415"/>
        <v>0</v>
      </c>
      <c r="BD359" s="28">
        <f t="shared" si="416"/>
        <v>0</v>
      </c>
      <c r="BE359" s="28">
        <v>0</v>
      </c>
      <c r="BF359" s="28">
        <f>359</f>
        <v>359</v>
      </c>
      <c r="BH359" s="28">
        <f t="shared" si="417"/>
        <v>0</v>
      </c>
      <c r="BI359" s="28">
        <f t="shared" si="418"/>
        <v>0</v>
      </c>
      <c r="BJ359" s="28">
        <f t="shared" si="419"/>
        <v>0</v>
      </c>
      <c r="BK359" s="28"/>
      <c r="BL359" s="28">
        <v>734</v>
      </c>
      <c r="BW359" s="28">
        <v>21</v>
      </c>
    </row>
    <row r="360" spans="1:75" ht="13.5" customHeight="1">
      <c r="A360" s="38" t="s">
        <v>806</v>
      </c>
      <c r="B360" s="39" t="s">
        <v>328</v>
      </c>
      <c r="C360" s="39" t="s">
        <v>292</v>
      </c>
      <c r="D360" s="50" t="s">
        <v>1071</v>
      </c>
      <c r="E360" s="51"/>
      <c r="F360" s="39" t="s">
        <v>228</v>
      </c>
      <c r="G360" s="28">
        <v>2</v>
      </c>
      <c r="H360" s="120">
        <v>0</v>
      </c>
      <c r="I360" s="120">
        <f t="shared" si="400"/>
        <v>0</v>
      </c>
      <c r="K360" s="8"/>
      <c r="Z360" s="28">
        <f t="shared" si="401"/>
        <v>0</v>
      </c>
      <c r="AB360" s="28">
        <f t="shared" si="402"/>
        <v>0</v>
      </c>
      <c r="AC360" s="28">
        <f t="shared" si="403"/>
        <v>0</v>
      </c>
      <c r="AD360" s="28">
        <f t="shared" si="404"/>
        <v>0</v>
      </c>
      <c r="AE360" s="28">
        <f t="shared" si="405"/>
        <v>0</v>
      </c>
      <c r="AF360" s="28">
        <f t="shared" si="406"/>
        <v>0</v>
      </c>
      <c r="AG360" s="28">
        <f t="shared" si="407"/>
        <v>0</v>
      </c>
      <c r="AH360" s="28">
        <f t="shared" si="408"/>
        <v>0</v>
      </c>
      <c r="AI360" s="21" t="s">
        <v>328</v>
      </c>
      <c r="AJ360" s="28">
        <f t="shared" si="409"/>
        <v>0</v>
      </c>
      <c r="AK360" s="28">
        <f t="shared" si="410"/>
        <v>0</v>
      </c>
      <c r="AL360" s="28">
        <f t="shared" si="411"/>
        <v>0</v>
      </c>
      <c r="AN360" s="28">
        <v>21</v>
      </c>
      <c r="AO360" s="28">
        <f>H360*0.925843353557639</f>
        <v>0</v>
      </c>
      <c r="AP360" s="28">
        <f>H360*(1-0.925843353557639)</f>
        <v>0</v>
      </c>
      <c r="AQ360" s="30" t="s">
        <v>900</v>
      </c>
      <c r="AV360" s="28">
        <f t="shared" si="412"/>
        <v>0</v>
      </c>
      <c r="AW360" s="28">
        <f t="shared" si="413"/>
        <v>0</v>
      </c>
      <c r="AX360" s="28">
        <f t="shared" si="414"/>
        <v>0</v>
      </c>
      <c r="AY360" s="30" t="s">
        <v>178</v>
      </c>
      <c r="AZ360" s="30" t="s">
        <v>951</v>
      </c>
      <c r="BA360" s="21" t="s">
        <v>542</v>
      </c>
      <c r="BC360" s="28">
        <f t="shared" si="415"/>
        <v>0</v>
      </c>
      <c r="BD360" s="28">
        <f t="shared" si="416"/>
        <v>0</v>
      </c>
      <c r="BE360" s="28">
        <v>0</v>
      </c>
      <c r="BF360" s="28">
        <f>360</f>
        <v>360</v>
      </c>
      <c r="BH360" s="28">
        <f t="shared" si="417"/>
        <v>0</v>
      </c>
      <c r="BI360" s="28">
        <f t="shared" si="418"/>
        <v>0</v>
      </c>
      <c r="BJ360" s="28">
        <f t="shared" si="419"/>
        <v>0</v>
      </c>
      <c r="BK360" s="28"/>
      <c r="BL360" s="28">
        <v>734</v>
      </c>
      <c r="BW360" s="28">
        <v>21</v>
      </c>
    </row>
    <row r="361" spans="1:75" ht="13.5" customHeight="1">
      <c r="A361" s="38" t="s">
        <v>948</v>
      </c>
      <c r="B361" s="39" t="s">
        <v>328</v>
      </c>
      <c r="C361" s="39" t="s">
        <v>623</v>
      </c>
      <c r="D361" s="50" t="s">
        <v>479</v>
      </c>
      <c r="E361" s="51"/>
      <c r="F361" s="39" t="s">
        <v>228</v>
      </c>
      <c r="G361" s="28">
        <v>6</v>
      </c>
      <c r="H361" s="120">
        <v>0</v>
      </c>
      <c r="I361" s="120">
        <f t="shared" si="400"/>
        <v>0</v>
      </c>
      <c r="K361" s="8"/>
      <c r="Z361" s="28">
        <f t="shared" si="401"/>
        <v>0</v>
      </c>
      <c r="AB361" s="28">
        <f t="shared" si="402"/>
        <v>0</v>
      </c>
      <c r="AC361" s="28">
        <f t="shared" si="403"/>
        <v>0</v>
      </c>
      <c r="AD361" s="28">
        <f t="shared" si="404"/>
        <v>0</v>
      </c>
      <c r="AE361" s="28">
        <f t="shared" si="405"/>
        <v>0</v>
      </c>
      <c r="AF361" s="28">
        <f t="shared" si="406"/>
        <v>0</v>
      </c>
      <c r="AG361" s="28">
        <f t="shared" si="407"/>
        <v>0</v>
      </c>
      <c r="AH361" s="28">
        <f t="shared" si="408"/>
        <v>0</v>
      </c>
      <c r="AI361" s="21" t="s">
        <v>328</v>
      </c>
      <c r="AJ361" s="28">
        <f t="shared" si="409"/>
        <v>0</v>
      </c>
      <c r="AK361" s="28">
        <f t="shared" si="410"/>
        <v>0</v>
      </c>
      <c r="AL361" s="28">
        <f t="shared" si="411"/>
        <v>0</v>
      </c>
      <c r="AN361" s="28">
        <v>21</v>
      </c>
      <c r="AO361" s="28">
        <f>H361*0.711852348993289</f>
        <v>0</v>
      </c>
      <c r="AP361" s="28">
        <f>H361*(1-0.711852348993289)</f>
        <v>0</v>
      </c>
      <c r="AQ361" s="30" t="s">
        <v>900</v>
      </c>
      <c r="AV361" s="28">
        <f t="shared" si="412"/>
        <v>0</v>
      </c>
      <c r="AW361" s="28">
        <f t="shared" si="413"/>
        <v>0</v>
      </c>
      <c r="AX361" s="28">
        <f t="shared" si="414"/>
        <v>0</v>
      </c>
      <c r="AY361" s="30" t="s">
        <v>178</v>
      </c>
      <c r="AZ361" s="30" t="s">
        <v>951</v>
      </c>
      <c r="BA361" s="21" t="s">
        <v>542</v>
      </c>
      <c r="BC361" s="28">
        <f t="shared" si="415"/>
        <v>0</v>
      </c>
      <c r="BD361" s="28">
        <f t="shared" si="416"/>
        <v>0</v>
      </c>
      <c r="BE361" s="28">
        <v>0</v>
      </c>
      <c r="BF361" s="28">
        <f>361</f>
        <v>361</v>
      </c>
      <c r="BH361" s="28">
        <f t="shared" si="417"/>
        <v>0</v>
      </c>
      <c r="BI361" s="28">
        <f t="shared" si="418"/>
        <v>0</v>
      </c>
      <c r="BJ361" s="28">
        <f t="shared" si="419"/>
        <v>0</v>
      </c>
      <c r="BK361" s="28"/>
      <c r="BL361" s="28">
        <v>734</v>
      </c>
      <c r="BW361" s="28">
        <v>21</v>
      </c>
    </row>
    <row r="362" spans="1:75" ht="13.5" customHeight="1">
      <c r="A362" s="38" t="s">
        <v>267</v>
      </c>
      <c r="B362" s="39" t="s">
        <v>328</v>
      </c>
      <c r="C362" s="39" t="s">
        <v>141</v>
      </c>
      <c r="D362" s="50" t="s">
        <v>716</v>
      </c>
      <c r="E362" s="51"/>
      <c r="F362" s="39" t="s">
        <v>228</v>
      </c>
      <c r="G362" s="28">
        <v>3</v>
      </c>
      <c r="H362" s="120">
        <v>0</v>
      </c>
      <c r="I362" s="120">
        <f t="shared" si="400"/>
        <v>0</v>
      </c>
      <c r="K362" s="8"/>
      <c r="Z362" s="28">
        <f t="shared" si="401"/>
        <v>0</v>
      </c>
      <c r="AB362" s="28">
        <f t="shared" si="402"/>
        <v>0</v>
      </c>
      <c r="AC362" s="28">
        <f t="shared" si="403"/>
        <v>0</v>
      </c>
      <c r="AD362" s="28">
        <f t="shared" si="404"/>
        <v>0</v>
      </c>
      <c r="AE362" s="28">
        <f t="shared" si="405"/>
        <v>0</v>
      </c>
      <c r="AF362" s="28">
        <f t="shared" si="406"/>
        <v>0</v>
      </c>
      <c r="AG362" s="28">
        <f t="shared" si="407"/>
        <v>0</v>
      </c>
      <c r="AH362" s="28">
        <f t="shared" si="408"/>
        <v>0</v>
      </c>
      <c r="AI362" s="21" t="s">
        <v>328</v>
      </c>
      <c r="AJ362" s="28">
        <f t="shared" si="409"/>
        <v>0</v>
      </c>
      <c r="AK362" s="28">
        <f t="shared" si="410"/>
        <v>0</v>
      </c>
      <c r="AL362" s="28">
        <f t="shared" si="411"/>
        <v>0</v>
      </c>
      <c r="AN362" s="28">
        <v>21</v>
      </c>
      <c r="AO362" s="28">
        <f>H362*0.893467248908297</f>
        <v>0</v>
      </c>
      <c r="AP362" s="28">
        <f>H362*(1-0.893467248908297)</f>
        <v>0</v>
      </c>
      <c r="AQ362" s="30" t="s">
        <v>900</v>
      </c>
      <c r="AV362" s="28">
        <f t="shared" si="412"/>
        <v>0</v>
      </c>
      <c r="AW362" s="28">
        <f t="shared" si="413"/>
        <v>0</v>
      </c>
      <c r="AX362" s="28">
        <f t="shared" si="414"/>
        <v>0</v>
      </c>
      <c r="AY362" s="30" t="s">
        <v>178</v>
      </c>
      <c r="AZ362" s="30" t="s">
        <v>951</v>
      </c>
      <c r="BA362" s="21" t="s">
        <v>542</v>
      </c>
      <c r="BC362" s="28">
        <f t="shared" si="415"/>
        <v>0</v>
      </c>
      <c r="BD362" s="28">
        <f t="shared" si="416"/>
        <v>0</v>
      </c>
      <c r="BE362" s="28">
        <v>0</v>
      </c>
      <c r="BF362" s="28">
        <f>362</f>
        <v>362</v>
      </c>
      <c r="BH362" s="28">
        <f t="shared" si="417"/>
        <v>0</v>
      </c>
      <c r="BI362" s="28">
        <f t="shared" si="418"/>
        <v>0</v>
      </c>
      <c r="BJ362" s="28">
        <f t="shared" si="419"/>
        <v>0</v>
      </c>
      <c r="BK362" s="28"/>
      <c r="BL362" s="28">
        <v>734</v>
      </c>
      <c r="BW362" s="28">
        <v>21</v>
      </c>
    </row>
    <row r="363" spans="1:75" ht="13.5" customHeight="1">
      <c r="A363" s="38" t="s">
        <v>598</v>
      </c>
      <c r="B363" s="39" t="s">
        <v>328</v>
      </c>
      <c r="C363" s="39" t="s">
        <v>720</v>
      </c>
      <c r="D363" s="50" t="s">
        <v>401</v>
      </c>
      <c r="E363" s="51"/>
      <c r="F363" s="39" t="s">
        <v>228</v>
      </c>
      <c r="G363" s="28">
        <v>1</v>
      </c>
      <c r="H363" s="120">
        <v>0</v>
      </c>
      <c r="I363" s="120">
        <f t="shared" si="400"/>
        <v>0</v>
      </c>
      <c r="K363" s="8"/>
      <c r="Z363" s="28">
        <f t="shared" si="401"/>
        <v>0</v>
      </c>
      <c r="AB363" s="28">
        <f t="shared" si="402"/>
        <v>0</v>
      </c>
      <c r="AC363" s="28">
        <f t="shared" si="403"/>
        <v>0</v>
      </c>
      <c r="AD363" s="28">
        <f t="shared" si="404"/>
        <v>0</v>
      </c>
      <c r="AE363" s="28">
        <f t="shared" si="405"/>
        <v>0</v>
      </c>
      <c r="AF363" s="28">
        <f t="shared" si="406"/>
        <v>0</v>
      </c>
      <c r="AG363" s="28">
        <f t="shared" si="407"/>
        <v>0</v>
      </c>
      <c r="AH363" s="28">
        <f t="shared" si="408"/>
        <v>0</v>
      </c>
      <c r="AI363" s="21" t="s">
        <v>328</v>
      </c>
      <c r="AJ363" s="28">
        <f t="shared" si="409"/>
        <v>0</v>
      </c>
      <c r="AK363" s="28">
        <f t="shared" si="410"/>
        <v>0</v>
      </c>
      <c r="AL363" s="28">
        <f t="shared" si="411"/>
        <v>0</v>
      </c>
      <c r="AN363" s="28">
        <v>21</v>
      </c>
      <c r="AO363" s="28">
        <f>H363*0.945546104928458</f>
        <v>0</v>
      </c>
      <c r="AP363" s="28">
        <f>H363*(1-0.945546104928458)</f>
        <v>0</v>
      </c>
      <c r="AQ363" s="30" t="s">
        <v>900</v>
      </c>
      <c r="AV363" s="28">
        <f t="shared" si="412"/>
        <v>0</v>
      </c>
      <c r="AW363" s="28">
        <f t="shared" si="413"/>
        <v>0</v>
      </c>
      <c r="AX363" s="28">
        <f t="shared" si="414"/>
        <v>0</v>
      </c>
      <c r="AY363" s="30" t="s">
        <v>178</v>
      </c>
      <c r="AZ363" s="30" t="s">
        <v>951</v>
      </c>
      <c r="BA363" s="21" t="s">
        <v>542</v>
      </c>
      <c r="BC363" s="28">
        <f t="shared" si="415"/>
        <v>0</v>
      </c>
      <c r="BD363" s="28">
        <f t="shared" si="416"/>
        <v>0</v>
      </c>
      <c r="BE363" s="28">
        <v>0</v>
      </c>
      <c r="BF363" s="28">
        <f>363</f>
        <v>363</v>
      </c>
      <c r="BH363" s="28">
        <f t="shared" si="417"/>
        <v>0</v>
      </c>
      <c r="BI363" s="28">
        <f t="shared" si="418"/>
        <v>0</v>
      </c>
      <c r="BJ363" s="28">
        <f t="shared" si="419"/>
        <v>0</v>
      </c>
      <c r="BK363" s="28"/>
      <c r="BL363" s="28">
        <v>734</v>
      </c>
      <c r="BW363" s="28">
        <v>21</v>
      </c>
    </row>
    <row r="364" spans="1:75" ht="13.5" customHeight="1">
      <c r="A364" s="38" t="s">
        <v>138</v>
      </c>
      <c r="B364" s="39" t="s">
        <v>328</v>
      </c>
      <c r="C364" s="39" t="s">
        <v>848</v>
      </c>
      <c r="D364" s="50" t="s">
        <v>440</v>
      </c>
      <c r="E364" s="51"/>
      <c r="F364" s="39" t="s">
        <v>228</v>
      </c>
      <c r="G364" s="28">
        <v>1</v>
      </c>
      <c r="H364" s="120">
        <v>0</v>
      </c>
      <c r="I364" s="120">
        <f t="shared" si="400"/>
        <v>0</v>
      </c>
      <c r="K364" s="8"/>
      <c r="Z364" s="28">
        <f t="shared" si="401"/>
        <v>0</v>
      </c>
      <c r="AB364" s="28">
        <f t="shared" si="402"/>
        <v>0</v>
      </c>
      <c r="AC364" s="28">
        <f t="shared" si="403"/>
        <v>0</v>
      </c>
      <c r="AD364" s="28">
        <f t="shared" si="404"/>
        <v>0</v>
      </c>
      <c r="AE364" s="28">
        <f t="shared" si="405"/>
        <v>0</v>
      </c>
      <c r="AF364" s="28">
        <f t="shared" si="406"/>
        <v>0</v>
      </c>
      <c r="AG364" s="28">
        <f t="shared" si="407"/>
        <v>0</v>
      </c>
      <c r="AH364" s="28">
        <f t="shared" si="408"/>
        <v>0</v>
      </c>
      <c r="AI364" s="21" t="s">
        <v>328</v>
      </c>
      <c r="AJ364" s="28">
        <f t="shared" si="409"/>
        <v>0</v>
      </c>
      <c r="AK364" s="28">
        <f t="shared" si="410"/>
        <v>0</v>
      </c>
      <c r="AL364" s="28">
        <f t="shared" si="411"/>
        <v>0</v>
      </c>
      <c r="AN364" s="28">
        <v>21</v>
      </c>
      <c r="AO364" s="28">
        <f>H364*0.913686165273909</f>
        <v>0</v>
      </c>
      <c r="AP364" s="28">
        <f>H364*(1-0.913686165273909)</f>
        <v>0</v>
      </c>
      <c r="AQ364" s="30" t="s">
        <v>900</v>
      </c>
      <c r="AV364" s="28">
        <f t="shared" si="412"/>
        <v>0</v>
      </c>
      <c r="AW364" s="28">
        <f t="shared" si="413"/>
        <v>0</v>
      </c>
      <c r="AX364" s="28">
        <f t="shared" si="414"/>
        <v>0</v>
      </c>
      <c r="AY364" s="30" t="s">
        <v>178</v>
      </c>
      <c r="AZ364" s="30" t="s">
        <v>951</v>
      </c>
      <c r="BA364" s="21" t="s">
        <v>542</v>
      </c>
      <c r="BC364" s="28">
        <f t="shared" si="415"/>
        <v>0</v>
      </c>
      <c r="BD364" s="28">
        <f t="shared" si="416"/>
        <v>0</v>
      </c>
      <c r="BE364" s="28">
        <v>0</v>
      </c>
      <c r="BF364" s="28">
        <f>364</f>
        <v>364</v>
      </c>
      <c r="BH364" s="28">
        <f t="shared" si="417"/>
        <v>0</v>
      </c>
      <c r="BI364" s="28">
        <f t="shared" si="418"/>
        <v>0</v>
      </c>
      <c r="BJ364" s="28">
        <f t="shared" si="419"/>
        <v>0</v>
      </c>
      <c r="BK364" s="28"/>
      <c r="BL364" s="28">
        <v>734</v>
      </c>
      <c r="BW364" s="28">
        <v>21</v>
      </c>
    </row>
    <row r="365" spans="1:75" ht="13.5" customHeight="1">
      <c r="A365" s="38" t="s">
        <v>235</v>
      </c>
      <c r="B365" s="39" t="s">
        <v>328</v>
      </c>
      <c r="C365" s="39" t="s">
        <v>471</v>
      </c>
      <c r="D365" s="50" t="s">
        <v>1080</v>
      </c>
      <c r="E365" s="51"/>
      <c r="F365" s="39" t="s">
        <v>228</v>
      </c>
      <c r="G365" s="28">
        <v>2</v>
      </c>
      <c r="H365" s="120">
        <v>0</v>
      </c>
      <c r="I365" s="120">
        <f t="shared" si="400"/>
        <v>0</v>
      </c>
      <c r="K365" s="8"/>
      <c r="Z365" s="28">
        <f t="shared" si="401"/>
        <v>0</v>
      </c>
      <c r="AB365" s="28">
        <f t="shared" si="402"/>
        <v>0</v>
      </c>
      <c r="AC365" s="28">
        <f t="shared" si="403"/>
        <v>0</v>
      </c>
      <c r="AD365" s="28">
        <f t="shared" si="404"/>
        <v>0</v>
      </c>
      <c r="AE365" s="28">
        <f t="shared" si="405"/>
        <v>0</v>
      </c>
      <c r="AF365" s="28">
        <f t="shared" si="406"/>
        <v>0</v>
      </c>
      <c r="AG365" s="28">
        <f t="shared" si="407"/>
        <v>0</v>
      </c>
      <c r="AH365" s="28">
        <f t="shared" si="408"/>
        <v>0</v>
      </c>
      <c r="AI365" s="21" t="s">
        <v>328</v>
      </c>
      <c r="AJ365" s="28">
        <f t="shared" si="409"/>
        <v>0</v>
      </c>
      <c r="AK365" s="28">
        <f t="shared" si="410"/>
        <v>0</v>
      </c>
      <c r="AL365" s="28">
        <f t="shared" si="411"/>
        <v>0</v>
      </c>
      <c r="AN365" s="28">
        <v>21</v>
      </c>
      <c r="AO365" s="28">
        <f>H365*0.869366700715015</f>
        <v>0</v>
      </c>
      <c r="AP365" s="28">
        <f>H365*(1-0.869366700715015)</f>
        <v>0</v>
      </c>
      <c r="AQ365" s="30" t="s">
        <v>900</v>
      </c>
      <c r="AV365" s="28">
        <f t="shared" si="412"/>
        <v>0</v>
      </c>
      <c r="AW365" s="28">
        <f t="shared" si="413"/>
        <v>0</v>
      </c>
      <c r="AX365" s="28">
        <f t="shared" si="414"/>
        <v>0</v>
      </c>
      <c r="AY365" s="30" t="s">
        <v>178</v>
      </c>
      <c r="AZ365" s="30" t="s">
        <v>951</v>
      </c>
      <c r="BA365" s="21" t="s">
        <v>542</v>
      </c>
      <c r="BC365" s="28">
        <f t="shared" si="415"/>
        <v>0</v>
      </c>
      <c r="BD365" s="28">
        <f t="shared" si="416"/>
        <v>0</v>
      </c>
      <c r="BE365" s="28">
        <v>0</v>
      </c>
      <c r="BF365" s="28">
        <f>365</f>
        <v>365</v>
      </c>
      <c r="BH365" s="28">
        <f t="shared" si="417"/>
        <v>0</v>
      </c>
      <c r="BI365" s="28">
        <f t="shared" si="418"/>
        <v>0</v>
      </c>
      <c r="BJ365" s="28">
        <f t="shared" si="419"/>
        <v>0</v>
      </c>
      <c r="BK365" s="28"/>
      <c r="BL365" s="28">
        <v>734</v>
      </c>
      <c r="BW365" s="28">
        <v>21</v>
      </c>
    </row>
    <row r="366" spans="1:75" ht="13.5" customHeight="1">
      <c r="A366" s="38" t="s">
        <v>1029</v>
      </c>
      <c r="B366" s="39" t="s">
        <v>328</v>
      </c>
      <c r="C366" s="39" t="s">
        <v>923</v>
      </c>
      <c r="D366" s="50" t="s">
        <v>1081</v>
      </c>
      <c r="E366" s="51"/>
      <c r="F366" s="39" t="s">
        <v>228</v>
      </c>
      <c r="G366" s="28">
        <v>1</v>
      </c>
      <c r="H366" s="120">
        <v>0</v>
      </c>
      <c r="I366" s="120">
        <f t="shared" si="400"/>
        <v>0</v>
      </c>
      <c r="K366" s="8"/>
      <c r="Z366" s="28">
        <f t="shared" si="401"/>
        <v>0</v>
      </c>
      <c r="AB366" s="28">
        <f t="shared" si="402"/>
        <v>0</v>
      </c>
      <c r="AC366" s="28">
        <f t="shared" si="403"/>
        <v>0</v>
      </c>
      <c r="AD366" s="28">
        <f t="shared" si="404"/>
        <v>0</v>
      </c>
      <c r="AE366" s="28">
        <f t="shared" si="405"/>
        <v>0</v>
      </c>
      <c r="AF366" s="28">
        <f t="shared" si="406"/>
        <v>0</v>
      </c>
      <c r="AG366" s="28">
        <f t="shared" si="407"/>
        <v>0</v>
      </c>
      <c r="AH366" s="28">
        <f t="shared" si="408"/>
        <v>0</v>
      </c>
      <c r="AI366" s="21" t="s">
        <v>328</v>
      </c>
      <c r="AJ366" s="28">
        <f t="shared" si="409"/>
        <v>0</v>
      </c>
      <c r="AK366" s="28">
        <f t="shared" si="410"/>
        <v>0</v>
      </c>
      <c r="AL366" s="28">
        <f t="shared" si="411"/>
        <v>0</v>
      </c>
      <c r="AN366" s="28">
        <v>21</v>
      </c>
      <c r="AO366" s="28">
        <f>H366*0.929993168165776</f>
        <v>0</v>
      </c>
      <c r="AP366" s="28">
        <f>H366*(1-0.929993168165776)</f>
        <v>0</v>
      </c>
      <c r="AQ366" s="30" t="s">
        <v>900</v>
      </c>
      <c r="AV366" s="28">
        <f t="shared" si="412"/>
        <v>0</v>
      </c>
      <c r="AW366" s="28">
        <f t="shared" si="413"/>
        <v>0</v>
      </c>
      <c r="AX366" s="28">
        <f t="shared" si="414"/>
        <v>0</v>
      </c>
      <c r="AY366" s="30" t="s">
        <v>178</v>
      </c>
      <c r="AZ366" s="30" t="s">
        <v>951</v>
      </c>
      <c r="BA366" s="21" t="s">
        <v>542</v>
      </c>
      <c r="BC366" s="28">
        <f t="shared" si="415"/>
        <v>0</v>
      </c>
      <c r="BD366" s="28">
        <f t="shared" si="416"/>
        <v>0</v>
      </c>
      <c r="BE366" s="28">
        <v>0</v>
      </c>
      <c r="BF366" s="28">
        <f>366</f>
        <v>366</v>
      </c>
      <c r="BH366" s="28">
        <f t="shared" si="417"/>
        <v>0</v>
      </c>
      <c r="BI366" s="28">
        <f t="shared" si="418"/>
        <v>0</v>
      </c>
      <c r="BJ366" s="28">
        <f t="shared" si="419"/>
        <v>0</v>
      </c>
      <c r="BK366" s="28"/>
      <c r="BL366" s="28">
        <v>734</v>
      </c>
      <c r="BW366" s="28">
        <v>21</v>
      </c>
    </row>
    <row r="367" spans="1:75" ht="13.5" customHeight="1">
      <c r="A367" s="38" t="s">
        <v>934</v>
      </c>
      <c r="B367" s="39" t="s">
        <v>328</v>
      </c>
      <c r="C367" s="39" t="s">
        <v>502</v>
      </c>
      <c r="D367" s="50" t="s">
        <v>1074</v>
      </c>
      <c r="E367" s="51"/>
      <c r="F367" s="39" t="s">
        <v>228</v>
      </c>
      <c r="G367" s="28">
        <v>1</v>
      </c>
      <c r="H367" s="120">
        <v>0</v>
      </c>
      <c r="I367" s="120">
        <f t="shared" si="400"/>
        <v>0</v>
      </c>
      <c r="K367" s="8"/>
      <c r="Z367" s="28">
        <f t="shared" si="401"/>
        <v>0</v>
      </c>
      <c r="AB367" s="28">
        <f t="shared" si="402"/>
        <v>0</v>
      </c>
      <c r="AC367" s="28">
        <f t="shared" si="403"/>
        <v>0</v>
      </c>
      <c r="AD367" s="28">
        <f t="shared" si="404"/>
        <v>0</v>
      </c>
      <c r="AE367" s="28">
        <f t="shared" si="405"/>
        <v>0</v>
      </c>
      <c r="AF367" s="28">
        <f t="shared" si="406"/>
        <v>0</v>
      </c>
      <c r="AG367" s="28">
        <f t="shared" si="407"/>
        <v>0</v>
      </c>
      <c r="AH367" s="28">
        <f t="shared" si="408"/>
        <v>0</v>
      </c>
      <c r="AI367" s="21" t="s">
        <v>328</v>
      </c>
      <c r="AJ367" s="28">
        <f t="shared" si="409"/>
        <v>0</v>
      </c>
      <c r="AK367" s="28">
        <f t="shared" si="410"/>
        <v>0</v>
      </c>
      <c r="AL367" s="28">
        <f t="shared" si="411"/>
        <v>0</v>
      </c>
      <c r="AN367" s="28">
        <v>21</v>
      </c>
      <c r="AO367" s="28">
        <f>H367*0.76990099009901</f>
        <v>0</v>
      </c>
      <c r="AP367" s="28">
        <f>H367*(1-0.76990099009901)</f>
        <v>0</v>
      </c>
      <c r="AQ367" s="30" t="s">
        <v>900</v>
      </c>
      <c r="AV367" s="28">
        <f t="shared" si="412"/>
        <v>0</v>
      </c>
      <c r="AW367" s="28">
        <f t="shared" si="413"/>
        <v>0</v>
      </c>
      <c r="AX367" s="28">
        <f t="shared" si="414"/>
        <v>0</v>
      </c>
      <c r="AY367" s="30" t="s">
        <v>178</v>
      </c>
      <c r="AZ367" s="30" t="s">
        <v>951</v>
      </c>
      <c r="BA367" s="21" t="s">
        <v>542</v>
      </c>
      <c r="BC367" s="28">
        <f t="shared" si="415"/>
        <v>0</v>
      </c>
      <c r="BD367" s="28">
        <f t="shared" si="416"/>
        <v>0</v>
      </c>
      <c r="BE367" s="28">
        <v>0</v>
      </c>
      <c r="BF367" s="28">
        <f>367</f>
        <v>367</v>
      </c>
      <c r="BH367" s="28">
        <f t="shared" si="417"/>
        <v>0</v>
      </c>
      <c r="BI367" s="28">
        <f t="shared" si="418"/>
        <v>0</v>
      </c>
      <c r="BJ367" s="28">
        <f t="shared" si="419"/>
        <v>0</v>
      </c>
      <c r="BK367" s="28"/>
      <c r="BL367" s="28">
        <v>734</v>
      </c>
      <c r="BW367" s="28">
        <v>21</v>
      </c>
    </row>
    <row r="368" spans="1:75" ht="13.5" customHeight="1">
      <c r="A368" s="38" t="s">
        <v>407</v>
      </c>
      <c r="B368" s="39" t="s">
        <v>328</v>
      </c>
      <c r="C368" s="39" t="s">
        <v>203</v>
      </c>
      <c r="D368" s="50" t="s">
        <v>1079</v>
      </c>
      <c r="E368" s="51"/>
      <c r="F368" s="39" t="s">
        <v>228</v>
      </c>
      <c r="G368" s="28">
        <v>1</v>
      </c>
      <c r="H368" s="120">
        <v>0</v>
      </c>
      <c r="I368" s="120">
        <f t="shared" si="400"/>
        <v>0</v>
      </c>
      <c r="K368" s="8"/>
      <c r="Z368" s="28">
        <f t="shared" si="401"/>
        <v>0</v>
      </c>
      <c r="AB368" s="28">
        <f t="shared" si="402"/>
        <v>0</v>
      </c>
      <c r="AC368" s="28">
        <f t="shared" si="403"/>
        <v>0</v>
      </c>
      <c r="AD368" s="28">
        <f t="shared" si="404"/>
        <v>0</v>
      </c>
      <c r="AE368" s="28">
        <f t="shared" si="405"/>
        <v>0</v>
      </c>
      <c r="AF368" s="28">
        <f t="shared" si="406"/>
        <v>0</v>
      </c>
      <c r="AG368" s="28">
        <f t="shared" si="407"/>
        <v>0</v>
      </c>
      <c r="AH368" s="28">
        <f t="shared" si="408"/>
        <v>0</v>
      </c>
      <c r="AI368" s="21" t="s">
        <v>328</v>
      </c>
      <c r="AJ368" s="28">
        <f t="shared" si="409"/>
        <v>0</v>
      </c>
      <c r="AK368" s="28">
        <f t="shared" si="410"/>
        <v>0</v>
      </c>
      <c r="AL368" s="28">
        <f t="shared" si="411"/>
        <v>0</v>
      </c>
      <c r="AN368" s="28">
        <v>21</v>
      </c>
      <c r="AO368" s="28">
        <f>H368*0.872981818181818</f>
        <v>0</v>
      </c>
      <c r="AP368" s="28">
        <f>H368*(1-0.872981818181818)</f>
        <v>0</v>
      </c>
      <c r="AQ368" s="30" t="s">
        <v>900</v>
      </c>
      <c r="AV368" s="28">
        <f t="shared" si="412"/>
        <v>0</v>
      </c>
      <c r="AW368" s="28">
        <f t="shared" si="413"/>
        <v>0</v>
      </c>
      <c r="AX368" s="28">
        <f t="shared" si="414"/>
        <v>0</v>
      </c>
      <c r="AY368" s="30" t="s">
        <v>178</v>
      </c>
      <c r="AZ368" s="30" t="s">
        <v>951</v>
      </c>
      <c r="BA368" s="21" t="s">
        <v>542</v>
      </c>
      <c r="BC368" s="28">
        <f t="shared" si="415"/>
        <v>0</v>
      </c>
      <c r="BD368" s="28">
        <f t="shared" si="416"/>
        <v>0</v>
      </c>
      <c r="BE368" s="28">
        <v>0</v>
      </c>
      <c r="BF368" s="28">
        <f>368</f>
        <v>368</v>
      </c>
      <c r="BH368" s="28">
        <f t="shared" si="417"/>
        <v>0</v>
      </c>
      <c r="BI368" s="28">
        <f t="shared" si="418"/>
        <v>0</v>
      </c>
      <c r="BJ368" s="28">
        <f t="shared" si="419"/>
        <v>0</v>
      </c>
      <c r="BK368" s="28"/>
      <c r="BL368" s="28">
        <v>734</v>
      </c>
      <c r="BW368" s="28">
        <v>21</v>
      </c>
    </row>
    <row r="369" spans="1:75" ht="13.5" customHeight="1">
      <c r="A369" s="38" t="s">
        <v>793</v>
      </c>
      <c r="B369" s="39" t="s">
        <v>328</v>
      </c>
      <c r="C369" s="39" t="s">
        <v>365</v>
      </c>
      <c r="D369" s="50" t="s">
        <v>243</v>
      </c>
      <c r="E369" s="51"/>
      <c r="F369" s="39" t="s">
        <v>311</v>
      </c>
      <c r="G369" s="28">
        <v>1</v>
      </c>
      <c r="H369" s="120">
        <v>0</v>
      </c>
      <c r="I369" s="120">
        <f t="shared" si="400"/>
        <v>0</v>
      </c>
      <c r="K369" s="8"/>
      <c r="Z369" s="28">
        <f t="shared" si="401"/>
        <v>0</v>
      </c>
      <c r="AB369" s="28">
        <f t="shared" si="402"/>
        <v>0</v>
      </c>
      <c r="AC369" s="28">
        <f t="shared" si="403"/>
        <v>0</v>
      </c>
      <c r="AD369" s="28">
        <f t="shared" si="404"/>
        <v>0</v>
      </c>
      <c r="AE369" s="28">
        <f t="shared" si="405"/>
        <v>0</v>
      </c>
      <c r="AF369" s="28">
        <f t="shared" si="406"/>
        <v>0</v>
      </c>
      <c r="AG369" s="28">
        <f t="shared" si="407"/>
        <v>0</v>
      </c>
      <c r="AH369" s="28">
        <f t="shared" si="408"/>
        <v>0</v>
      </c>
      <c r="AI369" s="21" t="s">
        <v>328</v>
      </c>
      <c r="AJ369" s="28">
        <f t="shared" si="409"/>
        <v>0</v>
      </c>
      <c r="AK369" s="28">
        <f t="shared" si="410"/>
        <v>0</v>
      </c>
      <c r="AL369" s="28">
        <f t="shared" si="411"/>
        <v>0</v>
      </c>
      <c r="AN369" s="28">
        <v>21</v>
      </c>
      <c r="AO369" s="28">
        <f>H369*0.924761904761905</f>
        <v>0</v>
      </c>
      <c r="AP369" s="28">
        <f>H369*(1-0.924761904761905)</f>
        <v>0</v>
      </c>
      <c r="AQ369" s="30" t="s">
        <v>900</v>
      </c>
      <c r="AV369" s="28">
        <f t="shared" si="412"/>
        <v>0</v>
      </c>
      <c r="AW369" s="28">
        <f t="shared" si="413"/>
        <v>0</v>
      </c>
      <c r="AX369" s="28">
        <f t="shared" si="414"/>
        <v>0</v>
      </c>
      <c r="AY369" s="30" t="s">
        <v>178</v>
      </c>
      <c r="AZ369" s="30" t="s">
        <v>951</v>
      </c>
      <c r="BA369" s="21" t="s">
        <v>542</v>
      </c>
      <c r="BC369" s="28">
        <f t="shared" si="415"/>
        <v>0</v>
      </c>
      <c r="BD369" s="28">
        <f t="shared" si="416"/>
        <v>0</v>
      </c>
      <c r="BE369" s="28">
        <v>0</v>
      </c>
      <c r="BF369" s="28">
        <f>369</f>
        <v>369</v>
      </c>
      <c r="BH369" s="28">
        <f t="shared" si="417"/>
        <v>0</v>
      </c>
      <c r="BI369" s="28">
        <f t="shared" si="418"/>
        <v>0</v>
      </c>
      <c r="BJ369" s="28">
        <f t="shared" si="419"/>
        <v>0</v>
      </c>
      <c r="BK369" s="28"/>
      <c r="BL369" s="28">
        <v>734</v>
      </c>
      <c r="BW369" s="28">
        <v>21</v>
      </c>
    </row>
    <row r="370" spans="1:75" ht="13.5" customHeight="1">
      <c r="A370" s="38" t="s">
        <v>8</v>
      </c>
      <c r="B370" s="39" t="s">
        <v>328</v>
      </c>
      <c r="C370" s="39" t="s">
        <v>501</v>
      </c>
      <c r="D370" s="50" t="s">
        <v>362</v>
      </c>
      <c r="E370" s="51"/>
      <c r="F370" s="39" t="s">
        <v>228</v>
      </c>
      <c r="G370" s="28">
        <v>1</v>
      </c>
      <c r="H370" s="120">
        <v>0</v>
      </c>
      <c r="I370" s="120">
        <f t="shared" si="400"/>
        <v>0</v>
      </c>
      <c r="K370" s="8"/>
      <c r="Z370" s="28">
        <f t="shared" si="401"/>
        <v>0</v>
      </c>
      <c r="AB370" s="28">
        <f t="shared" si="402"/>
        <v>0</v>
      </c>
      <c r="AC370" s="28">
        <f t="shared" si="403"/>
        <v>0</v>
      </c>
      <c r="AD370" s="28">
        <f t="shared" si="404"/>
        <v>0</v>
      </c>
      <c r="AE370" s="28">
        <f t="shared" si="405"/>
        <v>0</v>
      </c>
      <c r="AF370" s="28">
        <f t="shared" si="406"/>
        <v>0</v>
      </c>
      <c r="AG370" s="28">
        <f t="shared" si="407"/>
        <v>0</v>
      </c>
      <c r="AH370" s="28">
        <f t="shared" si="408"/>
        <v>0</v>
      </c>
      <c r="AI370" s="21" t="s">
        <v>328</v>
      </c>
      <c r="AJ370" s="28">
        <f t="shared" si="409"/>
        <v>0</v>
      </c>
      <c r="AK370" s="28">
        <f t="shared" si="410"/>
        <v>0</v>
      </c>
      <c r="AL370" s="28">
        <f t="shared" si="411"/>
        <v>0</v>
      </c>
      <c r="AN370" s="28">
        <v>21</v>
      </c>
      <c r="AO370" s="28">
        <f>H370*0.698084842146545</f>
        <v>0</v>
      </c>
      <c r="AP370" s="28">
        <f>H370*(1-0.698084842146545)</f>
        <v>0</v>
      </c>
      <c r="AQ370" s="30" t="s">
        <v>900</v>
      </c>
      <c r="AV370" s="28">
        <f t="shared" si="412"/>
        <v>0</v>
      </c>
      <c r="AW370" s="28">
        <f t="shared" si="413"/>
        <v>0</v>
      </c>
      <c r="AX370" s="28">
        <f t="shared" si="414"/>
        <v>0</v>
      </c>
      <c r="AY370" s="30" t="s">
        <v>178</v>
      </c>
      <c r="AZ370" s="30" t="s">
        <v>951</v>
      </c>
      <c r="BA370" s="21" t="s">
        <v>542</v>
      </c>
      <c r="BC370" s="28">
        <f t="shared" si="415"/>
        <v>0</v>
      </c>
      <c r="BD370" s="28">
        <f t="shared" si="416"/>
        <v>0</v>
      </c>
      <c r="BE370" s="28">
        <v>0</v>
      </c>
      <c r="BF370" s="28">
        <f>370</f>
        <v>370</v>
      </c>
      <c r="BH370" s="28">
        <f t="shared" si="417"/>
        <v>0</v>
      </c>
      <c r="BI370" s="28">
        <f t="shared" si="418"/>
        <v>0</v>
      </c>
      <c r="BJ370" s="28">
        <f t="shared" si="419"/>
        <v>0</v>
      </c>
      <c r="BK370" s="28"/>
      <c r="BL370" s="28">
        <v>734</v>
      </c>
      <c r="BW370" s="28">
        <v>21</v>
      </c>
    </row>
    <row r="371" spans="1:75" ht="13.5" customHeight="1">
      <c r="A371" s="38" t="s">
        <v>670</v>
      </c>
      <c r="B371" s="39" t="s">
        <v>328</v>
      </c>
      <c r="C371" s="39" t="s">
        <v>321</v>
      </c>
      <c r="D371" s="50" t="s">
        <v>1076</v>
      </c>
      <c r="E371" s="51"/>
      <c r="F371" s="39" t="s">
        <v>228</v>
      </c>
      <c r="G371" s="28">
        <v>1</v>
      </c>
      <c r="H371" s="120">
        <v>0</v>
      </c>
      <c r="I371" s="120">
        <f t="shared" si="400"/>
        <v>0</v>
      </c>
      <c r="K371" s="8"/>
      <c r="Z371" s="28">
        <f t="shared" si="401"/>
        <v>0</v>
      </c>
      <c r="AB371" s="28">
        <f t="shared" si="402"/>
        <v>0</v>
      </c>
      <c r="AC371" s="28">
        <f t="shared" si="403"/>
        <v>0</v>
      </c>
      <c r="AD371" s="28">
        <f t="shared" si="404"/>
        <v>0</v>
      </c>
      <c r="AE371" s="28">
        <f t="shared" si="405"/>
        <v>0</v>
      </c>
      <c r="AF371" s="28">
        <f t="shared" si="406"/>
        <v>0</v>
      </c>
      <c r="AG371" s="28">
        <f t="shared" si="407"/>
        <v>0</v>
      </c>
      <c r="AH371" s="28">
        <f t="shared" si="408"/>
        <v>0</v>
      </c>
      <c r="AI371" s="21" t="s">
        <v>328</v>
      </c>
      <c r="AJ371" s="28">
        <f t="shared" si="409"/>
        <v>0</v>
      </c>
      <c r="AK371" s="28">
        <f t="shared" si="410"/>
        <v>0</v>
      </c>
      <c r="AL371" s="28">
        <f t="shared" si="411"/>
        <v>0</v>
      </c>
      <c r="AN371" s="28">
        <v>21</v>
      </c>
      <c r="AO371" s="28">
        <f>H371*0.796243845047714</f>
        <v>0</v>
      </c>
      <c r="AP371" s="28">
        <f>H371*(1-0.796243845047714)</f>
        <v>0</v>
      </c>
      <c r="AQ371" s="30" t="s">
        <v>900</v>
      </c>
      <c r="AV371" s="28">
        <f t="shared" si="412"/>
        <v>0</v>
      </c>
      <c r="AW371" s="28">
        <f t="shared" si="413"/>
        <v>0</v>
      </c>
      <c r="AX371" s="28">
        <f t="shared" si="414"/>
        <v>0</v>
      </c>
      <c r="AY371" s="30" t="s">
        <v>178</v>
      </c>
      <c r="AZ371" s="30" t="s">
        <v>951</v>
      </c>
      <c r="BA371" s="21" t="s">
        <v>542</v>
      </c>
      <c r="BC371" s="28">
        <f t="shared" si="415"/>
        <v>0</v>
      </c>
      <c r="BD371" s="28">
        <f t="shared" si="416"/>
        <v>0</v>
      </c>
      <c r="BE371" s="28">
        <v>0</v>
      </c>
      <c r="BF371" s="28">
        <f>371</f>
        <v>371</v>
      </c>
      <c r="BH371" s="28">
        <f t="shared" si="417"/>
        <v>0</v>
      </c>
      <c r="BI371" s="28">
        <f t="shared" si="418"/>
        <v>0</v>
      </c>
      <c r="BJ371" s="28">
        <f t="shared" si="419"/>
        <v>0</v>
      </c>
      <c r="BK371" s="28"/>
      <c r="BL371" s="28">
        <v>734</v>
      </c>
      <c r="BW371" s="28">
        <v>21</v>
      </c>
    </row>
    <row r="372" spans="1:75" ht="13.5" customHeight="1">
      <c r="A372" s="38" t="s">
        <v>489</v>
      </c>
      <c r="B372" s="39" t="s">
        <v>328</v>
      </c>
      <c r="C372" s="39" t="s">
        <v>944</v>
      </c>
      <c r="D372" s="50" t="s">
        <v>1077</v>
      </c>
      <c r="E372" s="51"/>
      <c r="F372" s="39" t="s">
        <v>228</v>
      </c>
      <c r="G372" s="28">
        <v>3</v>
      </c>
      <c r="H372" s="120">
        <v>0</v>
      </c>
      <c r="I372" s="120">
        <f t="shared" si="400"/>
        <v>0</v>
      </c>
      <c r="K372" s="8"/>
      <c r="Z372" s="28">
        <f t="shared" si="401"/>
        <v>0</v>
      </c>
      <c r="AB372" s="28">
        <f t="shared" si="402"/>
        <v>0</v>
      </c>
      <c r="AC372" s="28">
        <f t="shared" si="403"/>
        <v>0</v>
      </c>
      <c r="AD372" s="28">
        <f t="shared" si="404"/>
        <v>0</v>
      </c>
      <c r="AE372" s="28">
        <f t="shared" si="405"/>
        <v>0</v>
      </c>
      <c r="AF372" s="28">
        <f t="shared" si="406"/>
        <v>0</v>
      </c>
      <c r="AG372" s="28">
        <f t="shared" si="407"/>
        <v>0</v>
      </c>
      <c r="AH372" s="28">
        <f t="shared" si="408"/>
        <v>0</v>
      </c>
      <c r="AI372" s="21" t="s">
        <v>328</v>
      </c>
      <c r="AJ372" s="28">
        <f t="shared" si="409"/>
        <v>0</v>
      </c>
      <c r="AK372" s="28">
        <f t="shared" si="410"/>
        <v>0</v>
      </c>
      <c r="AL372" s="28">
        <f t="shared" si="411"/>
        <v>0</v>
      </c>
      <c r="AN372" s="28">
        <v>21</v>
      </c>
      <c r="AO372" s="28">
        <f>H372*0.893386019482375</f>
        <v>0</v>
      </c>
      <c r="AP372" s="28">
        <f>H372*(1-0.893386019482375)</f>
        <v>0</v>
      </c>
      <c r="AQ372" s="30" t="s">
        <v>900</v>
      </c>
      <c r="AV372" s="28">
        <f t="shared" si="412"/>
        <v>0</v>
      </c>
      <c r="AW372" s="28">
        <f t="shared" si="413"/>
        <v>0</v>
      </c>
      <c r="AX372" s="28">
        <f t="shared" si="414"/>
        <v>0</v>
      </c>
      <c r="AY372" s="30" t="s">
        <v>178</v>
      </c>
      <c r="AZ372" s="30" t="s">
        <v>951</v>
      </c>
      <c r="BA372" s="21" t="s">
        <v>542</v>
      </c>
      <c r="BC372" s="28">
        <f t="shared" si="415"/>
        <v>0</v>
      </c>
      <c r="BD372" s="28">
        <f t="shared" si="416"/>
        <v>0</v>
      </c>
      <c r="BE372" s="28">
        <v>0</v>
      </c>
      <c r="BF372" s="28">
        <f>372</f>
        <v>372</v>
      </c>
      <c r="BH372" s="28">
        <f t="shared" si="417"/>
        <v>0</v>
      </c>
      <c r="BI372" s="28">
        <f t="shared" si="418"/>
        <v>0</v>
      </c>
      <c r="BJ372" s="28">
        <f t="shared" si="419"/>
        <v>0</v>
      </c>
      <c r="BK372" s="28"/>
      <c r="BL372" s="28">
        <v>734</v>
      </c>
      <c r="BW372" s="28">
        <v>21</v>
      </c>
    </row>
    <row r="373" spans="1:47" ht="15" customHeight="1">
      <c r="A373" s="3" t="s">
        <v>626</v>
      </c>
      <c r="B373" s="43" t="s">
        <v>328</v>
      </c>
      <c r="C373" s="43" t="s">
        <v>390</v>
      </c>
      <c r="D373" s="103" t="s">
        <v>274</v>
      </c>
      <c r="E373" s="104"/>
      <c r="F373" s="37" t="s">
        <v>836</v>
      </c>
      <c r="G373" s="37" t="s">
        <v>836</v>
      </c>
      <c r="H373" s="118" t="s">
        <v>836</v>
      </c>
      <c r="I373" s="119">
        <f>SUM(I374:I375)</f>
        <v>0</v>
      </c>
      <c r="K373" s="8"/>
      <c r="AI373" s="21" t="s">
        <v>328</v>
      </c>
      <c r="AS373" s="31">
        <f>SUM(AJ374:AJ375)</f>
        <v>0</v>
      </c>
      <c r="AT373" s="31">
        <f>SUM(AK374:AK375)</f>
        <v>0</v>
      </c>
      <c r="AU373" s="31">
        <f>SUM(AL374:AL375)</f>
        <v>0</v>
      </c>
    </row>
    <row r="374" spans="1:75" ht="13.5" customHeight="1">
      <c r="A374" s="38" t="s">
        <v>769</v>
      </c>
      <c r="B374" s="39" t="s">
        <v>328</v>
      </c>
      <c r="C374" s="39" t="s">
        <v>774</v>
      </c>
      <c r="D374" s="50" t="s">
        <v>1027</v>
      </c>
      <c r="E374" s="51"/>
      <c r="F374" s="39" t="s">
        <v>853</v>
      </c>
      <c r="G374" s="28">
        <v>50</v>
      </c>
      <c r="H374" s="120">
        <v>0</v>
      </c>
      <c r="I374" s="120">
        <f>G374*H374</f>
        <v>0</v>
      </c>
      <c r="K374" s="8"/>
      <c r="Z374" s="28">
        <f>IF(AQ374="5",BJ374,0)</f>
        <v>0</v>
      </c>
      <c r="AB374" s="28">
        <f>IF(AQ374="1",BH374,0)</f>
        <v>0</v>
      </c>
      <c r="AC374" s="28">
        <f>IF(AQ374="1",BI374,0)</f>
        <v>0</v>
      </c>
      <c r="AD374" s="28">
        <f>IF(AQ374="7",BH374,0)</f>
        <v>0</v>
      </c>
      <c r="AE374" s="28">
        <f>IF(AQ374="7",BI374,0)</f>
        <v>0</v>
      </c>
      <c r="AF374" s="28">
        <f>IF(AQ374="2",BH374,0)</f>
        <v>0</v>
      </c>
      <c r="AG374" s="28">
        <f>IF(AQ374="2",BI374,0)</f>
        <v>0</v>
      </c>
      <c r="AH374" s="28">
        <f>IF(AQ374="0",BJ374,0)</f>
        <v>0</v>
      </c>
      <c r="AI374" s="21" t="s">
        <v>328</v>
      </c>
      <c r="AJ374" s="28">
        <f>IF(AN374=0,I374,0)</f>
        <v>0</v>
      </c>
      <c r="AK374" s="28">
        <f>IF(AN374=12,I374,0)</f>
        <v>0</v>
      </c>
      <c r="AL374" s="28">
        <f>IF(AN374=21,I374,0)</f>
        <v>0</v>
      </c>
      <c r="AN374" s="28">
        <v>21</v>
      </c>
      <c r="AO374" s="28">
        <f>H374*0.166280991735537</f>
        <v>0</v>
      </c>
      <c r="AP374" s="28">
        <f>H374*(1-0.166280991735537)</f>
        <v>0</v>
      </c>
      <c r="AQ374" s="30" t="s">
        <v>900</v>
      </c>
      <c r="AV374" s="28">
        <f>AW374+AX374</f>
        <v>0</v>
      </c>
      <c r="AW374" s="28">
        <f>G374*AO374</f>
        <v>0</v>
      </c>
      <c r="AX374" s="28">
        <f>G374*AP374</f>
        <v>0</v>
      </c>
      <c r="AY374" s="30" t="s">
        <v>250</v>
      </c>
      <c r="AZ374" s="30" t="s">
        <v>40</v>
      </c>
      <c r="BA374" s="21" t="s">
        <v>542</v>
      </c>
      <c r="BC374" s="28">
        <f>AW374+AX374</f>
        <v>0</v>
      </c>
      <c r="BD374" s="28">
        <f>H374/(100-BE374)*100</f>
        <v>0</v>
      </c>
      <c r="BE374" s="28">
        <v>0</v>
      </c>
      <c r="BF374" s="28">
        <f>374</f>
        <v>374</v>
      </c>
      <c r="BH374" s="28">
        <f>G374*AO374</f>
        <v>0</v>
      </c>
      <c r="BI374" s="28">
        <f>G374*AP374</f>
        <v>0</v>
      </c>
      <c r="BJ374" s="28">
        <f>G374*H374</f>
        <v>0</v>
      </c>
      <c r="BK374" s="28"/>
      <c r="BL374" s="28">
        <v>767</v>
      </c>
      <c r="BW374" s="28">
        <v>21</v>
      </c>
    </row>
    <row r="375" spans="1:75" ht="13.5" customHeight="1">
      <c r="A375" s="38" t="s">
        <v>1007</v>
      </c>
      <c r="B375" s="39" t="s">
        <v>328</v>
      </c>
      <c r="C375" s="39" t="s">
        <v>783</v>
      </c>
      <c r="D375" s="50" t="s">
        <v>39</v>
      </c>
      <c r="E375" s="51"/>
      <c r="F375" s="39" t="s">
        <v>853</v>
      </c>
      <c r="G375" s="28">
        <v>60</v>
      </c>
      <c r="H375" s="120">
        <v>0</v>
      </c>
      <c r="I375" s="120">
        <f>G375*H375</f>
        <v>0</v>
      </c>
      <c r="K375" s="8"/>
      <c r="Z375" s="28">
        <f>IF(AQ375="5",BJ375,0)</f>
        <v>0</v>
      </c>
      <c r="AB375" s="28">
        <f>IF(AQ375="1",BH375,0)</f>
        <v>0</v>
      </c>
      <c r="AC375" s="28">
        <f>IF(AQ375="1",BI375,0)</f>
        <v>0</v>
      </c>
      <c r="AD375" s="28">
        <f>IF(AQ375="7",BH375,0)</f>
        <v>0</v>
      </c>
      <c r="AE375" s="28">
        <f>IF(AQ375="7",BI375,0)</f>
        <v>0</v>
      </c>
      <c r="AF375" s="28">
        <f>IF(AQ375="2",BH375,0)</f>
        <v>0</v>
      </c>
      <c r="AG375" s="28">
        <f>IF(AQ375="2",BI375,0)</f>
        <v>0</v>
      </c>
      <c r="AH375" s="28">
        <f>IF(AQ375="0",BJ375,0)</f>
        <v>0</v>
      </c>
      <c r="AI375" s="21" t="s">
        <v>328</v>
      </c>
      <c r="AJ375" s="28">
        <f>IF(AN375=0,I375,0)</f>
        <v>0</v>
      </c>
      <c r="AK375" s="28">
        <f>IF(AN375=12,I375,0)</f>
        <v>0</v>
      </c>
      <c r="AL375" s="28">
        <f>IF(AN375=21,I375,0)</f>
        <v>0</v>
      </c>
      <c r="AN375" s="28">
        <v>21</v>
      </c>
      <c r="AO375" s="28">
        <f>H375*0.329041487839771</f>
        <v>0</v>
      </c>
      <c r="AP375" s="28">
        <f>H375*(1-0.329041487839771)</f>
        <v>0</v>
      </c>
      <c r="AQ375" s="30" t="s">
        <v>900</v>
      </c>
      <c r="AV375" s="28">
        <f>AW375+AX375</f>
        <v>0</v>
      </c>
      <c r="AW375" s="28">
        <f>G375*AO375</f>
        <v>0</v>
      </c>
      <c r="AX375" s="28">
        <f>G375*AP375</f>
        <v>0</v>
      </c>
      <c r="AY375" s="30" t="s">
        <v>250</v>
      </c>
      <c r="AZ375" s="30" t="s">
        <v>40</v>
      </c>
      <c r="BA375" s="21" t="s">
        <v>542</v>
      </c>
      <c r="BC375" s="28">
        <f>AW375+AX375</f>
        <v>0</v>
      </c>
      <c r="BD375" s="28">
        <f>H375/(100-BE375)*100</f>
        <v>0</v>
      </c>
      <c r="BE375" s="28">
        <v>0</v>
      </c>
      <c r="BF375" s="28">
        <f>375</f>
        <v>375</v>
      </c>
      <c r="BH375" s="28">
        <f>G375*AO375</f>
        <v>0</v>
      </c>
      <c r="BI375" s="28">
        <f>G375*AP375</f>
        <v>0</v>
      </c>
      <c r="BJ375" s="28">
        <f>G375*H375</f>
        <v>0</v>
      </c>
      <c r="BK375" s="28"/>
      <c r="BL375" s="28">
        <v>767</v>
      </c>
      <c r="BW375" s="28">
        <v>21</v>
      </c>
    </row>
    <row r="376" spans="1:35" ht="15" customHeight="1">
      <c r="A376" s="3" t="s">
        <v>626</v>
      </c>
      <c r="B376" s="43" t="s">
        <v>328</v>
      </c>
      <c r="C376" s="43" t="s">
        <v>626</v>
      </c>
      <c r="D376" s="103" t="s">
        <v>523</v>
      </c>
      <c r="E376" s="104"/>
      <c r="F376" s="37" t="s">
        <v>836</v>
      </c>
      <c r="G376" s="37" t="s">
        <v>836</v>
      </c>
      <c r="H376" s="118" t="s">
        <v>836</v>
      </c>
      <c r="I376" s="119">
        <f>I377</f>
        <v>0</v>
      </c>
      <c r="K376" s="8"/>
      <c r="AI376" s="21" t="s">
        <v>328</v>
      </c>
    </row>
    <row r="377" spans="1:47" ht="15" customHeight="1">
      <c r="A377" s="3" t="s">
        <v>626</v>
      </c>
      <c r="B377" s="43" t="s">
        <v>328</v>
      </c>
      <c r="C377" s="43" t="s">
        <v>79</v>
      </c>
      <c r="D377" s="103" t="s">
        <v>868</v>
      </c>
      <c r="E377" s="104"/>
      <c r="F377" s="37" t="s">
        <v>836</v>
      </c>
      <c r="G377" s="37" t="s">
        <v>836</v>
      </c>
      <c r="H377" s="118" t="s">
        <v>836</v>
      </c>
      <c r="I377" s="119">
        <f>SUM(I378:I378)</f>
        <v>0</v>
      </c>
      <c r="K377" s="8"/>
      <c r="AI377" s="21" t="s">
        <v>328</v>
      </c>
      <c r="AS377" s="31">
        <f>SUM(AJ378:AJ378)</f>
        <v>0</v>
      </c>
      <c r="AT377" s="31">
        <f>SUM(AK378:AK378)</f>
        <v>0</v>
      </c>
      <c r="AU377" s="31">
        <f>SUM(AL378:AL378)</f>
        <v>0</v>
      </c>
    </row>
    <row r="378" spans="1:75" ht="13.5" customHeight="1">
      <c r="A378" s="38" t="s">
        <v>488</v>
      </c>
      <c r="B378" s="39" t="s">
        <v>328</v>
      </c>
      <c r="C378" s="39" t="s">
        <v>617</v>
      </c>
      <c r="D378" s="50" t="s">
        <v>1016</v>
      </c>
      <c r="E378" s="51"/>
      <c r="F378" s="39" t="s">
        <v>603</v>
      </c>
      <c r="G378" s="28">
        <v>1</v>
      </c>
      <c r="H378" s="120">
        <v>0</v>
      </c>
      <c r="I378" s="120">
        <f>G378*H378</f>
        <v>0</v>
      </c>
      <c r="K378" s="8"/>
      <c r="Z378" s="28">
        <f>IF(AQ378="5",BJ378,0)</f>
        <v>0</v>
      </c>
      <c r="AB378" s="28">
        <f>IF(AQ378="1",BH378,0)</f>
        <v>0</v>
      </c>
      <c r="AC378" s="28">
        <f>IF(AQ378="1",BI378,0)</f>
        <v>0</v>
      </c>
      <c r="AD378" s="28">
        <f>IF(AQ378="7",BH378,0)</f>
        <v>0</v>
      </c>
      <c r="AE378" s="28">
        <f>IF(AQ378="7",BI378,0)</f>
        <v>0</v>
      </c>
      <c r="AF378" s="28">
        <f>IF(AQ378="2",BH378,0)</f>
        <v>0</v>
      </c>
      <c r="AG378" s="28">
        <f>IF(AQ378="2",BI378,0)</f>
        <v>0</v>
      </c>
      <c r="AH378" s="28">
        <f>IF(AQ378="0",BJ378,0)</f>
        <v>0</v>
      </c>
      <c r="AI378" s="21" t="s">
        <v>328</v>
      </c>
      <c r="AJ378" s="28">
        <f>IF(AN378=0,I378,0)</f>
        <v>0</v>
      </c>
      <c r="AK378" s="28">
        <f>IF(AN378=12,I378,0)</f>
        <v>0</v>
      </c>
      <c r="AL378" s="28">
        <f>IF(AN378=21,I378,0)</f>
        <v>0</v>
      </c>
      <c r="AN378" s="28">
        <v>21</v>
      </c>
      <c r="AO378" s="28">
        <f>H378*0</f>
        <v>0</v>
      </c>
      <c r="AP378" s="28">
        <f>H378*(1-0)</f>
        <v>0</v>
      </c>
      <c r="AQ378" s="30" t="s">
        <v>408</v>
      </c>
      <c r="AV378" s="28">
        <f>AW378+AX378</f>
        <v>0</v>
      </c>
      <c r="AW378" s="28">
        <f>G378*AO378</f>
        <v>0</v>
      </c>
      <c r="AX378" s="28">
        <f>G378*AP378</f>
        <v>0</v>
      </c>
      <c r="AY378" s="30" t="s">
        <v>462</v>
      </c>
      <c r="AZ378" s="30" t="s">
        <v>75</v>
      </c>
      <c r="BA378" s="21" t="s">
        <v>542</v>
      </c>
      <c r="BC378" s="28">
        <f>AW378+AX378</f>
        <v>0</v>
      </c>
      <c r="BD378" s="28">
        <f>H378/(100-BE378)*100</f>
        <v>0</v>
      </c>
      <c r="BE378" s="28">
        <v>0</v>
      </c>
      <c r="BF378" s="28">
        <f>378</f>
        <v>378</v>
      </c>
      <c r="BH378" s="28">
        <f>G378*AO378</f>
        <v>0</v>
      </c>
      <c r="BI378" s="28">
        <f>G378*AP378</f>
        <v>0</v>
      </c>
      <c r="BJ378" s="28">
        <f>G378*H378</f>
        <v>0</v>
      </c>
      <c r="BK378" s="28"/>
      <c r="BL378" s="28"/>
      <c r="BR378" s="28">
        <f>G378*H378</f>
        <v>0</v>
      </c>
      <c r="BW378" s="28">
        <v>21</v>
      </c>
    </row>
    <row r="379" spans="1:11" ht="15" customHeight="1">
      <c r="A379" s="3" t="s">
        <v>626</v>
      </c>
      <c r="B379" s="43" t="s">
        <v>710</v>
      </c>
      <c r="C379" s="43" t="s">
        <v>626</v>
      </c>
      <c r="D379" s="103" t="s">
        <v>786</v>
      </c>
      <c r="E379" s="104"/>
      <c r="F379" s="37" t="s">
        <v>836</v>
      </c>
      <c r="G379" s="37" t="s">
        <v>836</v>
      </c>
      <c r="H379" s="118" t="s">
        <v>836</v>
      </c>
      <c r="I379" s="119">
        <f>I380+I390+I392+I405+I407+I415+I427+I443+I447</f>
        <v>0</v>
      </c>
      <c r="K379" s="8"/>
    </row>
    <row r="380" spans="1:47" ht="15" customHeight="1">
      <c r="A380" s="3" t="s">
        <v>626</v>
      </c>
      <c r="B380" s="43" t="s">
        <v>710</v>
      </c>
      <c r="C380" s="43" t="s">
        <v>451</v>
      </c>
      <c r="D380" s="103" t="s">
        <v>538</v>
      </c>
      <c r="E380" s="104"/>
      <c r="F380" s="37" t="s">
        <v>836</v>
      </c>
      <c r="G380" s="37" t="s">
        <v>836</v>
      </c>
      <c r="H380" s="118" t="s">
        <v>836</v>
      </c>
      <c r="I380" s="119">
        <f>SUM(I381:I389)</f>
        <v>0</v>
      </c>
      <c r="K380" s="8"/>
      <c r="AI380" s="21" t="s">
        <v>710</v>
      </c>
      <c r="AS380" s="31">
        <f>SUM(AJ381:AJ389)</f>
        <v>0</v>
      </c>
      <c r="AT380" s="31">
        <f>SUM(AK381:AK389)</f>
        <v>0</v>
      </c>
      <c r="AU380" s="31">
        <f>SUM(AL381:AL389)</f>
        <v>0</v>
      </c>
    </row>
    <row r="381" spans="1:75" ht="13.5" customHeight="1">
      <c r="A381" s="38" t="s">
        <v>977</v>
      </c>
      <c r="B381" s="39" t="s">
        <v>710</v>
      </c>
      <c r="C381" s="39" t="s">
        <v>840</v>
      </c>
      <c r="D381" s="50" t="s">
        <v>483</v>
      </c>
      <c r="E381" s="51"/>
      <c r="F381" s="39" t="s">
        <v>228</v>
      </c>
      <c r="G381" s="28">
        <v>1</v>
      </c>
      <c r="H381" s="120">
        <v>0</v>
      </c>
      <c r="I381" s="120">
        <f aca="true" t="shared" si="420" ref="I381:I389">G381*H381</f>
        <v>0</v>
      </c>
      <c r="K381" s="8"/>
      <c r="Z381" s="28">
        <f aca="true" t="shared" si="421" ref="Z381:Z389">IF(AQ381="5",BJ381,0)</f>
        <v>0</v>
      </c>
      <c r="AB381" s="28">
        <f aca="true" t="shared" si="422" ref="AB381:AB389">IF(AQ381="1",BH381,0)</f>
        <v>0</v>
      </c>
      <c r="AC381" s="28">
        <f aca="true" t="shared" si="423" ref="AC381:AC389">IF(AQ381="1",BI381,0)</f>
        <v>0</v>
      </c>
      <c r="AD381" s="28">
        <f aca="true" t="shared" si="424" ref="AD381:AD389">IF(AQ381="7",BH381,0)</f>
        <v>0</v>
      </c>
      <c r="AE381" s="28">
        <f aca="true" t="shared" si="425" ref="AE381:AE389">IF(AQ381="7",BI381,0)</f>
        <v>0</v>
      </c>
      <c r="AF381" s="28">
        <f aca="true" t="shared" si="426" ref="AF381:AF389">IF(AQ381="2",BH381,0)</f>
        <v>0</v>
      </c>
      <c r="AG381" s="28">
        <f aca="true" t="shared" si="427" ref="AG381:AG389">IF(AQ381="2",BI381,0)</f>
        <v>0</v>
      </c>
      <c r="AH381" s="28">
        <f aca="true" t="shared" si="428" ref="AH381:AH389">IF(AQ381="0",BJ381,0)</f>
        <v>0</v>
      </c>
      <c r="AI381" s="21" t="s">
        <v>710</v>
      </c>
      <c r="AJ381" s="28">
        <f aca="true" t="shared" si="429" ref="AJ381:AJ389">IF(AN381=0,I381,0)</f>
        <v>0</v>
      </c>
      <c r="AK381" s="28">
        <f aca="true" t="shared" si="430" ref="AK381:AK389">IF(AN381=12,I381,0)</f>
        <v>0</v>
      </c>
      <c r="AL381" s="28">
        <f aca="true" t="shared" si="431" ref="AL381:AL389">IF(AN381=21,I381,0)</f>
        <v>0</v>
      </c>
      <c r="AN381" s="28">
        <v>21</v>
      </c>
      <c r="AO381" s="28">
        <f>H381*0</f>
        <v>0</v>
      </c>
      <c r="AP381" s="28">
        <f>H381*(1-0)</f>
        <v>0</v>
      </c>
      <c r="AQ381" s="30" t="s">
        <v>893</v>
      </c>
      <c r="AV381" s="28">
        <f aca="true" t="shared" si="432" ref="AV381:AV389">AW381+AX381</f>
        <v>0</v>
      </c>
      <c r="AW381" s="28">
        <f aca="true" t="shared" si="433" ref="AW381:AW389">G381*AO381</f>
        <v>0</v>
      </c>
      <c r="AX381" s="28">
        <f aca="true" t="shared" si="434" ref="AX381:AX389">G381*AP381</f>
        <v>0</v>
      </c>
      <c r="AY381" s="30" t="s">
        <v>792</v>
      </c>
      <c r="AZ381" s="30" t="s">
        <v>193</v>
      </c>
      <c r="BA381" s="21" t="s">
        <v>257</v>
      </c>
      <c r="BC381" s="28">
        <f aca="true" t="shared" si="435" ref="BC381:BC389">AW381+AX381</f>
        <v>0</v>
      </c>
      <c r="BD381" s="28">
        <f aca="true" t="shared" si="436" ref="BD381:BD389">H381/(100-BE381)*100</f>
        <v>0</v>
      </c>
      <c r="BE381" s="28">
        <v>0</v>
      </c>
      <c r="BF381" s="28">
        <f>381</f>
        <v>381</v>
      </c>
      <c r="BH381" s="28">
        <f aca="true" t="shared" si="437" ref="BH381:BH389">G381*AO381</f>
        <v>0</v>
      </c>
      <c r="BI381" s="28">
        <f aca="true" t="shared" si="438" ref="BI381:BI389">G381*AP381</f>
        <v>0</v>
      </c>
      <c r="BJ381" s="28">
        <f aca="true" t="shared" si="439" ref="BJ381:BJ389">G381*H381</f>
        <v>0</v>
      </c>
      <c r="BK381" s="28"/>
      <c r="BL381" s="28">
        <v>0</v>
      </c>
      <c r="BW381" s="28">
        <v>21</v>
      </c>
    </row>
    <row r="382" spans="1:75" ht="13.5" customHeight="1">
      <c r="A382" s="38" t="s">
        <v>192</v>
      </c>
      <c r="B382" s="39" t="s">
        <v>710</v>
      </c>
      <c r="C382" s="39" t="s">
        <v>624</v>
      </c>
      <c r="D382" s="50" t="s">
        <v>763</v>
      </c>
      <c r="E382" s="51"/>
      <c r="F382" s="39" t="s">
        <v>473</v>
      </c>
      <c r="G382" s="28">
        <v>8</v>
      </c>
      <c r="H382" s="120">
        <v>0</v>
      </c>
      <c r="I382" s="120">
        <f t="shared" si="420"/>
        <v>0</v>
      </c>
      <c r="K382" s="8"/>
      <c r="Z382" s="28">
        <f t="shared" si="421"/>
        <v>0</v>
      </c>
      <c r="AB382" s="28">
        <f t="shared" si="422"/>
        <v>0</v>
      </c>
      <c r="AC382" s="28">
        <f t="shared" si="423"/>
        <v>0</v>
      </c>
      <c r="AD382" s="28">
        <f t="shared" si="424"/>
        <v>0</v>
      </c>
      <c r="AE382" s="28">
        <f t="shared" si="425"/>
        <v>0</v>
      </c>
      <c r="AF382" s="28">
        <f t="shared" si="426"/>
        <v>0</v>
      </c>
      <c r="AG382" s="28">
        <f t="shared" si="427"/>
        <v>0</v>
      </c>
      <c r="AH382" s="28">
        <f t="shared" si="428"/>
        <v>0</v>
      </c>
      <c r="AI382" s="21" t="s">
        <v>710</v>
      </c>
      <c r="AJ382" s="28">
        <f t="shared" si="429"/>
        <v>0</v>
      </c>
      <c r="AK382" s="28">
        <f t="shared" si="430"/>
        <v>0</v>
      </c>
      <c r="AL382" s="28">
        <f t="shared" si="431"/>
        <v>0</v>
      </c>
      <c r="AN382" s="28">
        <v>21</v>
      </c>
      <c r="AO382" s="28">
        <f>H382*0</f>
        <v>0</v>
      </c>
      <c r="AP382" s="28">
        <f>H382*(1-0)</f>
        <v>0</v>
      </c>
      <c r="AQ382" s="30" t="s">
        <v>893</v>
      </c>
      <c r="AV382" s="28">
        <f t="shared" si="432"/>
        <v>0</v>
      </c>
      <c r="AW382" s="28">
        <f t="shared" si="433"/>
        <v>0</v>
      </c>
      <c r="AX382" s="28">
        <f t="shared" si="434"/>
        <v>0</v>
      </c>
      <c r="AY382" s="30" t="s">
        <v>792</v>
      </c>
      <c r="AZ382" s="30" t="s">
        <v>193</v>
      </c>
      <c r="BA382" s="21" t="s">
        <v>257</v>
      </c>
      <c r="BC382" s="28">
        <f t="shared" si="435"/>
        <v>0</v>
      </c>
      <c r="BD382" s="28">
        <f t="shared" si="436"/>
        <v>0</v>
      </c>
      <c r="BE382" s="28">
        <v>0</v>
      </c>
      <c r="BF382" s="28">
        <f>382</f>
        <v>382</v>
      </c>
      <c r="BH382" s="28">
        <f t="shared" si="437"/>
        <v>0</v>
      </c>
      <c r="BI382" s="28">
        <f t="shared" si="438"/>
        <v>0</v>
      </c>
      <c r="BJ382" s="28">
        <f t="shared" si="439"/>
        <v>0</v>
      </c>
      <c r="BK382" s="28"/>
      <c r="BL382" s="28">
        <v>0</v>
      </c>
      <c r="BW382" s="28">
        <v>21</v>
      </c>
    </row>
    <row r="383" spans="1:75" ht="27" customHeight="1">
      <c r="A383" s="38" t="s">
        <v>532</v>
      </c>
      <c r="B383" s="39" t="s">
        <v>710</v>
      </c>
      <c r="C383" s="39" t="s">
        <v>618</v>
      </c>
      <c r="D383" s="50" t="s">
        <v>616</v>
      </c>
      <c r="E383" s="51"/>
      <c r="F383" s="39" t="s">
        <v>578</v>
      </c>
      <c r="G383" s="28">
        <v>8</v>
      </c>
      <c r="H383" s="120">
        <v>0</v>
      </c>
      <c r="I383" s="120">
        <f t="shared" si="420"/>
        <v>0</v>
      </c>
      <c r="K383" s="8"/>
      <c r="Z383" s="28">
        <f t="shared" si="421"/>
        <v>0</v>
      </c>
      <c r="AB383" s="28">
        <f t="shared" si="422"/>
        <v>0</v>
      </c>
      <c r="AC383" s="28">
        <f t="shared" si="423"/>
        <v>0</v>
      </c>
      <c r="AD383" s="28">
        <f t="shared" si="424"/>
        <v>0</v>
      </c>
      <c r="AE383" s="28">
        <f t="shared" si="425"/>
        <v>0</v>
      </c>
      <c r="AF383" s="28">
        <f t="shared" si="426"/>
        <v>0</v>
      </c>
      <c r="AG383" s="28">
        <f t="shared" si="427"/>
        <v>0</v>
      </c>
      <c r="AH383" s="28">
        <f t="shared" si="428"/>
        <v>0</v>
      </c>
      <c r="AI383" s="21" t="s">
        <v>710</v>
      </c>
      <c r="AJ383" s="28">
        <f t="shared" si="429"/>
        <v>0</v>
      </c>
      <c r="AK383" s="28">
        <f t="shared" si="430"/>
        <v>0</v>
      </c>
      <c r="AL383" s="28">
        <f t="shared" si="431"/>
        <v>0</v>
      </c>
      <c r="AN383" s="28">
        <v>21</v>
      </c>
      <c r="AO383" s="28">
        <f>H383*0.298352654057352</f>
        <v>0</v>
      </c>
      <c r="AP383" s="28">
        <f>H383*(1-0.298352654057352)</f>
        <v>0</v>
      </c>
      <c r="AQ383" s="30" t="s">
        <v>893</v>
      </c>
      <c r="AV383" s="28">
        <f t="shared" si="432"/>
        <v>0</v>
      </c>
      <c r="AW383" s="28">
        <f t="shared" si="433"/>
        <v>0</v>
      </c>
      <c r="AX383" s="28">
        <f t="shared" si="434"/>
        <v>0</v>
      </c>
      <c r="AY383" s="30" t="s">
        <v>792</v>
      </c>
      <c r="AZ383" s="30" t="s">
        <v>193</v>
      </c>
      <c r="BA383" s="21" t="s">
        <v>257</v>
      </c>
      <c r="BC383" s="28">
        <f t="shared" si="435"/>
        <v>0</v>
      </c>
      <c r="BD383" s="28">
        <f t="shared" si="436"/>
        <v>0</v>
      </c>
      <c r="BE383" s="28">
        <v>0</v>
      </c>
      <c r="BF383" s="28">
        <f>383</f>
        <v>383</v>
      </c>
      <c r="BH383" s="28">
        <f t="shared" si="437"/>
        <v>0</v>
      </c>
      <c r="BI383" s="28">
        <f t="shared" si="438"/>
        <v>0</v>
      </c>
      <c r="BJ383" s="28">
        <f t="shared" si="439"/>
        <v>0</v>
      </c>
      <c r="BK383" s="28"/>
      <c r="BL383" s="28">
        <v>0</v>
      </c>
      <c r="BW383" s="28">
        <v>21</v>
      </c>
    </row>
    <row r="384" spans="1:75" ht="13.5" customHeight="1">
      <c r="A384" s="38" t="s">
        <v>667</v>
      </c>
      <c r="B384" s="39" t="s">
        <v>710</v>
      </c>
      <c r="C384" s="39" t="s">
        <v>181</v>
      </c>
      <c r="D384" s="50" t="s">
        <v>28</v>
      </c>
      <c r="E384" s="51"/>
      <c r="F384" s="39" t="s">
        <v>311</v>
      </c>
      <c r="G384" s="28">
        <v>1</v>
      </c>
      <c r="H384" s="120">
        <v>0</v>
      </c>
      <c r="I384" s="120">
        <f t="shared" si="420"/>
        <v>0</v>
      </c>
      <c r="K384" s="8"/>
      <c r="Z384" s="28">
        <f t="shared" si="421"/>
        <v>0</v>
      </c>
      <c r="AB384" s="28">
        <f t="shared" si="422"/>
        <v>0</v>
      </c>
      <c r="AC384" s="28">
        <f t="shared" si="423"/>
        <v>0</v>
      </c>
      <c r="AD384" s="28">
        <f t="shared" si="424"/>
        <v>0</v>
      </c>
      <c r="AE384" s="28">
        <f t="shared" si="425"/>
        <v>0</v>
      </c>
      <c r="AF384" s="28">
        <f t="shared" si="426"/>
        <v>0</v>
      </c>
      <c r="AG384" s="28">
        <f t="shared" si="427"/>
        <v>0</v>
      </c>
      <c r="AH384" s="28">
        <f t="shared" si="428"/>
        <v>0</v>
      </c>
      <c r="AI384" s="21" t="s">
        <v>710</v>
      </c>
      <c r="AJ384" s="28">
        <f t="shared" si="429"/>
        <v>0</v>
      </c>
      <c r="AK384" s="28">
        <f t="shared" si="430"/>
        <v>0</v>
      </c>
      <c r="AL384" s="28">
        <f t="shared" si="431"/>
        <v>0</v>
      </c>
      <c r="AN384" s="28">
        <v>21</v>
      </c>
      <c r="AO384" s="28">
        <f>H384*0</f>
        <v>0</v>
      </c>
      <c r="AP384" s="28">
        <f>H384*(1-0)</f>
        <v>0</v>
      </c>
      <c r="AQ384" s="30" t="s">
        <v>893</v>
      </c>
      <c r="AV384" s="28">
        <f t="shared" si="432"/>
        <v>0</v>
      </c>
      <c r="AW384" s="28">
        <f t="shared" si="433"/>
        <v>0</v>
      </c>
      <c r="AX384" s="28">
        <f t="shared" si="434"/>
        <v>0</v>
      </c>
      <c r="AY384" s="30" t="s">
        <v>792</v>
      </c>
      <c r="AZ384" s="30" t="s">
        <v>193</v>
      </c>
      <c r="BA384" s="21" t="s">
        <v>257</v>
      </c>
      <c r="BC384" s="28">
        <f t="shared" si="435"/>
        <v>0</v>
      </c>
      <c r="BD384" s="28">
        <f t="shared" si="436"/>
        <v>0</v>
      </c>
      <c r="BE384" s="28">
        <v>0</v>
      </c>
      <c r="BF384" s="28">
        <f>384</f>
        <v>384</v>
      </c>
      <c r="BH384" s="28">
        <f t="shared" si="437"/>
        <v>0</v>
      </c>
      <c r="BI384" s="28">
        <f t="shared" si="438"/>
        <v>0</v>
      </c>
      <c r="BJ384" s="28">
        <f t="shared" si="439"/>
        <v>0</v>
      </c>
      <c r="BK384" s="28"/>
      <c r="BL384" s="28">
        <v>0</v>
      </c>
      <c r="BW384" s="28">
        <v>21</v>
      </c>
    </row>
    <row r="385" spans="1:75" ht="13.5" customHeight="1">
      <c r="A385" s="38" t="s">
        <v>158</v>
      </c>
      <c r="B385" s="39" t="s">
        <v>710</v>
      </c>
      <c r="C385" s="39" t="s">
        <v>370</v>
      </c>
      <c r="D385" s="50" t="s">
        <v>32</v>
      </c>
      <c r="E385" s="51"/>
      <c r="F385" s="39" t="s">
        <v>311</v>
      </c>
      <c r="G385" s="28">
        <v>1</v>
      </c>
      <c r="H385" s="120">
        <v>0</v>
      </c>
      <c r="I385" s="120">
        <f t="shared" si="420"/>
        <v>0</v>
      </c>
      <c r="K385" s="8"/>
      <c r="Z385" s="28">
        <f t="shared" si="421"/>
        <v>0</v>
      </c>
      <c r="AB385" s="28">
        <f t="shared" si="422"/>
        <v>0</v>
      </c>
      <c r="AC385" s="28">
        <f t="shared" si="423"/>
        <v>0</v>
      </c>
      <c r="AD385" s="28">
        <f t="shared" si="424"/>
        <v>0</v>
      </c>
      <c r="AE385" s="28">
        <f t="shared" si="425"/>
        <v>0</v>
      </c>
      <c r="AF385" s="28">
        <f t="shared" si="426"/>
        <v>0</v>
      </c>
      <c r="AG385" s="28">
        <f t="shared" si="427"/>
        <v>0</v>
      </c>
      <c r="AH385" s="28">
        <f t="shared" si="428"/>
        <v>0</v>
      </c>
      <c r="AI385" s="21" t="s">
        <v>710</v>
      </c>
      <c r="AJ385" s="28">
        <f t="shared" si="429"/>
        <v>0</v>
      </c>
      <c r="AK385" s="28">
        <f t="shared" si="430"/>
        <v>0</v>
      </c>
      <c r="AL385" s="28">
        <f t="shared" si="431"/>
        <v>0</v>
      </c>
      <c r="AN385" s="28">
        <v>21</v>
      </c>
      <c r="AO385" s="28">
        <f>H385*0</f>
        <v>0</v>
      </c>
      <c r="AP385" s="28">
        <f>H385*(1-0)</f>
        <v>0</v>
      </c>
      <c r="AQ385" s="30" t="s">
        <v>893</v>
      </c>
      <c r="AV385" s="28">
        <f t="shared" si="432"/>
        <v>0</v>
      </c>
      <c r="AW385" s="28">
        <f t="shared" si="433"/>
        <v>0</v>
      </c>
      <c r="AX385" s="28">
        <f t="shared" si="434"/>
        <v>0</v>
      </c>
      <c r="AY385" s="30" t="s">
        <v>792</v>
      </c>
      <c r="AZ385" s="30" t="s">
        <v>193</v>
      </c>
      <c r="BA385" s="21" t="s">
        <v>257</v>
      </c>
      <c r="BC385" s="28">
        <f t="shared" si="435"/>
        <v>0</v>
      </c>
      <c r="BD385" s="28">
        <f t="shared" si="436"/>
        <v>0</v>
      </c>
      <c r="BE385" s="28">
        <v>0</v>
      </c>
      <c r="BF385" s="28">
        <f>385</f>
        <v>385</v>
      </c>
      <c r="BH385" s="28">
        <f t="shared" si="437"/>
        <v>0</v>
      </c>
      <c r="BI385" s="28">
        <f t="shared" si="438"/>
        <v>0</v>
      </c>
      <c r="BJ385" s="28">
        <f t="shared" si="439"/>
        <v>0</v>
      </c>
      <c r="BK385" s="28"/>
      <c r="BL385" s="28">
        <v>0</v>
      </c>
      <c r="BW385" s="28">
        <v>21</v>
      </c>
    </row>
    <row r="386" spans="1:75" ht="13.5" customHeight="1">
      <c r="A386" s="38" t="s">
        <v>781</v>
      </c>
      <c r="B386" s="39" t="s">
        <v>710</v>
      </c>
      <c r="C386" s="39" t="s">
        <v>861</v>
      </c>
      <c r="D386" s="50" t="s">
        <v>11</v>
      </c>
      <c r="E386" s="51"/>
      <c r="F386" s="39" t="s">
        <v>311</v>
      </c>
      <c r="G386" s="28">
        <v>1</v>
      </c>
      <c r="H386" s="120">
        <v>0</v>
      </c>
      <c r="I386" s="120">
        <f t="shared" si="420"/>
        <v>0</v>
      </c>
      <c r="K386" s="8"/>
      <c r="Z386" s="28">
        <f t="shared" si="421"/>
        <v>0</v>
      </c>
      <c r="AB386" s="28">
        <f t="shared" si="422"/>
        <v>0</v>
      </c>
      <c r="AC386" s="28">
        <f t="shared" si="423"/>
        <v>0</v>
      </c>
      <c r="AD386" s="28">
        <f t="shared" si="424"/>
        <v>0</v>
      </c>
      <c r="AE386" s="28">
        <f t="shared" si="425"/>
        <v>0</v>
      </c>
      <c r="AF386" s="28">
        <f t="shared" si="426"/>
        <v>0</v>
      </c>
      <c r="AG386" s="28">
        <f t="shared" si="427"/>
        <v>0</v>
      </c>
      <c r="AH386" s="28">
        <f t="shared" si="428"/>
        <v>0</v>
      </c>
      <c r="AI386" s="21" t="s">
        <v>710</v>
      </c>
      <c r="AJ386" s="28">
        <f t="shared" si="429"/>
        <v>0</v>
      </c>
      <c r="AK386" s="28">
        <f t="shared" si="430"/>
        <v>0</v>
      </c>
      <c r="AL386" s="28">
        <f t="shared" si="431"/>
        <v>0</v>
      </c>
      <c r="AN386" s="28">
        <v>21</v>
      </c>
      <c r="AO386" s="28">
        <f>H386*0.632508123680949</f>
        <v>0</v>
      </c>
      <c r="AP386" s="28">
        <f>H386*(1-0.632508123680949)</f>
        <v>0</v>
      </c>
      <c r="AQ386" s="30" t="s">
        <v>893</v>
      </c>
      <c r="AV386" s="28">
        <f t="shared" si="432"/>
        <v>0</v>
      </c>
      <c r="AW386" s="28">
        <f t="shared" si="433"/>
        <v>0</v>
      </c>
      <c r="AX386" s="28">
        <f t="shared" si="434"/>
        <v>0</v>
      </c>
      <c r="AY386" s="30" t="s">
        <v>792</v>
      </c>
      <c r="AZ386" s="30" t="s">
        <v>193</v>
      </c>
      <c r="BA386" s="21" t="s">
        <v>257</v>
      </c>
      <c r="BC386" s="28">
        <f t="shared" si="435"/>
        <v>0</v>
      </c>
      <c r="BD386" s="28">
        <f t="shared" si="436"/>
        <v>0</v>
      </c>
      <c r="BE386" s="28">
        <v>0</v>
      </c>
      <c r="BF386" s="28">
        <f>386</f>
        <v>386</v>
      </c>
      <c r="BH386" s="28">
        <f t="shared" si="437"/>
        <v>0</v>
      </c>
      <c r="BI386" s="28">
        <f t="shared" si="438"/>
        <v>0</v>
      </c>
      <c r="BJ386" s="28">
        <f t="shared" si="439"/>
        <v>0</v>
      </c>
      <c r="BK386" s="28"/>
      <c r="BL386" s="28">
        <v>0</v>
      </c>
      <c r="BW386" s="28">
        <v>21</v>
      </c>
    </row>
    <row r="387" spans="1:75" ht="13.5" customHeight="1">
      <c r="A387" s="38" t="s">
        <v>628</v>
      </c>
      <c r="B387" s="39" t="s">
        <v>710</v>
      </c>
      <c r="C387" s="39" t="s">
        <v>526</v>
      </c>
      <c r="D387" s="50" t="s">
        <v>98</v>
      </c>
      <c r="E387" s="51"/>
      <c r="F387" s="39" t="s">
        <v>228</v>
      </c>
      <c r="G387" s="28">
        <v>1</v>
      </c>
      <c r="H387" s="120">
        <v>0</v>
      </c>
      <c r="I387" s="120">
        <f t="shared" si="420"/>
        <v>0</v>
      </c>
      <c r="K387" s="8"/>
      <c r="Z387" s="28">
        <f t="shared" si="421"/>
        <v>0</v>
      </c>
      <c r="AB387" s="28">
        <f t="shared" si="422"/>
        <v>0</v>
      </c>
      <c r="AC387" s="28">
        <f t="shared" si="423"/>
        <v>0</v>
      </c>
      <c r="AD387" s="28">
        <f t="shared" si="424"/>
        <v>0</v>
      </c>
      <c r="AE387" s="28">
        <f t="shared" si="425"/>
        <v>0</v>
      </c>
      <c r="AF387" s="28">
        <f t="shared" si="426"/>
        <v>0</v>
      </c>
      <c r="AG387" s="28">
        <f t="shared" si="427"/>
        <v>0</v>
      </c>
      <c r="AH387" s="28">
        <f t="shared" si="428"/>
        <v>0</v>
      </c>
      <c r="AI387" s="21" t="s">
        <v>710</v>
      </c>
      <c r="AJ387" s="28">
        <f t="shared" si="429"/>
        <v>0</v>
      </c>
      <c r="AK387" s="28">
        <f t="shared" si="430"/>
        <v>0</v>
      </c>
      <c r="AL387" s="28">
        <f t="shared" si="431"/>
        <v>0</v>
      </c>
      <c r="AN387" s="28">
        <v>21</v>
      </c>
      <c r="AO387" s="28">
        <f>H387*0</f>
        <v>0</v>
      </c>
      <c r="AP387" s="28">
        <f>H387*(1-0)</f>
        <v>0</v>
      </c>
      <c r="AQ387" s="30" t="s">
        <v>893</v>
      </c>
      <c r="AV387" s="28">
        <f t="shared" si="432"/>
        <v>0</v>
      </c>
      <c r="AW387" s="28">
        <f t="shared" si="433"/>
        <v>0</v>
      </c>
      <c r="AX387" s="28">
        <f t="shared" si="434"/>
        <v>0</v>
      </c>
      <c r="AY387" s="30" t="s">
        <v>792</v>
      </c>
      <c r="AZ387" s="30" t="s">
        <v>193</v>
      </c>
      <c r="BA387" s="21" t="s">
        <v>257</v>
      </c>
      <c r="BC387" s="28">
        <f t="shared" si="435"/>
        <v>0</v>
      </c>
      <c r="BD387" s="28">
        <f t="shared" si="436"/>
        <v>0</v>
      </c>
      <c r="BE387" s="28">
        <v>0</v>
      </c>
      <c r="BF387" s="28">
        <f>387</f>
        <v>387</v>
      </c>
      <c r="BH387" s="28">
        <f t="shared" si="437"/>
        <v>0</v>
      </c>
      <c r="BI387" s="28">
        <f t="shared" si="438"/>
        <v>0</v>
      </c>
      <c r="BJ387" s="28">
        <f t="shared" si="439"/>
        <v>0</v>
      </c>
      <c r="BK387" s="28"/>
      <c r="BL387" s="28">
        <v>0</v>
      </c>
      <c r="BW387" s="28">
        <v>21</v>
      </c>
    </row>
    <row r="388" spans="1:75" ht="13.5" customHeight="1">
      <c r="A388" s="38" t="s">
        <v>244</v>
      </c>
      <c r="B388" s="39" t="s">
        <v>710</v>
      </c>
      <c r="C388" s="39" t="s">
        <v>476</v>
      </c>
      <c r="D388" s="50" t="s">
        <v>731</v>
      </c>
      <c r="E388" s="51"/>
      <c r="F388" s="39" t="s">
        <v>396</v>
      </c>
      <c r="G388" s="28">
        <v>1.04924</v>
      </c>
      <c r="H388" s="120">
        <v>0</v>
      </c>
      <c r="I388" s="120">
        <f t="shared" si="420"/>
        <v>0</v>
      </c>
      <c r="K388" s="8"/>
      <c r="Z388" s="28">
        <f t="shared" si="421"/>
        <v>0</v>
      </c>
      <c r="AB388" s="28">
        <f t="shared" si="422"/>
        <v>0</v>
      </c>
      <c r="AC388" s="28">
        <f t="shared" si="423"/>
        <v>0</v>
      </c>
      <c r="AD388" s="28">
        <f t="shared" si="424"/>
        <v>0</v>
      </c>
      <c r="AE388" s="28">
        <f t="shared" si="425"/>
        <v>0</v>
      </c>
      <c r="AF388" s="28">
        <f t="shared" si="426"/>
        <v>0</v>
      </c>
      <c r="AG388" s="28">
        <f t="shared" si="427"/>
        <v>0</v>
      </c>
      <c r="AH388" s="28">
        <f t="shared" si="428"/>
        <v>0</v>
      </c>
      <c r="AI388" s="21" t="s">
        <v>710</v>
      </c>
      <c r="AJ388" s="28">
        <f t="shared" si="429"/>
        <v>0</v>
      </c>
      <c r="AK388" s="28">
        <f t="shared" si="430"/>
        <v>0</v>
      </c>
      <c r="AL388" s="28">
        <f t="shared" si="431"/>
        <v>0</v>
      </c>
      <c r="AN388" s="28">
        <v>21</v>
      </c>
      <c r="AO388" s="28">
        <f>H388*0</f>
        <v>0</v>
      </c>
      <c r="AP388" s="28">
        <f>H388*(1-0)</f>
        <v>0</v>
      </c>
      <c r="AQ388" s="30" t="s">
        <v>455</v>
      </c>
      <c r="AV388" s="28">
        <f t="shared" si="432"/>
        <v>0</v>
      </c>
      <c r="AW388" s="28">
        <f t="shared" si="433"/>
        <v>0</v>
      </c>
      <c r="AX388" s="28">
        <f t="shared" si="434"/>
        <v>0</v>
      </c>
      <c r="AY388" s="30" t="s">
        <v>792</v>
      </c>
      <c r="AZ388" s="30" t="s">
        <v>193</v>
      </c>
      <c r="BA388" s="21" t="s">
        <v>257</v>
      </c>
      <c r="BC388" s="28">
        <f t="shared" si="435"/>
        <v>0</v>
      </c>
      <c r="BD388" s="28">
        <f t="shared" si="436"/>
        <v>0</v>
      </c>
      <c r="BE388" s="28">
        <v>0</v>
      </c>
      <c r="BF388" s="28">
        <f>388</f>
        <v>388</v>
      </c>
      <c r="BH388" s="28">
        <f t="shared" si="437"/>
        <v>0</v>
      </c>
      <c r="BI388" s="28">
        <f t="shared" si="438"/>
        <v>0</v>
      </c>
      <c r="BJ388" s="28">
        <f t="shared" si="439"/>
        <v>0</v>
      </c>
      <c r="BK388" s="28"/>
      <c r="BL388" s="28">
        <v>0</v>
      </c>
      <c r="BW388" s="28">
        <v>21</v>
      </c>
    </row>
    <row r="389" spans="1:75" ht="13.5" customHeight="1">
      <c r="A389" s="38" t="s">
        <v>823</v>
      </c>
      <c r="B389" s="39" t="s">
        <v>710</v>
      </c>
      <c r="C389" s="39" t="s">
        <v>169</v>
      </c>
      <c r="D389" s="50" t="s">
        <v>372</v>
      </c>
      <c r="E389" s="51"/>
      <c r="F389" s="39" t="s">
        <v>396</v>
      </c>
      <c r="G389" s="28">
        <v>1.04925</v>
      </c>
      <c r="H389" s="120">
        <v>0</v>
      </c>
      <c r="I389" s="120">
        <f t="shared" si="420"/>
        <v>0</v>
      </c>
      <c r="K389" s="8"/>
      <c r="Z389" s="28">
        <f t="shared" si="421"/>
        <v>0</v>
      </c>
      <c r="AB389" s="28">
        <f t="shared" si="422"/>
        <v>0</v>
      </c>
      <c r="AC389" s="28">
        <f t="shared" si="423"/>
        <v>0</v>
      </c>
      <c r="AD389" s="28">
        <f t="shared" si="424"/>
        <v>0</v>
      </c>
      <c r="AE389" s="28">
        <f t="shared" si="425"/>
        <v>0</v>
      </c>
      <c r="AF389" s="28">
        <f t="shared" si="426"/>
        <v>0</v>
      </c>
      <c r="AG389" s="28">
        <f t="shared" si="427"/>
        <v>0</v>
      </c>
      <c r="AH389" s="28">
        <f t="shared" si="428"/>
        <v>0</v>
      </c>
      <c r="AI389" s="21" t="s">
        <v>710</v>
      </c>
      <c r="AJ389" s="28">
        <f t="shared" si="429"/>
        <v>0</v>
      </c>
      <c r="AK389" s="28">
        <f t="shared" si="430"/>
        <v>0</v>
      </c>
      <c r="AL389" s="28">
        <f t="shared" si="431"/>
        <v>0</v>
      </c>
      <c r="AN389" s="28">
        <v>21</v>
      </c>
      <c r="AO389" s="28">
        <f>H389*0</f>
        <v>0</v>
      </c>
      <c r="AP389" s="28">
        <f>H389*(1-0)</f>
        <v>0</v>
      </c>
      <c r="AQ389" s="30" t="s">
        <v>455</v>
      </c>
      <c r="AV389" s="28">
        <f t="shared" si="432"/>
        <v>0</v>
      </c>
      <c r="AW389" s="28">
        <f t="shared" si="433"/>
        <v>0</v>
      </c>
      <c r="AX389" s="28">
        <f t="shared" si="434"/>
        <v>0</v>
      </c>
      <c r="AY389" s="30" t="s">
        <v>792</v>
      </c>
      <c r="AZ389" s="30" t="s">
        <v>193</v>
      </c>
      <c r="BA389" s="21" t="s">
        <v>257</v>
      </c>
      <c r="BC389" s="28">
        <f t="shared" si="435"/>
        <v>0</v>
      </c>
      <c r="BD389" s="28">
        <f t="shared" si="436"/>
        <v>0</v>
      </c>
      <c r="BE389" s="28">
        <v>0</v>
      </c>
      <c r="BF389" s="28">
        <f>389</f>
        <v>389</v>
      </c>
      <c r="BH389" s="28">
        <f t="shared" si="437"/>
        <v>0</v>
      </c>
      <c r="BI389" s="28">
        <f t="shared" si="438"/>
        <v>0</v>
      </c>
      <c r="BJ389" s="28">
        <f t="shared" si="439"/>
        <v>0</v>
      </c>
      <c r="BK389" s="28"/>
      <c r="BL389" s="28">
        <v>0</v>
      </c>
      <c r="BW389" s="28">
        <v>21</v>
      </c>
    </row>
    <row r="390" spans="1:47" ht="15" customHeight="1">
      <c r="A390" s="3" t="s">
        <v>626</v>
      </c>
      <c r="B390" s="43" t="s">
        <v>710</v>
      </c>
      <c r="C390" s="43" t="s">
        <v>724</v>
      </c>
      <c r="D390" s="103" t="s">
        <v>775</v>
      </c>
      <c r="E390" s="104"/>
      <c r="F390" s="37" t="s">
        <v>836</v>
      </c>
      <c r="G390" s="37" t="s">
        <v>836</v>
      </c>
      <c r="H390" s="118" t="s">
        <v>836</v>
      </c>
      <c r="I390" s="119">
        <f>SUM(I391:I391)</f>
        <v>0</v>
      </c>
      <c r="K390" s="8"/>
      <c r="AI390" s="21" t="s">
        <v>710</v>
      </c>
      <c r="AS390" s="31">
        <f>SUM(AJ391:AJ391)</f>
        <v>0</v>
      </c>
      <c r="AT390" s="31">
        <f>SUM(AK391:AK391)</f>
        <v>0</v>
      </c>
      <c r="AU390" s="31">
        <f>SUM(AL391:AL391)</f>
        <v>0</v>
      </c>
    </row>
    <row r="391" spans="1:75" ht="13.5" customHeight="1">
      <c r="A391" s="38" t="s">
        <v>987</v>
      </c>
      <c r="B391" s="39" t="s">
        <v>710</v>
      </c>
      <c r="C391" s="39" t="s">
        <v>431</v>
      </c>
      <c r="D391" s="50" t="s">
        <v>549</v>
      </c>
      <c r="E391" s="51"/>
      <c r="F391" s="39" t="s">
        <v>741</v>
      </c>
      <c r="G391" s="28">
        <v>20</v>
      </c>
      <c r="H391" s="120">
        <v>0</v>
      </c>
      <c r="I391" s="120">
        <f>G391*H391</f>
        <v>0</v>
      </c>
      <c r="K391" s="8"/>
      <c r="Z391" s="28">
        <f>IF(AQ391="5",BJ391,0)</f>
        <v>0</v>
      </c>
      <c r="AB391" s="28">
        <f>IF(AQ391="1",BH391,0)</f>
        <v>0</v>
      </c>
      <c r="AC391" s="28">
        <f>IF(AQ391="1",BI391,0)</f>
        <v>0</v>
      </c>
      <c r="AD391" s="28">
        <f>IF(AQ391="7",BH391,0)</f>
        <v>0</v>
      </c>
      <c r="AE391" s="28">
        <f>IF(AQ391="7",BI391,0)</f>
        <v>0</v>
      </c>
      <c r="AF391" s="28">
        <f>IF(AQ391="2",BH391,0)</f>
        <v>0</v>
      </c>
      <c r="AG391" s="28">
        <f>IF(AQ391="2",BI391,0)</f>
        <v>0</v>
      </c>
      <c r="AH391" s="28">
        <f>IF(AQ391="0",BJ391,0)</f>
        <v>0</v>
      </c>
      <c r="AI391" s="21" t="s">
        <v>710</v>
      </c>
      <c r="AJ391" s="28">
        <f>IF(AN391=0,I391,0)</f>
        <v>0</v>
      </c>
      <c r="AK391" s="28">
        <f>IF(AN391=12,I391,0)</f>
        <v>0</v>
      </c>
      <c r="AL391" s="28">
        <f>IF(AN391=21,I391,0)</f>
        <v>0</v>
      </c>
      <c r="AN391" s="28">
        <v>21</v>
      </c>
      <c r="AO391" s="28">
        <f>H391*0</f>
        <v>0</v>
      </c>
      <c r="AP391" s="28">
        <f>H391*(1-0)</f>
        <v>0</v>
      </c>
      <c r="AQ391" s="30" t="s">
        <v>900</v>
      </c>
      <c r="AV391" s="28">
        <f>AW391+AX391</f>
        <v>0</v>
      </c>
      <c r="AW391" s="28">
        <f>G391*AO391</f>
        <v>0</v>
      </c>
      <c r="AX391" s="28">
        <f>G391*AP391</f>
        <v>0</v>
      </c>
      <c r="AY391" s="30" t="s">
        <v>698</v>
      </c>
      <c r="AZ391" s="30" t="s">
        <v>173</v>
      </c>
      <c r="BA391" s="21" t="s">
        <v>257</v>
      </c>
      <c r="BC391" s="28">
        <f>AW391+AX391</f>
        <v>0</v>
      </c>
      <c r="BD391" s="28">
        <f>H391/(100-BE391)*100</f>
        <v>0</v>
      </c>
      <c r="BE391" s="28">
        <v>0</v>
      </c>
      <c r="BF391" s="28">
        <f>391</f>
        <v>391</v>
      </c>
      <c r="BH391" s="28">
        <f>G391*AO391</f>
        <v>0</v>
      </c>
      <c r="BI391" s="28">
        <f>G391*AP391</f>
        <v>0</v>
      </c>
      <c r="BJ391" s="28">
        <f>G391*H391</f>
        <v>0</v>
      </c>
      <c r="BK391" s="28"/>
      <c r="BL391" s="28">
        <v>713</v>
      </c>
      <c r="BW391" s="28">
        <v>21</v>
      </c>
    </row>
    <row r="392" spans="1:47" ht="15" customHeight="1">
      <c r="A392" s="3" t="s">
        <v>626</v>
      </c>
      <c r="B392" s="43" t="s">
        <v>710</v>
      </c>
      <c r="C392" s="43" t="s">
        <v>812</v>
      </c>
      <c r="D392" s="103" t="s">
        <v>547</v>
      </c>
      <c r="E392" s="104"/>
      <c r="F392" s="37" t="s">
        <v>836</v>
      </c>
      <c r="G392" s="37" t="s">
        <v>836</v>
      </c>
      <c r="H392" s="118" t="s">
        <v>836</v>
      </c>
      <c r="I392" s="119">
        <f>SUM(I393:I404)</f>
        <v>0</v>
      </c>
      <c r="K392" s="8"/>
      <c r="AI392" s="21" t="s">
        <v>710</v>
      </c>
      <c r="AS392" s="31">
        <f>SUM(AJ393:AJ404)</f>
        <v>0</v>
      </c>
      <c r="AT392" s="31">
        <f>SUM(AK393:AK404)</f>
        <v>0</v>
      </c>
      <c r="AU392" s="31">
        <f>SUM(AL393:AL404)</f>
        <v>0</v>
      </c>
    </row>
    <row r="393" spans="1:75" ht="13.5" customHeight="1">
      <c r="A393" s="38" t="s">
        <v>649</v>
      </c>
      <c r="B393" s="39" t="s">
        <v>710</v>
      </c>
      <c r="C393" s="39" t="s">
        <v>378</v>
      </c>
      <c r="D393" s="50" t="s">
        <v>847</v>
      </c>
      <c r="E393" s="51"/>
      <c r="F393" s="39" t="s">
        <v>228</v>
      </c>
      <c r="G393" s="28">
        <v>8</v>
      </c>
      <c r="H393" s="120">
        <v>0</v>
      </c>
      <c r="I393" s="120">
        <f aca="true" t="shared" si="440" ref="I393:I404">G393*H393</f>
        <v>0</v>
      </c>
      <c r="K393" s="8"/>
      <c r="Z393" s="28">
        <f aca="true" t="shared" si="441" ref="Z393:Z404">IF(AQ393="5",BJ393,0)</f>
        <v>0</v>
      </c>
      <c r="AB393" s="28">
        <f aca="true" t="shared" si="442" ref="AB393:AB404">IF(AQ393="1",BH393,0)</f>
        <v>0</v>
      </c>
      <c r="AC393" s="28">
        <f aca="true" t="shared" si="443" ref="AC393:AC404">IF(AQ393="1",BI393,0)</f>
        <v>0</v>
      </c>
      <c r="AD393" s="28">
        <f aca="true" t="shared" si="444" ref="AD393:AD404">IF(AQ393="7",BH393,0)</f>
        <v>0</v>
      </c>
      <c r="AE393" s="28">
        <f aca="true" t="shared" si="445" ref="AE393:AE404">IF(AQ393="7",BI393,0)</f>
        <v>0</v>
      </c>
      <c r="AF393" s="28">
        <f aca="true" t="shared" si="446" ref="AF393:AF404">IF(AQ393="2",BH393,0)</f>
        <v>0</v>
      </c>
      <c r="AG393" s="28">
        <f aca="true" t="shared" si="447" ref="AG393:AG404">IF(AQ393="2",BI393,0)</f>
        <v>0</v>
      </c>
      <c r="AH393" s="28">
        <f aca="true" t="shared" si="448" ref="AH393:AH404">IF(AQ393="0",BJ393,0)</f>
        <v>0</v>
      </c>
      <c r="AI393" s="21" t="s">
        <v>710</v>
      </c>
      <c r="AJ393" s="28">
        <f aca="true" t="shared" si="449" ref="AJ393:AJ404">IF(AN393=0,I393,0)</f>
        <v>0</v>
      </c>
      <c r="AK393" s="28">
        <f aca="true" t="shared" si="450" ref="AK393:AK404">IF(AN393=12,I393,0)</f>
        <v>0</v>
      </c>
      <c r="AL393" s="28">
        <f aca="true" t="shared" si="451" ref="AL393:AL404">IF(AN393=21,I393,0)</f>
        <v>0</v>
      </c>
      <c r="AN393" s="28">
        <v>21</v>
      </c>
      <c r="AO393" s="28">
        <f>H393*0</f>
        <v>0</v>
      </c>
      <c r="AP393" s="28">
        <f>H393*(1-0)</f>
        <v>0</v>
      </c>
      <c r="AQ393" s="30" t="s">
        <v>900</v>
      </c>
      <c r="AV393" s="28">
        <f aca="true" t="shared" si="452" ref="AV393:AV404">AW393+AX393</f>
        <v>0</v>
      </c>
      <c r="AW393" s="28">
        <f aca="true" t="shared" si="453" ref="AW393:AW404">G393*AO393</f>
        <v>0</v>
      </c>
      <c r="AX393" s="28">
        <f aca="true" t="shared" si="454" ref="AX393:AX404">G393*AP393</f>
        <v>0</v>
      </c>
      <c r="AY393" s="30" t="s">
        <v>562</v>
      </c>
      <c r="AZ393" s="30" t="s">
        <v>640</v>
      </c>
      <c r="BA393" s="21" t="s">
        <v>257</v>
      </c>
      <c r="BC393" s="28">
        <f aca="true" t="shared" si="455" ref="BC393:BC404">AW393+AX393</f>
        <v>0</v>
      </c>
      <c r="BD393" s="28">
        <f aca="true" t="shared" si="456" ref="BD393:BD404">H393/(100-BE393)*100</f>
        <v>0</v>
      </c>
      <c r="BE393" s="28">
        <v>0</v>
      </c>
      <c r="BF393" s="28">
        <f>393</f>
        <v>393</v>
      </c>
      <c r="BH393" s="28">
        <f aca="true" t="shared" si="457" ref="BH393:BH404">G393*AO393</f>
        <v>0</v>
      </c>
      <c r="BI393" s="28">
        <f aca="true" t="shared" si="458" ref="BI393:BI404">G393*AP393</f>
        <v>0</v>
      </c>
      <c r="BJ393" s="28">
        <f aca="true" t="shared" si="459" ref="BJ393:BJ404">G393*H393</f>
        <v>0</v>
      </c>
      <c r="BK393" s="28"/>
      <c r="BL393" s="28">
        <v>722</v>
      </c>
      <c r="BW393" s="28">
        <v>21</v>
      </c>
    </row>
    <row r="394" spans="1:75" ht="13.5" customHeight="1">
      <c r="A394" s="38" t="s">
        <v>740</v>
      </c>
      <c r="B394" s="39" t="s">
        <v>710</v>
      </c>
      <c r="C394" s="39" t="s">
        <v>221</v>
      </c>
      <c r="D394" s="50" t="s">
        <v>892</v>
      </c>
      <c r="E394" s="51"/>
      <c r="F394" s="39" t="s">
        <v>741</v>
      </c>
      <c r="G394" s="28">
        <v>8</v>
      </c>
      <c r="H394" s="120">
        <v>0</v>
      </c>
      <c r="I394" s="120">
        <f t="shared" si="440"/>
        <v>0</v>
      </c>
      <c r="K394" s="8"/>
      <c r="Z394" s="28">
        <f t="shared" si="441"/>
        <v>0</v>
      </c>
      <c r="AB394" s="28">
        <f t="shared" si="442"/>
        <v>0</v>
      </c>
      <c r="AC394" s="28">
        <f t="shared" si="443"/>
        <v>0</v>
      </c>
      <c r="AD394" s="28">
        <f t="shared" si="444"/>
        <v>0</v>
      </c>
      <c r="AE394" s="28">
        <f t="shared" si="445"/>
        <v>0</v>
      </c>
      <c r="AF394" s="28">
        <f t="shared" si="446"/>
        <v>0</v>
      </c>
      <c r="AG394" s="28">
        <f t="shared" si="447"/>
        <v>0</v>
      </c>
      <c r="AH394" s="28">
        <f t="shared" si="448"/>
        <v>0</v>
      </c>
      <c r="AI394" s="21" t="s">
        <v>710</v>
      </c>
      <c r="AJ394" s="28">
        <f t="shared" si="449"/>
        <v>0</v>
      </c>
      <c r="AK394" s="28">
        <f t="shared" si="450"/>
        <v>0</v>
      </c>
      <c r="AL394" s="28">
        <f t="shared" si="451"/>
        <v>0</v>
      </c>
      <c r="AN394" s="28">
        <v>21</v>
      </c>
      <c r="AO394" s="28">
        <f>H394*0</f>
        <v>0</v>
      </c>
      <c r="AP394" s="28">
        <f>H394*(1-0)</f>
        <v>0</v>
      </c>
      <c r="AQ394" s="30" t="s">
        <v>900</v>
      </c>
      <c r="AV394" s="28">
        <f t="shared" si="452"/>
        <v>0</v>
      </c>
      <c r="AW394" s="28">
        <f t="shared" si="453"/>
        <v>0</v>
      </c>
      <c r="AX394" s="28">
        <f t="shared" si="454"/>
        <v>0</v>
      </c>
      <c r="AY394" s="30" t="s">
        <v>562</v>
      </c>
      <c r="AZ394" s="30" t="s">
        <v>640</v>
      </c>
      <c r="BA394" s="21" t="s">
        <v>257</v>
      </c>
      <c r="BC394" s="28">
        <f t="shared" si="455"/>
        <v>0</v>
      </c>
      <c r="BD394" s="28">
        <f t="shared" si="456"/>
        <v>0</v>
      </c>
      <c r="BE394" s="28">
        <v>0</v>
      </c>
      <c r="BF394" s="28">
        <f>394</f>
        <v>394</v>
      </c>
      <c r="BH394" s="28">
        <f t="shared" si="457"/>
        <v>0</v>
      </c>
      <c r="BI394" s="28">
        <f t="shared" si="458"/>
        <v>0</v>
      </c>
      <c r="BJ394" s="28">
        <f t="shared" si="459"/>
        <v>0</v>
      </c>
      <c r="BK394" s="28"/>
      <c r="BL394" s="28">
        <v>722</v>
      </c>
      <c r="BW394" s="28">
        <v>21</v>
      </c>
    </row>
    <row r="395" spans="1:75" ht="13.5" customHeight="1">
      <c r="A395" s="38" t="s">
        <v>605</v>
      </c>
      <c r="B395" s="39" t="s">
        <v>710</v>
      </c>
      <c r="C395" s="39" t="s">
        <v>132</v>
      </c>
      <c r="D395" s="50" t="s">
        <v>240</v>
      </c>
      <c r="E395" s="51"/>
      <c r="F395" s="39" t="s">
        <v>228</v>
      </c>
      <c r="G395" s="28">
        <v>2</v>
      </c>
      <c r="H395" s="120">
        <v>0</v>
      </c>
      <c r="I395" s="120">
        <f t="shared" si="440"/>
        <v>0</v>
      </c>
      <c r="K395" s="8"/>
      <c r="Z395" s="28">
        <f t="shared" si="441"/>
        <v>0</v>
      </c>
      <c r="AB395" s="28">
        <f t="shared" si="442"/>
        <v>0</v>
      </c>
      <c r="AC395" s="28">
        <f t="shared" si="443"/>
        <v>0</v>
      </c>
      <c r="AD395" s="28">
        <f t="shared" si="444"/>
        <v>0</v>
      </c>
      <c r="AE395" s="28">
        <f t="shared" si="445"/>
        <v>0</v>
      </c>
      <c r="AF395" s="28">
        <f t="shared" si="446"/>
        <v>0</v>
      </c>
      <c r="AG395" s="28">
        <f t="shared" si="447"/>
        <v>0</v>
      </c>
      <c r="AH395" s="28">
        <f t="shared" si="448"/>
        <v>0</v>
      </c>
      <c r="AI395" s="21" t="s">
        <v>710</v>
      </c>
      <c r="AJ395" s="28">
        <f t="shared" si="449"/>
        <v>0</v>
      </c>
      <c r="AK395" s="28">
        <f t="shared" si="450"/>
        <v>0</v>
      </c>
      <c r="AL395" s="28">
        <f t="shared" si="451"/>
        <v>0</v>
      </c>
      <c r="AN395" s="28">
        <v>21</v>
      </c>
      <c r="AO395" s="28">
        <f>H395*0.635584415584416</f>
        <v>0</v>
      </c>
      <c r="AP395" s="28">
        <f>H395*(1-0.635584415584416)</f>
        <v>0</v>
      </c>
      <c r="AQ395" s="30" t="s">
        <v>900</v>
      </c>
      <c r="AV395" s="28">
        <f t="shared" si="452"/>
        <v>0</v>
      </c>
      <c r="AW395" s="28">
        <f t="shared" si="453"/>
        <v>0</v>
      </c>
      <c r="AX395" s="28">
        <f t="shared" si="454"/>
        <v>0</v>
      </c>
      <c r="AY395" s="30" t="s">
        <v>562</v>
      </c>
      <c r="AZ395" s="30" t="s">
        <v>640</v>
      </c>
      <c r="BA395" s="21" t="s">
        <v>257</v>
      </c>
      <c r="BC395" s="28">
        <f t="shared" si="455"/>
        <v>0</v>
      </c>
      <c r="BD395" s="28">
        <f t="shared" si="456"/>
        <v>0</v>
      </c>
      <c r="BE395" s="28">
        <v>0</v>
      </c>
      <c r="BF395" s="28">
        <f>395</f>
        <v>395</v>
      </c>
      <c r="BH395" s="28">
        <f t="shared" si="457"/>
        <v>0</v>
      </c>
      <c r="BI395" s="28">
        <f t="shared" si="458"/>
        <v>0</v>
      </c>
      <c r="BJ395" s="28">
        <f t="shared" si="459"/>
        <v>0</v>
      </c>
      <c r="BK395" s="28"/>
      <c r="BL395" s="28">
        <v>722</v>
      </c>
      <c r="BW395" s="28">
        <v>21</v>
      </c>
    </row>
    <row r="396" spans="1:75" ht="13.5" customHeight="1">
      <c r="A396" s="38" t="s">
        <v>481</v>
      </c>
      <c r="B396" s="39" t="s">
        <v>710</v>
      </c>
      <c r="C396" s="39" t="s">
        <v>656</v>
      </c>
      <c r="D396" s="50" t="s">
        <v>1033</v>
      </c>
      <c r="E396" s="51"/>
      <c r="F396" s="39" t="s">
        <v>741</v>
      </c>
      <c r="G396" s="28">
        <v>8</v>
      </c>
      <c r="H396" s="120">
        <v>0</v>
      </c>
      <c r="I396" s="120">
        <f t="shared" si="440"/>
        <v>0</v>
      </c>
      <c r="K396" s="8"/>
      <c r="Z396" s="28">
        <f t="shared" si="441"/>
        <v>0</v>
      </c>
      <c r="AB396" s="28">
        <f t="shared" si="442"/>
        <v>0</v>
      </c>
      <c r="AC396" s="28">
        <f t="shared" si="443"/>
        <v>0</v>
      </c>
      <c r="AD396" s="28">
        <f t="shared" si="444"/>
        <v>0</v>
      </c>
      <c r="AE396" s="28">
        <f t="shared" si="445"/>
        <v>0</v>
      </c>
      <c r="AF396" s="28">
        <f t="shared" si="446"/>
        <v>0</v>
      </c>
      <c r="AG396" s="28">
        <f t="shared" si="447"/>
        <v>0</v>
      </c>
      <c r="AH396" s="28">
        <f t="shared" si="448"/>
        <v>0</v>
      </c>
      <c r="AI396" s="21" t="s">
        <v>710</v>
      </c>
      <c r="AJ396" s="28">
        <f t="shared" si="449"/>
        <v>0</v>
      </c>
      <c r="AK396" s="28">
        <f t="shared" si="450"/>
        <v>0</v>
      </c>
      <c r="AL396" s="28">
        <f t="shared" si="451"/>
        <v>0</v>
      </c>
      <c r="AN396" s="28">
        <v>21</v>
      </c>
      <c r="AO396" s="28">
        <f>H396*0.388270254929131</f>
        <v>0</v>
      </c>
      <c r="AP396" s="28">
        <f>H396*(1-0.388270254929131)</f>
        <v>0</v>
      </c>
      <c r="AQ396" s="30" t="s">
        <v>900</v>
      </c>
      <c r="AV396" s="28">
        <f t="shared" si="452"/>
        <v>0</v>
      </c>
      <c r="AW396" s="28">
        <f t="shared" si="453"/>
        <v>0</v>
      </c>
      <c r="AX396" s="28">
        <f t="shared" si="454"/>
        <v>0</v>
      </c>
      <c r="AY396" s="30" t="s">
        <v>562</v>
      </c>
      <c r="AZ396" s="30" t="s">
        <v>640</v>
      </c>
      <c r="BA396" s="21" t="s">
        <v>257</v>
      </c>
      <c r="BC396" s="28">
        <f t="shared" si="455"/>
        <v>0</v>
      </c>
      <c r="BD396" s="28">
        <f t="shared" si="456"/>
        <v>0</v>
      </c>
      <c r="BE396" s="28">
        <v>0</v>
      </c>
      <c r="BF396" s="28">
        <f>396</f>
        <v>396</v>
      </c>
      <c r="BH396" s="28">
        <f t="shared" si="457"/>
        <v>0</v>
      </c>
      <c r="BI396" s="28">
        <f t="shared" si="458"/>
        <v>0</v>
      </c>
      <c r="BJ396" s="28">
        <f t="shared" si="459"/>
        <v>0</v>
      </c>
      <c r="BK396" s="28"/>
      <c r="BL396" s="28">
        <v>722</v>
      </c>
      <c r="BW396" s="28">
        <v>21</v>
      </c>
    </row>
    <row r="397" spans="1:75" ht="13.5" customHeight="1">
      <c r="A397" s="38" t="s">
        <v>690</v>
      </c>
      <c r="B397" s="39" t="s">
        <v>710</v>
      </c>
      <c r="C397" s="39" t="s">
        <v>88</v>
      </c>
      <c r="D397" s="50" t="s">
        <v>1062</v>
      </c>
      <c r="E397" s="51"/>
      <c r="F397" s="39" t="s">
        <v>741</v>
      </c>
      <c r="G397" s="28">
        <v>4</v>
      </c>
      <c r="H397" s="120">
        <v>0</v>
      </c>
      <c r="I397" s="120">
        <f t="shared" si="440"/>
        <v>0</v>
      </c>
      <c r="K397" s="8"/>
      <c r="Z397" s="28">
        <f t="shared" si="441"/>
        <v>0</v>
      </c>
      <c r="AB397" s="28">
        <f t="shared" si="442"/>
        <v>0</v>
      </c>
      <c r="AC397" s="28">
        <f t="shared" si="443"/>
        <v>0</v>
      </c>
      <c r="AD397" s="28">
        <f t="shared" si="444"/>
        <v>0</v>
      </c>
      <c r="AE397" s="28">
        <f t="shared" si="445"/>
        <v>0</v>
      </c>
      <c r="AF397" s="28">
        <f t="shared" si="446"/>
        <v>0</v>
      </c>
      <c r="AG397" s="28">
        <f t="shared" si="447"/>
        <v>0</v>
      </c>
      <c r="AH397" s="28">
        <f t="shared" si="448"/>
        <v>0</v>
      </c>
      <c r="AI397" s="21" t="s">
        <v>710</v>
      </c>
      <c r="AJ397" s="28">
        <f t="shared" si="449"/>
        <v>0</v>
      </c>
      <c r="AK397" s="28">
        <f t="shared" si="450"/>
        <v>0</v>
      </c>
      <c r="AL397" s="28">
        <f t="shared" si="451"/>
        <v>0</v>
      </c>
      <c r="AN397" s="28">
        <v>21</v>
      </c>
      <c r="AO397" s="28">
        <f>H397*0.628405063291139</f>
        <v>0</v>
      </c>
      <c r="AP397" s="28">
        <f>H397*(1-0.628405063291139)</f>
        <v>0</v>
      </c>
      <c r="AQ397" s="30" t="s">
        <v>900</v>
      </c>
      <c r="AV397" s="28">
        <f t="shared" si="452"/>
        <v>0</v>
      </c>
      <c r="AW397" s="28">
        <f t="shared" si="453"/>
        <v>0</v>
      </c>
      <c r="AX397" s="28">
        <f t="shared" si="454"/>
        <v>0</v>
      </c>
      <c r="AY397" s="30" t="s">
        <v>562</v>
      </c>
      <c r="AZ397" s="30" t="s">
        <v>640</v>
      </c>
      <c r="BA397" s="21" t="s">
        <v>257</v>
      </c>
      <c r="BC397" s="28">
        <f t="shared" si="455"/>
        <v>0</v>
      </c>
      <c r="BD397" s="28">
        <f t="shared" si="456"/>
        <v>0</v>
      </c>
      <c r="BE397" s="28">
        <v>0</v>
      </c>
      <c r="BF397" s="28">
        <f>397</f>
        <v>397</v>
      </c>
      <c r="BH397" s="28">
        <f t="shared" si="457"/>
        <v>0</v>
      </c>
      <c r="BI397" s="28">
        <f t="shared" si="458"/>
        <v>0</v>
      </c>
      <c r="BJ397" s="28">
        <f t="shared" si="459"/>
        <v>0</v>
      </c>
      <c r="BK397" s="28"/>
      <c r="BL397" s="28">
        <v>722</v>
      </c>
      <c r="BW397" s="28">
        <v>21</v>
      </c>
    </row>
    <row r="398" spans="1:75" ht="13.5" customHeight="1">
      <c r="A398" s="38" t="s">
        <v>680</v>
      </c>
      <c r="B398" s="39" t="s">
        <v>710</v>
      </c>
      <c r="C398" s="39" t="s">
        <v>946</v>
      </c>
      <c r="D398" s="50" t="s">
        <v>1063</v>
      </c>
      <c r="E398" s="51"/>
      <c r="F398" s="39" t="s">
        <v>741</v>
      </c>
      <c r="G398" s="28">
        <v>4</v>
      </c>
      <c r="H398" s="120">
        <v>0</v>
      </c>
      <c r="I398" s="120">
        <f t="shared" si="440"/>
        <v>0</v>
      </c>
      <c r="K398" s="8"/>
      <c r="Z398" s="28">
        <f t="shared" si="441"/>
        <v>0</v>
      </c>
      <c r="AB398" s="28">
        <f t="shared" si="442"/>
        <v>0</v>
      </c>
      <c r="AC398" s="28">
        <f t="shared" si="443"/>
        <v>0</v>
      </c>
      <c r="AD398" s="28">
        <f t="shared" si="444"/>
        <v>0</v>
      </c>
      <c r="AE398" s="28">
        <f t="shared" si="445"/>
        <v>0</v>
      </c>
      <c r="AF398" s="28">
        <f t="shared" si="446"/>
        <v>0</v>
      </c>
      <c r="AG398" s="28">
        <f t="shared" si="447"/>
        <v>0</v>
      </c>
      <c r="AH398" s="28">
        <f t="shared" si="448"/>
        <v>0</v>
      </c>
      <c r="AI398" s="21" t="s">
        <v>710</v>
      </c>
      <c r="AJ398" s="28">
        <f t="shared" si="449"/>
        <v>0</v>
      </c>
      <c r="AK398" s="28">
        <f t="shared" si="450"/>
        <v>0</v>
      </c>
      <c r="AL398" s="28">
        <f t="shared" si="451"/>
        <v>0</v>
      </c>
      <c r="AN398" s="28">
        <v>21</v>
      </c>
      <c r="AO398" s="28">
        <f>H398*0.373931824584468</f>
        <v>0</v>
      </c>
      <c r="AP398" s="28">
        <f>H398*(1-0.373931824584468)</f>
        <v>0</v>
      </c>
      <c r="AQ398" s="30" t="s">
        <v>900</v>
      </c>
      <c r="AV398" s="28">
        <f t="shared" si="452"/>
        <v>0</v>
      </c>
      <c r="AW398" s="28">
        <f t="shared" si="453"/>
        <v>0</v>
      </c>
      <c r="AX398" s="28">
        <f t="shared" si="454"/>
        <v>0</v>
      </c>
      <c r="AY398" s="30" t="s">
        <v>562</v>
      </c>
      <c r="AZ398" s="30" t="s">
        <v>640</v>
      </c>
      <c r="BA398" s="21" t="s">
        <v>257</v>
      </c>
      <c r="BC398" s="28">
        <f t="shared" si="455"/>
        <v>0</v>
      </c>
      <c r="BD398" s="28">
        <f t="shared" si="456"/>
        <v>0</v>
      </c>
      <c r="BE398" s="28">
        <v>0</v>
      </c>
      <c r="BF398" s="28">
        <f>398</f>
        <v>398</v>
      </c>
      <c r="BH398" s="28">
        <f t="shared" si="457"/>
        <v>0</v>
      </c>
      <c r="BI398" s="28">
        <f t="shared" si="458"/>
        <v>0</v>
      </c>
      <c r="BJ398" s="28">
        <f t="shared" si="459"/>
        <v>0</v>
      </c>
      <c r="BK398" s="28"/>
      <c r="BL398" s="28">
        <v>722</v>
      </c>
      <c r="BW398" s="28">
        <v>21</v>
      </c>
    </row>
    <row r="399" spans="1:75" ht="13.5" customHeight="1">
      <c r="A399" s="38" t="s">
        <v>317</v>
      </c>
      <c r="B399" s="39" t="s">
        <v>710</v>
      </c>
      <c r="C399" s="39" t="s">
        <v>156</v>
      </c>
      <c r="D399" s="50" t="s">
        <v>330</v>
      </c>
      <c r="E399" s="51"/>
      <c r="F399" s="39" t="s">
        <v>228</v>
      </c>
      <c r="G399" s="28">
        <v>1</v>
      </c>
      <c r="H399" s="120">
        <v>0</v>
      </c>
      <c r="I399" s="120">
        <f t="shared" si="440"/>
        <v>0</v>
      </c>
      <c r="K399" s="8"/>
      <c r="Z399" s="28">
        <f t="shared" si="441"/>
        <v>0</v>
      </c>
      <c r="AB399" s="28">
        <f t="shared" si="442"/>
        <v>0</v>
      </c>
      <c r="AC399" s="28">
        <f t="shared" si="443"/>
        <v>0</v>
      </c>
      <c r="AD399" s="28">
        <f t="shared" si="444"/>
        <v>0</v>
      </c>
      <c r="AE399" s="28">
        <f t="shared" si="445"/>
        <v>0</v>
      </c>
      <c r="AF399" s="28">
        <f t="shared" si="446"/>
        <v>0</v>
      </c>
      <c r="AG399" s="28">
        <f t="shared" si="447"/>
        <v>0</v>
      </c>
      <c r="AH399" s="28">
        <f t="shared" si="448"/>
        <v>0</v>
      </c>
      <c r="AI399" s="21" t="s">
        <v>710</v>
      </c>
      <c r="AJ399" s="28">
        <f t="shared" si="449"/>
        <v>0</v>
      </c>
      <c r="AK399" s="28">
        <f t="shared" si="450"/>
        <v>0</v>
      </c>
      <c r="AL399" s="28">
        <f t="shared" si="451"/>
        <v>0</v>
      </c>
      <c r="AN399" s="28">
        <v>21</v>
      </c>
      <c r="AO399" s="28">
        <f>H399*0.945809322033898</f>
        <v>0</v>
      </c>
      <c r="AP399" s="28">
        <f>H399*(1-0.945809322033898)</f>
        <v>0</v>
      </c>
      <c r="AQ399" s="30" t="s">
        <v>900</v>
      </c>
      <c r="AV399" s="28">
        <f t="shared" si="452"/>
        <v>0</v>
      </c>
      <c r="AW399" s="28">
        <f t="shared" si="453"/>
        <v>0</v>
      </c>
      <c r="AX399" s="28">
        <f t="shared" si="454"/>
        <v>0</v>
      </c>
      <c r="AY399" s="30" t="s">
        <v>562</v>
      </c>
      <c r="AZ399" s="30" t="s">
        <v>640</v>
      </c>
      <c r="BA399" s="21" t="s">
        <v>257</v>
      </c>
      <c r="BC399" s="28">
        <f t="shared" si="455"/>
        <v>0</v>
      </c>
      <c r="BD399" s="28">
        <f t="shared" si="456"/>
        <v>0</v>
      </c>
      <c r="BE399" s="28">
        <v>0</v>
      </c>
      <c r="BF399" s="28">
        <f>399</f>
        <v>399</v>
      </c>
      <c r="BH399" s="28">
        <f t="shared" si="457"/>
        <v>0</v>
      </c>
      <c r="BI399" s="28">
        <f t="shared" si="458"/>
        <v>0</v>
      </c>
      <c r="BJ399" s="28">
        <f t="shared" si="459"/>
        <v>0</v>
      </c>
      <c r="BK399" s="28"/>
      <c r="BL399" s="28">
        <v>722</v>
      </c>
      <c r="BW399" s="28">
        <v>21</v>
      </c>
    </row>
    <row r="400" spans="1:75" ht="13.5" customHeight="1">
      <c r="A400" s="38" t="s">
        <v>340</v>
      </c>
      <c r="B400" s="39" t="s">
        <v>710</v>
      </c>
      <c r="C400" s="39" t="s">
        <v>735</v>
      </c>
      <c r="D400" s="50" t="s">
        <v>285</v>
      </c>
      <c r="E400" s="51"/>
      <c r="F400" s="39" t="s">
        <v>228</v>
      </c>
      <c r="G400" s="28">
        <v>1</v>
      </c>
      <c r="H400" s="120">
        <v>0</v>
      </c>
      <c r="I400" s="120">
        <f t="shared" si="440"/>
        <v>0</v>
      </c>
      <c r="K400" s="8"/>
      <c r="Z400" s="28">
        <f t="shared" si="441"/>
        <v>0</v>
      </c>
      <c r="AB400" s="28">
        <f t="shared" si="442"/>
        <v>0</v>
      </c>
      <c r="AC400" s="28">
        <f t="shared" si="443"/>
        <v>0</v>
      </c>
      <c r="AD400" s="28">
        <f t="shared" si="444"/>
        <v>0</v>
      </c>
      <c r="AE400" s="28">
        <f t="shared" si="445"/>
        <v>0</v>
      </c>
      <c r="AF400" s="28">
        <f t="shared" si="446"/>
        <v>0</v>
      </c>
      <c r="AG400" s="28">
        <f t="shared" si="447"/>
        <v>0</v>
      </c>
      <c r="AH400" s="28">
        <f t="shared" si="448"/>
        <v>0</v>
      </c>
      <c r="AI400" s="21" t="s">
        <v>710</v>
      </c>
      <c r="AJ400" s="28">
        <f t="shared" si="449"/>
        <v>0</v>
      </c>
      <c r="AK400" s="28">
        <f t="shared" si="450"/>
        <v>0</v>
      </c>
      <c r="AL400" s="28">
        <f t="shared" si="451"/>
        <v>0</v>
      </c>
      <c r="AN400" s="28">
        <v>21</v>
      </c>
      <c r="AO400" s="28">
        <f>H400*0.963329388560158</f>
        <v>0</v>
      </c>
      <c r="AP400" s="28">
        <f>H400*(1-0.963329388560158)</f>
        <v>0</v>
      </c>
      <c r="AQ400" s="30" t="s">
        <v>900</v>
      </c>
      <c r="AV400" s="28">
        <f t="shared" si="452"/>
        <v>0</v>
      </c>
      <c r="AW400" s="28">
        <f t="shared" si="453"/>
        <v>0</v>
      </c>
      <c r="AX400" s="28">
        <f t="shared" si="454"/>
        <v>0</v>
      </c>
      <c r="AY400" s="30" t="s">
        <v>562</v>
      </c>
      <c r="AZ400" s="30" t="s">
        <v>640</v>
      </c>
      <c r="BA400" s="21" t="s">
        <v>257</v>
      </c>
      <c r="BC400" s="28">
        <f t="shared" si="455"/>
        <v>0</v>
      </c>
      <c r="BD400" s="28">
        <f t="shared" si="456"/>
        <v>0</v>
      </c>
      <c r="BE400" s="28">
        <v>0</v>
      </c>
      <c r="BF400" s="28">
        <f>400</f>
        <v>400</v>
      </c>
      <c r="BH400" s="28">
        <f t="shared" si="457"/>
        <v>0</v>
      </c>
      <c r="BI400" s="28">
        <f t="shared" si="458"/>
        <v>0</v>
      </c>
      <c r="BJ400" s="28">
        <f t="shared" si="459"/>
        <v>0</v>
      </c>
      <c r="BK400" s="28"/>
      <c r="BL400" s="28">
        <v>722</v>
      </c>
      <c r="BW400" s="28">
        <v>21</v>
      </c>
    </row>
    <row r="401" spans="1:75" ht="13.5" customHeight="1">
      <c r="A401" s="38" t="s">
        <v>904</v>
      </c>
      <c r="B401" s="39" t="s">
        <v>710</v>
      </c>
      <c r="C401" s="39" t="s">
        <v>119</v>
      </c>
      <c r="D401" s="50" t="s">
        <v>1039</v>
      </c>
      <c r="E401" s="51"/>
      <c r="F401" s="39" t="s">
        <v>228</v>
      </c>
      <c r="G401" s="28">
        <v>4</v>
      </c>
      <c r="H401" s="120">
        <v>0</v>
      </c>
      <c r="I401" s="120">
        <f t="shared" si="440"/>
        <v>0</v>
      </c>
      <c r="K401" s="8"/>
      <c r="Z401" s="28">
        <f t="shared" si="441"/>
        <v>0</v>
      </c>
      <c r="AB401" s="28">
        <f t="shared" si="442"/>
        <v>0</v>
      </c>
      <c r="AC401" s="28">
        <f t="shared" si="443"/>
        <v>0</v>
      </c>
      <c r="AD401" s="28">
        <f t="shared" si="444"/>
        <v>0</v>
      </c>
      <c r="AE401" s="28">
        <f t="shared" si="445"/>
        <v>0</v>
      </c>
      <c r="AF401" s="28">
        <f t="shared" si="446"/>
        <v>0</v>
      </c>
      <c r="AG401" s="28">
        <f t="shared" si="447"/>
        <v>0</v>
      </c>
      <c r="AH401" s="28">
        <f t="shared" si="448"/>
        <v>0</v>
      </c>
      <c r="AI401" s="21" t="s">
        <v>710</v>
      </c>
      <c r="AJ401" s="28">
        <f t="shared" si="449"/>
        <v>0</v>
      </c>
      <c r="AK401" s="28">
        <f t="shared" si="450"/>
        <v>0</v>
      </c>
      <c r="AL401" s="28">
        <f t="shared" si="451"/>
        <v>0</v>
      </c>
      <c r="AN401" s="28">
        <v>21</v>
      </c>
      <c r="AO401" s="28">
        <f>H401*0.767472727272727</f>
        <v>0</v>
      </c>
      <c r="AP401" s="28">
        <f>H401*(1-0.767472727272727)</f>
        <v>0</v>
      </c>
      <c r="AQ401" s="30" t="s">
        <v>900</v>
      </c>
      <c r="AV401" s="28">
        <f t="shared" si="452"/>
        <v>0</v>
      </c>
      <c r="AW401" s="28">
        <f t="shared" si="453"/>
        <v>0</v>
      </c>
      <c r="AX401" s="28">
        <f t="shared" si="454"/>
        <v>0</v>
      </c>
      <c r="AY401" s="30" t="s">
        <v>562</v>
      </c>
      <c r="AZ401" s="30" t="s">
        <v>640</v>
      </c>
      <c r="BA401" s="21" t="s">
        <v>257</v>
      </c>
      <c r="BC401" s="28">
        <f t="shared" si="455"/>
        <v>0</v>
      </c>
      <c r="BD401" s="28">
        <f t="shared" si="456"/>
        <v>0</v>
      </c>
      <c r="BE401" s="28">
        <v>0</v>
      </c>
      <c r="BF401" s="28">
        <f>401</f>
        <v>401</v>
      </c>
      <c r="BH401" s="28">
        <f t="shared" si="457"/>
        <v>0</v>
      </c>
      <c r="BI401" s="28">
        <f t="shared" si="458"/>
        <v>0</v>
      </c>
      <c r="BJ401" s="28">
        <f t="shared" si="459"/>
        <v>0</v>
      </c>
      <c r="BK401" s="28"/>
      <c r="BL401" s="28">
        <v>722</v>
      </c>
      <c r="BW401" s="28">
        <v>21</v>
      </c>
    </row>
    <row r="402" spans="1:75" ht="13.5" customHeight="1">
      <c r="A402" s="38" t="s">
        <v>215</v>
      </c>
      <c r="B402" s="39" t="s">
        <v>710</v>
      </c>
      <c r="C402" s="39" t="s">
        <v>545</v>
      </c>
      <c r="D402" s="50" t="s">
        <v>1064</v>
      </c>
      <c r="E402" s="51"/>
      <c r="F402" s="39" t="s">
        <v>228</v>
      </c>
      <c r="G402" s="28">
        <v>1</v>
      </c>
      <c r="H402" s="120">
        <v>0</v>
      </c>
      <c r="I402" s="120">
        <f t="shared" si="440"/>
        <v>0</v>
      </c>
      <c r="K402" s="8"/>
      <c r="Z402" s="28">
        <f t="shared" si="441"/>
        <v>0</v>
      </c>
      <c r="AB402" s="28">
        <f t="shared" si="442"/>
        <v>0</v>
      </c>
      <c r="AC402" s="28">
        <f t="shared" si="443"/>
        <v>0</v>
      </c>
      <c r="AD402" s="28">
        <f t="shared" si="444"/>
        <v>0</v>
      </c>
      <c r="AE402" s="28">
        <f t="shared" si="445"/>
        <v>0</v>
      </c>
      <c r="AF402" s="28">
        <f t="shared" si="446"/>
        <v>0</v>
      </c>
      <c r="AG402" s="28">
        <f t="shared" si="447"/>
        <v>0</v>
      </c>
      <c r="AH402" s="28">
        <f t="shared" si="448"/>
        <v>0</v>
      </c>
      <c r="AI402" s="21" t="s">
        <v>710</v>
      </c>
      <c r="AJ402" s="28">
        <f t="shared" si="449"/>
        <v>0</v>
      </c>
      <c r="AK402" s="28">
        <f t="shared" si="450"/>
        <v>0</v>
      </c>
      <c r="AL402" s="28">
        <f t="shared" si="451"/>
        <v>0</v>
      </c>
      <c r="AN402" s="28">
        <v>21</v>
      </c>
      <c r="AO402" s="28">
        <f>H402*0.869366700715015</f>
        <v>0</v>
      </c>
      <c r="AP402" s="28">
        <f>H402*(1-0.869366700715015)</f>
        <v>0</v>
      </c>
      <c r="AQ402" s="30" t="s">
        <v>900</v>
      </c>
      <c r="AV402" s="28">
        <f t="shared" si="452"/>
        <v>0</v>
      </c>
      <c r="AW402" s="28">
        <f t="shared" si="453"/>
        <v>0</v>
      </c>
      <c r="AX402" s="28">
        <f t="shared" si="454"/>
        <v>0</v>
      </c>
      <c r="AY402" s="30" t="s">
        <v>562</v>
      </c>
      <c r="AZ402" s="30" t="s">
        <v>640</v>
      </c>
      <c r="BA402" s="21" t="s">
        <v>257</v>
      </c>
      <c r="BC402" s="28">
        <f t="shared" si="455"/>
        <v>0</v>
      </c>
      <c r="BD402" s="28">
        <f t="shared" si="456"/>
        <v>0</v>
      </c>
      <c r="BE402" s="28">
        <v>0</v>
      </c>
      <c r="BF402" s="28">
        <f>402</f>
        <v>402</v>
      </c>
      <c r="BH402" s="28">
        <f t="shared" si="457"/>
        <v>0</v>
      </c>
      <c r="BI402" s="28">
        <f t="shared" si="458"/>
        <v>0</v>
      </c>
      <c r="BJ402" s="28">
        <f t="shared" si="459"/>
        <v>0</v>
      </c>
      <c r="BK402" s="28"/>
      <c r="BL402" s="28">
        <v>722</v>
      </c>
      <c r="BW402" s="28">
        <v>21</v>
      </c>
    </row>
    <row r="403" spans="1:75" ht="13.5" customHeight="1">
      <c r="A403" s="38" t="s">
        <v>12</v>
      </c>
      <c r="B403" s="39" t="s">
        <v>710</v>
      </c>
      <c r="C403" s="39" t="s">
        <v>796</v>
      </c>
      <c r="D403" s="50" t="s">
        <v>1065</v>
      </c>
      <c r="E403" s="51"/>
      <c r="F403" s="39" t="s">
        <v>228</v>
      </c>
      <c r="G403" s="28">
        <v>1</v>
      </c>
      <c r="H403" s="120">
        <v>0</v>
      </c>
      <c r="I403" s="120">
        <f t="shared" si="440"/>
        <v>0</v>
      </c>
      <c r="K403" s="8"/>
      <c r="Z403" s="28">
        <f t="shared" si="441"/>
        <v>0</v>
      </c>
      <c r="AB403" s="28">
        <f t="shared" si="442"/>
        <v>0</v>
      </c>
      <c r="AC403" s="28">
        <f t="shared" si="443"/>
        <v>0</v>
      </c>
      <c r="AD403" s="28">
        <f t="shared" si="444"/>
        <v>0</v>
      </c>
      <c r="AE403" s="28">
        <f t="shared" si="445"/>
        <v>0</v>
      </c>
      <c r="AF403" s="28">
        <f t="shared" si="446"/>
        <v>0</v>
      </c>
      <c r="AG403" s="28">
        <f t="shared" si="447"/>
        <v>0</v>
      </c>
      <c r="AH403" s="28">
        <f t="shared" si="448"/>
        <v>0</v>
      </c>
      <c r="AI403" s="21" t="s">
        <v>710</v>
      </c>
      <c r="AJ403" s="28">
        <f t="shared" si="449"/>
        <v>0</v>
      </c>
      <c r="AK403" s="28">
        <f t="shared" si="450"/>
        <v>0</v>
      </c>
      <c r="AL403" s="28">
        <f t="shared" si="451"/>
        <v>0</v>
      </c>
      <c r="AN403" s="28">
        <v>21</v>
      </c>
      <c r="AO403" s="28">
        <f>H403*0.767894736842105</f>
        <v>0</v>
      </c>
      <c r="AP403" s="28">
        <f>H403*(1-0.767894736842105)</f>
        <v>0</v>
      </c>
      <c r="AQ403" s="30" t="s">
        <v>900</v>
      </c>
      <c r="AV403" s="28">
        <f t="shared" si="452"/>
        <v>0</v>
      </c>
      <c r="AW403" s="28">
        <f t="shared" si="453"/>
        <v>0</v>
      </c>
      <c r="AX403" s="28">
        <f t="shared" si="454"/>
        <v>0</v>
      </c>
      <c r="AY403" s="30" t="s">
        <v>562</v>
      </c>
      <c r="AZ403" s="30" t="s">
        <v>640</v>
      </c>
      <c r="BA403" s="21" t="s">
        <v>257</v>
      </c>
      <c r="BC403" s="28">
        <f t="shared" si="455"/>
        <v>0</v>
      </c>
      <c r="BD403" s="28">
        <f t="shared" si="456"/>
        <v>0</v>
      </c>
      <c r="BE403" s="28">
        <v>0</v>
      </c>
      <c r="BF403" s="28">
        <f>403</f>
        <v>403</v>
      </c>
      <c r="BH403" s="28">
        <f t="shared" si="457"/>
        <v>0</v>
      </c>
      <c r="BI403" s="28">
        <f t="shared" si="458"/>
        <v>0</v>
      </c>
      <c r="BJ403" s="28">
        <f t="shared" si="459"/>
        <v>0</v>
      </c>
      <c r="BK403" s="28"/>
      <c r="BL403" s="28">
        <v>722</v>
      </c>
      <c r="BW403" s="28">
        <v>21</v>
      </c>
    </row>
    <row r="404" spans="1:75" ht="13.5" customHeight="1">
      <c r="A404" s="38" t="s">
        <v>223</v>
      </c>
      <c r="B404" s="39" t="s">
        <v>710</v>
      </c>
      <c r="C404" s="39" t="s">
        <v>901</v>
      </c>
      <c r="D404" s="50" t="s">
        <v>1082</v>
      </c>
      <c r="E404" s="51"/>
      <c r="F404" s="39" t="s">
        <v>228</v>
      </c>
      <c r="G404" s="28">
        <v>1</v>
      </c>
      <c r="H404" s="120">
        <v>0</v>
      </c>
      <c r="I404" s="120">
        <f t="shared" si="440"/>
        <v>0</v>
      </c>
      <c r="K404" s="8"/>
      <c r="Z404" s="28">
        <f t="shared" si="441"/>
        <v>0</v>
      </c>
      <c r="AB404" s="28">
        <f t="shared" si="442"/>
        <v>0</v>
      </c>
      <c r="AC404" s="28">
        <f t="shared" si="443"/>
        <v>0</v>
      </c>
      <c r="AD404" s="28">
        <f t="shared" si="444"/>
        <v>0</v>
      </c>
      <c r="AE404" s="28">
        <f t="shared" si="445"/>
        <v>0</v>
      </c>
      <c r="AF404" s="28">
        <f t="shared" si="446"/>
        <v>0</v>
      </c>
      <c r="AG404" s="28">
        <f t="shared" si="447"/>
        <v>0</v>
      </c>
      <c r="AH404" s="28">
        <f t="shared" si="448"/>
        <v>0</v>
      </c>
      <c r="AI404" s="21" t="s">
        <v>710</v>
      </c>
      <c r="AJ404" s="28">
        <f t="shared" si="449"/>
        <v>0</v>
      </c>
      <c r="AK404" s="28">
        <f t="shared" si="450"/>
        <v>0</v>
      </c>
      <c r="AL404" s="28">
        <f t="shared" si="451"/>
        <v>0</v>
      </c>
      <c r="AN404" s="28">
        <v>21</v>
      </c>
      <c r="AO404" s="28">
        <f>H404*0.901698693312836</f>
        <v>0</v>
      </c>
      <c r="AP404" s="28">
        <f>H404*(1-0.901698693312836)</f>
        <v>0</v>
      </c>
      <c r="AQ404" s="30" t="s">
        <v>900</v>
      </c>
      <c r="AV404" s="28">
        <f t="shared" si="452"/>
        <v>0</v>
      </c>
      <c r="AW404" s="28">
        <f t="shared" si="453"/>
        <v>0</v>
      </c>
      <c r="AX404" s="28">
        <f t="shared" si="454"/>
        <v>0</v>
      </c>
      <c r="AY404" s="30" t="s">
        <v>562</v>
      </c>
      <c r="AZ404" s="30" t="s">
        <v>640</v>
      </c>
      <c r="BA404" s="21" t="s">
        <v>257</v>
      </c>
      <c r="BC404" s="28">
        <f t="shared" si="455"/>
        <v>0</v>
      </c>
      <c r="BD404" s="28">
        <f t="shared" si="456"/>
        <v>0</v>
      </c>
      <c r="BE404" s="28">
        <v>0</v>
      </c>
      <c r="BF404" s="28">
        <f>404</f>
        <v>404</v>
      </c>
      <c r="BH404" s="28">
        <f t="shared" si="457"/>
        <v>0</v>
      </c>
      <c r="BI404" s="28">
        <f t="shared" si="458"/>
        <v>0</v>
      </c>
      <c r="BJ404" s="28">
        <f t="shared" si="459"/>
        <v>0</v>
      </c>
      <c r="BK404" s="28"/>
      <c r="BL404" s="28">
        <v>722</v>
      </c>
      <c r="BW404" s="28">
        <v>21</v>
      </c>
    </row>
    <row r="405" spans="1:47" ht="15" customHeight="1">
      <c r="A405" s="3" t="s">
        <v>626</v>
      </c>
      <c r="B405" s="43" t="s">
        <v>710</v>
      </c>
      <c r="C405" s="43" t="s">
        <v>550</v>
      </c>
      <c r="D405" s="103" t="s">
        <v>995</v>
      </c>
      <c r="E405" s="104"/>
      <c r="F405" s="37" t="s">
        <v>836</v>
      </c>
      <c r="G405" s="37" t="s">
        <v>836</v>
      </c>
      <c r="H405" s="118" t="s">
        <v>836</v>
      </c>
      <c r="I405" s="119">
        <f>SUM(I406:I406)</f>
        <v>0</v>
      </c>
      <c r="K405" s="8"/>
      <c r="AI405" s="21" t="s">
        <v>710</v>
      </c>
      <c r="AS405" s="31">
        <f>SUM(AJ406:AJ406)</f>
        <v>0</v>
      </c>
      <c r="AT405" s="31">
        <f>SUM(AK406:AK406)</f>
        <v>0</v>
      </c>
      <c r="AU405" s="31">
        <f>SUM(AL406:AL406)</f>
        <v>0</v>
      </c>
    </row>
    <row r="406" spans="1:75" ht="13.5" customHeight="1">
      <c r="A406" s="38" t="s">
        <v>271</v>
      </c>
      <c r="B406" s="39" t="s">
        <v>710</v>
      </c>
      <c r="C406" s="39" t="s">
        <v>759</v>
      </c>
      <c r="D406" s="50" t="s">
        <v>780</v>
      </c>
      <c r="E406" s="51"/>
      <c r="F406" s="39" t="s">
        <v>311</v>
      </c>
      <c r="G406" s="28">
        <v>1</v>
      </c>
      <c r="H406" s="120">
        <v>0</v>
      </c>
      <c r="I406" s="120">
        <f>G406*H406</f>
        <v>0</v>
      </c>
      <c r="K406" s="8"/>
      <c r="Z406" s="28">
        <f>IF(AQ406="5",BJ406,0)</f>
        <v>0</v>
      </c>
      <c r="AB406" s="28">
        <f>IF(AQ406="1",BH406,0)</f>
        <v>0</v>
      </c>
      <c r="AC406" s="28">
        <f>IF(AQ406="1",BI406,0)</f>
        <v>0</v>
      </c>
      <c r="AD406" s="28">
        <f>IF(AQ406="7",BH406,0)</f>
        <v>0</v>
      </c>
      <c r="AE406" s="28">
        <f>IF(AQ406="7",BI406,0)</f>
        <v>0</v>
      </c>
      <c r="AF406" s="28">
        <f>IF(AQ406="2",BH406,0)</f>
        <v>0</v>
      </c>
      <c r="AG406" s="28">
        <f>IF(AQ406="2",BI406,0)</f>
        <v>0</v>
      </c>
      <c r="AH406" s="28">
        <f>IF(AQ406="0",BJ406,0)</f>
        <v>0</v>
      </c>
      <c r="AI406" s="21" t="s">
        <v>710</v>
      </c>
      <c r="AJ406" s="28">
        <f>IF(AN406=0,I406,0)</f>
        <v>0</v>
      </c>
      <c r="AK406" s="28">
        <f>IF(AN406=12,I406,0)</f>
        <v>0</v>
      </c>
      <c r="AL406" s="28">
        <f>IF(AN406=21,I406,0)</f>
        <v>0</v>
      </c>
      <c r="AN406" s="28">
        <v>21</v>
      </c>
      <c r="AO406" s="28">
        <f>H406*0.346020761245675</f>
        <v>0</v>
      </c>
      <c r="AP406" s="28">
        <f>H406*(1-0.346020761245675)</f>
        <v>0</v>
      </c>
      <c r="AQ406" s="30" t="s">
        <v>900</v>
      </c>
      <c r="AV406" s="28">
        <f>AW406+AX406</f>
        <v>0</v>
      </c>
      <c r="AW406" s="28">
        <f>G406*AO406</f>
        <v>0</v>
      </c>
      <c r="AX406" s="28">
        <f>G406*AP406</f>
        <v>0</v>
      </c>
      <c r="AY406" s="30" t="s">
        <v>817</v>
      </c>
      <c r="AZ406" s="30" t="s">
        <v>929</v>
      </c>
      <c r="BA406" s="21" t="s">
        <v>257</v>
      </c>
      <c r="BC406" s="28">
        <f>AW406+AX406</f>
        <v>0</v>
      </c>
      <c r="BD406" s="28">
        <f>H406/(100-BE406)*100</f>
        <v>0</v>
      </c>
      <c r="BE406" s="28">
        <v>0</v>
      </c>
      <c r="BF406" s="28">
        <f>406</f>
        <v>406</v>
      </c>
      <c r="BH406" s="28">
        <f>G406*AO406</f>
        <v>0</v>
      </c>
      <c r="BI406" s="28">
        <f>G406*AP406</f>
        <v>0</v>
      </c>
      <c r="BJ406" s="28">
        <f>G406*H406</f>
        <v>0</v>
      </c>
      <c r="BK406" s="28"/>
      <c r="BL406" s="28">
        <v>73</v>
      </c>
      <c r="BW406" s="28">
        <v>21</v>
      </c>
    </row>
    <row r="407" spans="1:47" ht="15" customHeight="1">
      <c r="A407" s="3" t="s">
        <v>626</v>
      </c>
      <c r="B407" s="43" t="s">
        <v>710</v>
      </c>
      <c r="C407" s="43" t="s">
        <v>595</v>
      </c>
      <c r="D407" s="103" t="s">
        <v>898</v>
      </c>
      <c r="E407" s="104"/>
      <c r="F407" s="37" t="s">
        <v>836</v>
      </c>
      <c r="G407" s="37" t="s">
        <v>836</v>
      </c>
      <c r="H407" s="118" t="s">
        <v>836</v>
      </c>
      <c r="I407" s="119">
        <f>SUM(I408:I414)</f>
        <v>0</v>
      </c>
      <c r="K407" s="8"/>
      <c r="AI407" s="21" t="s">
        <v>710</v>
      </c>
      <c r="AS407" s="31">
        <f>SUM(AJ408:AJ414)</f>
        <v>0</v>
      </c>
      <c r="AT407" s="31">
        <f>SUM(AK408:AK414)</f>
        <v>0</v>
      </c>
      <c r="AU407" s="31">
        <f>SUM(AL408:AL414)</f>
        <v>0</v>
      </c>
    </row>
    <row r="408" spans="1:75" ht="13.5" customHeight="1">
      <c r="A408" s="38" t="s">
        <v>976</v>
      </c>
      <c r="B408" s="39" t="s">
        <v>710</v>
      </c>
      <c r="C408" s="39" t="s">
        <v>118</v>
      </c>
      <c r="D408" s="50" t="s">
        <v>325</v>
      </c>
      <c r="E408" s="51"/>
      <c r="F408" s="39" t="s">
        <v>311</v>
      </c>
      <c r="G408" s="28">
        <v>11</v>
      </c>
      <c r="H408" s="120">
        <v>0</v>
      </c>
      <c r="I408" s="120">
        <f aca="true" t="shared" si="460" ref="I408:I414">G408*H408</f>
        <v>0</v>
      </c>
      <c r="K408" s="8"/>
      <c r="Z408" s="28">
        <f aca="true" t="shared" si="461" ref="Z408:Z414">IF(AQ408="5",BJ408,0)</f>
        <v>0</v>
      </c>
      <c r="AB408" s="28">
        <f aca="true" t="shared" si="462" ref="AB408:AB414">IF(AQ408="1",BH408,0)</f>
        <v>0</v>
      </c>
      <c r="AC408" s="28">
        <f aca="true" t="shared" si="463" ref="AC408:AC414">IF(AQ408="1",BI408,0)</f>
        <v>0</v>
      </c>
      <c r="AD408" s="28">
        <f aca="true" t="shared" si="464" ref="AD408:AD414">IF(AQ408="7",BH408,0)</f>
        <v>0</v>
      </c>
      <c r="AE408" s="28">
        <f aca="true" t="shared" si="465" ref="AE408:AE414">IF(AQ408="7",BI408,0)</f>
        <v>0</v>
      </c>
      <c r="AF408" s="28">
        <f aca="true" t="shared" si="466" ref="AF408:AF414">IF(AQ408="2",BH408,0)</f>
        <v>0</v>
      </c>
      <c r="AG408" s="28">
        <f aca="true" t="shared" si="467" ref="AG408:AG414">IF(AQ408="2",BI408,0)</f>
        <v>0</v>
      </c>
      <c r="AH408" s="28">
        <f aca="true" t="shared" si="468" ref="AH408:AH414">IF(AQ408="0",BJ408,0)</f>
        <v>0</v>
      </c>
      <c r="AI408" s="21" t="s">
        <v>710</v>
      </c>
      <c r="AJ408" s="28">
        <f aca="true" t="shared" si="469" ref="AJ408:AJ414">IF(AN408=0,I408,0)</f>
        <v>0</v>
      </c>
      <c r="AK408" s="28">
        <f aca="true" t="shared" si="470" ref="AK408:AK414">IF(AN408=12,I408,0)</f>
        <v>0</v>
      </c>
      <c r="AL408" s="28">
        <f aca="true" t="shared" si="471" ref="AL408:AL414">IF(AN408=21,I408,0)</f>
        <v>0</v>
      </c>
      <c r="AN408" s="28">
        <v>21</v>
      </c>
      <c r="AO408" s="28">
        <f>H408*0.658518518518519</f>
        <v>0</v>
      </c>
      <c r="AP408" s="28">
        <f>H408*(1-0.658518518518519)</f>
        <v>0</v>
      </c>
      <c r="AQ408" s="30" t="s">
        <v>900</v>
      </c>
      <c r="AV408" s="28">
        <f aca="true" t="shared" si="472" ref="AV408:AV414">AW408+AX408</f>
        <v>0</v>
      </c>
      <c r="AW408" s="28">
        <f aca="true" t="shared" si="473" ref="AW408:AW414">G408*AO408</f>
        <v>0</v>
      </c>
      <c r="AX408" s="28">
        <f aca="true" t="shared" si="474" ref="AX408:AX414">G408*AP408</f>
        <v>0</v>
      </c>
      <c r="AY408" s="30" t="s">
        <v>399</v>
      </c>
      <c r="AZ408" s="30" t="s">
        <v>929</v>
      </c>
      <c r="BA408" s="21" t="s">
        <v>257</v>
      </c>
      <c r="BC408" s="28">
        <f aca="true" t="shared" si="475" ref="BC408:BC414">AW408+AX408</f>
        <v>0</v>
      </c>
      <c r="BD408" s="28">
        <f aca="true" t="shared" si="476" ref="BD408:BD414">H408/(100-BE408)*100</f>
        <v>0</v>
      </c>
      <c r="BE408" s="28">
        <v>0</v>
      </c>
      <c r="BF408" s="28">
        <f>408</f>
        <v>408</v>
      </c>
      <c r="BH408" s="28">
        <f aca="true" t="shared" si="477" ref="BH408:BH414">G408*AO408</f>
        <v>0</v>
      </c>
      <c r="BI408" s="28">
        <f aca="true" t="shared" si="478" ref="BI408:BI414">G408*AP408</f>
        <v>0</v>
      </c>
      <c r="BJ408" s="28">
        <f aca="true" t="shared" si="479" ref="BJ408:BJ414">G408*H408</f>
        <v>0</v>
      </c>
      <c r="BK408" s="28"/>
      <c r="BL408" s="28">
        <v>732</v>
      </c>
      <c r="BW408" s="28">
        <v>21</v>
      </c>
    </row>
    <row r="409" spans="1:75" ht="13.5" customHeight="1">
      <c r="A409" s="38" t="s">
        <v>91</v>
      </c>
      <c r="B409" s="39" t="s">
        <v>710</v>
      </c>
      <c r="C409" s="39" t="s">
        <v>703</v>
      </c>
      <c r="D409" s="50" t="s">
        <v>666</v>
      </c>
      <c r="E409" s="51"/>
      <c r="F409" s="39" t="s">
        <v>741</v>
      </c>
      <c r="G409" s="28">
        <v>2</v>
      </c>
      <c r="H409" s="120">
        <v>0</v>
      </c>
      <c r="I409" s="120">
        <f t="shared" si="460"/>
        <v>0</v>
      </c>
      <c r="K409" s="8"/>
      <c r="Z409" s="28">
        <f t="shared" si="461"/>
        <v>0</v>
      </c>
      <c r="AB409" s="28">
        <f t="shared" si="462"/>
        <v>0</v>
      </c>
      <c r="AC409" s="28">
        <f t="shared" si="463"/>
        <v>0</v>
      </c>
      <c r="AD409" s="28">
        <f t="shared" si="464"/>
        <v>0</v>
      </c>
      <c r="AE409" s="28">
        <f t="shared" si="465"/>
        <v>0</v>
      </c>
      <c r="AF409" s="28">
        <f t="shared" si="466"/>
        <v>0</v>
      </c>
      <c r="AG409" s="28">
        <f t="shared" si="467"/>
        <v>0</v>
      </c>
      <c r="AH409" s="28">
        <f t="shared" si="468"/>
        <v>0</v>
      </c>
      <c r="AI409" s="21" t="s">
        <v>710</v>
      </c>
      <c r="AJ409" s="28">
        <f t="shared" si="469"/>
        <v>0</v>
      </c>
      <c r="AK409" s="28">
        <f t="shared" si="470"/>
        <v>0</v>
      </c>
      <c r="AL409" s="28">
        <f t="shared" si="471"/>
        <v>0</v>
      </c>
      <c r="AN409" s="28">
        <v>21</v>
      </c>
      <c r="AO409" s="28">
        <f>H409*0</f>
        <v>0</v>
      </c>
      <c r="AP409" s="28">
        <f>H409*(1-0)</f>
        <v>0</v>
      </c>
      <c r="AQ409" s="30" t="s">
        <v>900</v>
      </c>
      <c r="AV409" s="28">
        <f t="shared" si="472"/>
        <v>0</v>
      </c>
      <c r="AW409" s="28">
        <f t="shared" si="473"/>
        <v>0</v>
      </c>
      <c r="AX409" s="28">
        <f t="shared" si="474"/>
        <v>0</v>
      </c>
      <c r="AY409" s="30" t="s">
        <v>399</v>
      </c>
      <c r="AZ409" s="30" t="s">
        <v>929</v>
      </c>
      <c r="BA409" s="21" t="s">
        <v>257</v>
      </c>
      <c r="BC409" s="28">
        <f t="shared" si="475"/>
        <v>0</v>
      </c>
      <c r="BD409" s="28">
        <f t="shared" si="476"/>
        <v>0</v>
      </c>
      <c r="BE409" s="28">
        <v>0</v>
      </c>
      <c r="BF409" s="28">
        <f>409</f>
        <v>409</v>
      </c>
      <c r="BH409" s="28">
        <f t="shared" si="477"/>
        <v>0</v>
      </c>
      <c r="BI409" s="28">
        <f t="shared" si="478"/>
        <v>0</v>
      </c>
      <c r="BJ409" s="28">
        <f t="shared" si="479"/>
        <v>0</v>
      </c>
      <c r="BK409" s="28"/>
      <c r="BL409" s="28">
        <v>732</v>
      </c>
      <c r="BW409" s="28">
        <v>21</v>
      </c>
    </row>
    <row r="410" spans="1:75" ht="13.5" customHeight="1">
      <c r="A410" s="38" t="s">
        <v>338</v>
      </c>
      <c r="B410" s="39" t="s">
        <v>710</v>
      </c>
      <c r="C410" s="39" t="s">
        <v>117</v>
      </c>
      <c r="D410" s="50" t="s">
        <v>34</v>
      </c>
      <c r="E410" s="51"/>
      <c r="F410" s="39" t="s">
        <v>228</v>
      </c>
      <c r="G410" s="28">
        <v>1</v>
      </c>
      <c r="H410" s="120">
        <v>0</v>
      </c>
      <c r="I410" s="120">
        <f t="shared" si="460"/>
        <v>0</v>
      </c>
      <c r="K410" s="8"/>
      <c r="Z410" s="28">
        <f t="shared" si="461"/>
        <v>0</v>
      </c>
      <c r="AB410" s="28">
        <f t="shared" si="462"/>
        <v>0</v>
      </c>
      <c r="AC410" s="28">
        <f t="shared" si="463"/>
        <v>0</v>
      </c>
      <c r="AD410" s="28">
        <f t="shared" si="464"/>
        <v>0</v>
      </c>
      <c r="AE410" s="28">
        <f t="shared" si="465"/>
        <v>0</v>
      </c>
      <c r="AF410" s="28">
        <f t="shared" si="466"/>
        <v>0</v>
      </c>
      <c r="AG410" s="28">
        <f t="shared" si="467"/>
        <v>0</v>
      </c>
      <c r="AH410" s="28">
        <f t="shared" si="468"/>
        <v>0</v>
      </c>
      <c r="AI410" s="21" t="s">
        <v>710</v>
      </c>
      <c r="AJ410" s="28">
        <f t="shared" si="469"/>
        <v>0</v>
      </c>
      <c r="AK410" s="28">
        <f t="shared" si="470"/>
        <v>0</v>
      </c>
      <c r="AL410" s="28">
        <f t="shared" si="471"/>
        <v>0</v>
      </c>
      <c r="AN410" s="28">
        <v>21</v>
      </c>
      <c r="AO410" s="28">
        <f>H410*0.674383346425766</f>
        <v>0</v>
      </c>
      <c r="AP410" s="28">
        <f>H410*(1-0.674383346425766)</f>
        <v>0</v>
      </c>
      <c r="AQ410" s="30" t="s">
        <v>900</v>
      </c>
      <c r="AV410" s="28">
        <f t="shared" si="472"/>
        <v>0</v>
      </c>
      <c r="AW410" s="28">
        <f t="shared" si="473"/>
        <v>0</v>
      </c>
      <c r="AX410" s="28">
        <f t="shared" si="474"/>
        <v>0</v>
      </c>
      <c r="AY410" s="30" t="s">
        <v>399</v>
      </c>
      <c r="AZ410" s="30" t="s">
        <v>929</v>
      </c>
      <c r="BA410" s="21" t="s">
        <v>257</v>
      </c>
      <c r="BC410" s="28">
        <f t="shared" si="475"/>
        <v>0</v>
      </c>
      <c r="BD410" s="28">
        <f t="shared" si="476"/>
        <v>0</v>
      </c>
      <c r="BE410" s="28">
        <v>0</v>
      </c>
      <c r="BF410" s="28">
        <f>410</f>
        <v>410</v>
      </c>
      <c r="BH410" s="28">
        <f t="shared" si="477"/>
        <v>0</v>
      </c>
      <c r="BI410" s="28">
        <f t="shared" si="478"/>
        <v>0</v>
      </c>
      <c r="BJ410" s="28">
        <f t="shared" si="479"/>
        <v>0</v>
      </c>
      <c r="BK410" s="28"/>
      <c r="BL410" s="28">
        <v>732</v>
      </c>
      <c r="BW410" s="28">
        <v>21</v>
      </c>
    </row>
    <row r="411" spans="1:75" ht="13.5" customHeight="1">
      <c r="A411" s="38" t="s">
        <v>434</v>
      </c>
      <c r="B411" s="39" t="s">
        <v>710</v>
      </c>
      <c r="C411" s="39" t="s">
        <v>290</v>
      </c>
      <c r="D411" s="50" t="s">
        <v>886</v>
      </c>
      <c r="E411" s="51"/>
      <c r="F411" s="39" t="s">
        <v>228</v>
      </c>
      <c r="G411" s="28">
        <v>2</v>
      </c>
      <c r="H411" s="120">
        <v>0</v>
      </c>
      <c r="I411" s="120">
        <f t="shared" si="460"/>
        <v>0</v>
      </c>
      <c r="K411" s="8"/>
      <c r="Z411" s="28">
        <f t="shared" si="461"/>
        <v>0</v>
      </c>
      <c r="AB411" s="28">
        <f t="shared" si="462"/>
        <v>0</v>
      </c>
      <c r="AC411" s="28">
        <f t="shared" si="463"/>
        <v>0</v>
      </c>
      <c r="AD411" s="28">
        <f t="shared" si="464"/>
        <v>0</v>
      </c>
      <c r="AE411" s="28">
        <f t="shared" si="465"/>
        <v>0</v>
      </c>
      <c r="AF411" s="28">
        <f t="shared" si="466"/>
        <v>0</v>
      </c>
      <c r="AG411" s="28">
        <f t="shared" si="467"/>
        <v>0</v>
      </c>
      <c r="AH411" s="28">
        <f t="shared" si="468"/>
        <v>0</v>
      </c>
      <c r="AI411" s="21" t="s">
        <v>710</v>
      </c>
      <c r="AJ411" s="28">
        <f t="shared" si="469"/>
        <v>0</v>
      </c>
      <c r="AK411" s="28">
        <f t="shared" si="470"/>
        <v>0</v>
      </c>
      <c r="AL411" s="28">
        <f t="shared" si="471"/>
        <v>0</v>
      </c>
      <c r="AN411" s="28">
        <v>21</v>
      </c>
      <c r="AO411" s="28">
        <f>H411*0.532435331230284</f>
        <v>0</v>
      </c>
      <c r="AP411" s="28">
        <f>H411*(1-0.532435331230284)</f>
        <v>0</v>
      </c>
      <c r="AQ411" s="30" t="s">
        <v>900</v>
      </c>
      <c r="AV411" s="28">
        <f t="shared" si="472"/>
        <v>0</v>
      </c>
      <c r="AW411" s="28">
        <f t="shared" si="473"/>
        <v>0</v>
      </c>
      <c r="AX411" s="28">
        <f t="shared" si="474"/>
        <v>0</v>
      </c>
      <c r="AY411" s="30" t="s">
        <v>399</v>
      </c>
      <c r="AZ411" s="30" t="s">
        <v>929</v>
      </c>
      <c r="BA411" s="21" t="s">
        <v>257</v>
      </c>
      <c r="BC411" s="28">
        <f t="shared" si="475"/>
        <v>0</v>
      </c>
      <c r="BD411" s="28">
        <f t="shared" si="476"/>
        <v>0</v>
      </c>
      <c r="BE411" s="28">
        <v>0</v>
      </c>
      <c r="BF411" s="28">
        <f>411</f>
        <v>411</v>
      </c>
      <c r="BH411" s="28">
        <f t="shared" si="477"/>
        <v>0</v>
      </c>
      <c r="BI411" s="28">
        <f t="shared" si="478"/>
        <v>0</v>
      </c>
      <c r="BJ411" s="28">
        <f t="shared" si="479"/>
        <v>0</v>
      </c>
      <c r="BK411" s="28"/>
      <c r="BL411" s="28">
        <v>732</v>
      </c>
      <c r="BW411" s="28">
        <v>21</v>
      </c>
    </row>
    <row r="412" spans="1:75" ht="13.5" customHeight="1">
      <c r="A412" s="38" t="s">
        <v>279</v>
      </c>
      <c r="B412" s="39" t="s">
        <v>710</v>
      </c>
      <c r="C412" s="39" t="s">
        <v>949</v>
      </c>
      <c r="D412" s="50" t="s">
        <v>1049</v>
      </c>
      <c r="E412" s="51"/>
      <c r="F412" s="39" t="s">
        <v>626</v>
      </c>
      <c r="G412" s="28">
        <v>1</v>
      </c>
      <c r="H412" s="120">
        <v>0</v>
      </c>
      <c r="I412" s="120">
        <f t="shared" si="460"/>
        <v>0</v>
      </c>
      <c r="K412" s="8"/>
      <c r="Z412" s="28">
        <f t="shared" si="461"/>
        <v>0</v>
      </c>
      <c r="AB412" s="28">
        <f t="shared" si="462"/>
        <v>0</v>
      </c>
      <c r="AC412" s="28">
        <f t="shared" si="463"/>
        <v>0</v>
      </c>
      <c r="AD412" s="28">
        <f t="shared" si="464"/>
        <v>0</v>
      </c>
      <c r="AE412" s="28">
        <f t="shared" si="465"/>
        <v>0</v>
      </c>
      <c r="AF412" s="28">
        <f t="shared" si="466"/>
        <v>0</v>
      </c>
      <c r="AG412" s="28">
        <f t="shared" si="467"/>
        <v>0</v>
      </c>
      <c r="AH412" s="28">
        <f t="shared" si="468"/>
        <v>0</v>
      </c>
      <c r="AI412" s="21" t="s">
        <v>710</v>
      </c>
      <c r="AJ412" s="28">
        <f t="shared" si="469"/>
        <v>0</v>
      </c>
      <c r="AK412" s="28">
        <f t="shared" si="470"/>
        <v>0</v>
      </c>
      <c r="AL412" s="28">
        <f t="shared" si="471"/>
        <v>0</v>
      </c>
      <c r="AN412" s="28">
        <v>21</v>
      </c>
      <c r="AO412" s="28">
        <f>H412*0.974240082431736</f>
        <v>0</v>
      </c>
      <c r="AP412" s="28">
        <f>H412*(1-0.974240082431736)</f>
        <v>0</v>
      </c>
      <c r="AQ412" s="30" t="s">
        <v>900</v>
      </c>
      <c r="AV412" s="28">
        <f t="shared" si="472"/>
        <v>0</v>
      </c>
      <c r="AW412" s="28">
        <f t="shared" si="473"/>
        <v>0</v>
      </c>
      <c r="AX412" s="28">
        <f t="shared" si="474"/>
        <v>0</v>
      </c>
      <c r="AY412" s="30" t="s">
        <v>399</v>
      </c>
      <c r="AZ412" s="30" t="s">
        <v>929</v>
      </c>
      <c r="BA412" s="21" t="s">
        <v>257</v>
      </c>
      <c r="BC412" s="28">
        <f t="shared" si="475"/>
        <v>0</v>
      </c>
      <c r="BD412" s="28">
        <f t="shared" si="476"/>
        <v>0</v>
      </c>
      <c r="BE412" s="28">
        <v>0</v>
      </c>
      <c r="BF412" s="28">
        <f>412</f>
        <v>412</v>
      </c>
      <c r="BH412" s="28">
        <f t="shared" si="477"/>
        <v>0</v>
      </c>
      <c r="BI412" s="28">
        <f t="shared" si="478"/>
        <v>0</v>
      </c>
      <c r="BJ412" s="28">
        <f t="shared" si="479"/>
        <v>0</v>
      </c>
      <c r="BK412" s="28"/>
      <c r="BL412" s="28">
        <v>732</v>
      </c>
      <c r="BW412" s="28">
        <v>21</v>
      </c>
    </row>
    <row r="413" spans="1:75" ht="13.5" customHeight="1">
      <c r="A413" s="38" t="s">
        <v>204</v>
      </c>
      <c r="B413" s="39" t="s">
        <v>710</v>
      </c>
      <c r="C413" s="39" t="s">
        <v>491</v>
      </c>
      <c r="D413" s="50" t="s">
        <v>123</v>
      </c>
      <c r="E413" s="51"/>
      <c r="F413" s="39" t="s">
        <v>311</v>
      </c>
      <c r="G413" s="28">
        <v>1</v>
      </c>
      <c r="H413" s="120">
        <v>0</v>
      </c>
      <c r="I413" s="120">
        <f t="shared" si="460"/>
        <v>0</v>
      </c>
      <c r="K413" s="8"/>
      <c r="Z413" s="28">
        <f t="shared" si="461"/>
        <v>0</v>
      </c>
      <c r="AB413" s="28">
        <f t="shared" si="462"/>
        <v>0</v>
      </c>
      <c r="AC413" s="28">
        <f t="shared" si="463"/>
        <v>0</v>
      </c>
      <c r="AD413" s="28">
        <f t="shared" si="464"/>
        <v>0</v>
      </c>
      <c r="AE413" s="28">
        <f t="shared" si="465"/>
        <v>0</v>
      </c>
      <c r="AF413" s="28">
        <f t="shared" si="466"/>
        <v>0</v>
      </c>
      <c r="AG413" s="28">
        <f t="shared" si="467"/>
        <v>0</v>
      </c>
      <c r="AH413" s="28">
        <f t="shared" si="468"/>
        <v>0</v>
      </c>
      <c r="AI413" s="21" t="s">
        <v>710</v>
      </c>
      <c r="AJ413" s="28">
        <f t="shared" si="469"/>
        <v>0</v>
      </c>
      <c r="AK413" s="28">
        <f t="shared" si="470"/>
        <v>0</v>
      </c>
      <c r="AL413" s="28">
        <f t="shared" si="471"/>
        <v>0</v>
      </c>
      <c r="AN413" s="28">
        <v>21</v>
      </c>
      <c r="AO413" s="28">
        <f>H413*0.642985041792658</f>
        <v>0</v>
      </c>
      <c r="AP413" s="28">
        <f>H413*(1-0.642985041792658)</f>
        <v>0</v>
      </c>
      <c r="AQ413" s="30" t="s">
        <v>900</v>
      </c>
      <c r="AV413" s="28">
        <f t="shared" si="472"/>
        <v>0</v>
      </c>
      <c r="AW413" s="28">
        <f t="shared" si="473"/>
        <v>0</v>
      </c>
      <c r="AX413" s="28">
        <f t="shared" si="474"/>
        <v>0</v>
      </c>
      <c r="AY413" s="30" t="s">
        <v>399</v>
      </c>
      <c r="AZ413" s="30" t="s">
        <v>929</v>
      </c>
      <c r="BA413" s="21" t="s">
        <v>257</v>
      </c>
      <c r="BC413" s="28">
        <f t="shared" si="475"/>
        <v>0</v>
      </c>
      <c r="BD413" s="28">
        <f t="shared" si="476"/>
        <v>0</v>
      </c>
      <c r="BE413" s="28">
        <v>0</v>
      </c>
      <c r="BF413" s="28">
        <f>413</f>
        <v>413</v>
      </c>
      <c r="BH413" s="28">
        <f t="shared" si="477"/>
        <v>0</v>
      </c>
      <c r="BI413" s="28">
        <f t="shared" si="478"/>
        <v>0</v>
      </c>
      <c r="BJ413" s="28">
        <f t="shared" si="479"/>
        <v>0</v>
      </c>
      <c r="BK413" s="28"/>
      <c r="BL413" s="28">
        <v>732</v>
      </c>
      <c r="BW413" s="28">
        <v>21</v>
      </c>
    </row>
    <row r="414" spans="1:75" ht="13.5" customHeight="1">
      <c r="A414" s="38" t="s">
        <v>122</v>
      </c>
      <c r="B414" s="39" t="s">
        <v>710</v>
      </c>
      <c r="C414" s="39" t="s">
        <v>834</v>
      </c>
      <c r="D414" s="50" t="s">
        <v>608</v>
      </c>
      <c r="E414" s="51"/>
      <c r="F414" s="39" t="s">
        <v>228</v>
      </c>
      <c r="G414" s="28">
        <v>1</v>
      </c>
      <c r="H414" s="120">
        <v>0</v>
      </c>
      <c r="I414" s="120">
        <f t="shared" si="460"/>
        <v>0</v>
      </c>
      <c r="K414" s="8"/>
      <c r="Z414" s="28">
        <f t="shared" si="461"/>
        <v>0</v>
      </c>
      <c r="AB414" s="28">
        <f t="shared" si="462"/>
        <v>0</v>
      </c>
      <c r="AC414" s="28">
        <f t="shared" si="463"/>
        <v>0</v>
      </c>
      <c r="AD414" s="28">
        <f t="shared" si="464"/>
        <v>0</v>
      </c>
      <c r="AE414" s="28">
        <f t="shared" si="465"/>
        <v>0</v>
      </c>
      <c r="AF414" s="28">
        <f t="shared" si="466"/>
        <v>0</v>
      </c>
      <c r="AG414" s="28">
        <f t="shared" si="467"/>
        <v>0</v>
      </c>
      <c r="AH414" s="28">
        <f t="shared" si="468"/>
        <v>0</v>
      </c>
      <c r="AI414" s="21" t="s">
        <v>710</v>
      </c>
      <c r="AJ414" s="28">
        <f t="shared" si="469"/>
        <v>0</v>
      </c>
      <c r="AK414" s="28">
        <f t="shared" si="470"/>
        <v>0</v>
      </c>
      <c r="AL414" s="28">
        <f t="shared" si="471"/>
        <v>0</v>
      </c>
      <c r="AN414" s="28">
        <v>21</v>
      </c>
      <c r="AO414" s="28">
        <f>H414*1</f>
        <v>0</v>
      </c>
      <c r="AP414" s="28">
        <f>H414*(1-1)</f>
        <v>0</v>
      </c>
      <c r="AQ414" s="30" t="s">
        <v>900</v>
      </c>
      <c r="AV414" s="28">
        <f t="shared" si="472"/>
        <v>0</v>
      </c>
      <c r="AW414" s="28">
        <f t="shared" si="473"/>
        <v>0</v>
      </c>
      <c r="AX414" s="28">
        <f t="shared" si="474"/>
        <v>0</v>
      </c>
      <c r="AY414" s="30" t="s">
        <v>399</v>
      </c>
      <c r="AZ414" s="30" t="s">
        <v>929</v>
      </c>
      <c r="BA414" s="21" t="s">
        <v>257</v>
      </c>
      <c r="BC414" s="28">
        <f t="shared" si="475"/>
        <v>0</v>
      </c>
      <c r="BD414" s="28">
        <f t="shared" si="476"/>
        <v>0</v>
      </c>
      <c r="BE414" s="28">
        <v>0</v>
      </c>
      <c r="BF414" s="28">
        <f>414</f>
        <v>414</v>
      </c>
      <c r="BH414" s="28">
        <f t="shared" si="477"/>
        <v>0</v>
      </c>
      <c r="BI414" s="28">
        <f t="shared" si="478"/>
        <v>0</v>
      </c>
      <c r="BJ414" s="28">
        <f t="shared" si="479"/>
        <v>0</v>
      </c>
      <c r="BK414" s="28"/>
      <c r="BL414" s="28">
        <v>732</v>
      </c>
      <c r="BW414" s="28">
        <v>21</v>
      </c>
    </row>
    <row r="415" spans="1:47" ht="15" customHeight="1">
      <c r="A415" s="3" t="s">
        <v>626</v>
      </c>
      <c r="B415" s="43" t="s">
        <v>710</v>
      </c>
      <c r="C415" s="43" t="s">
        <v>922</v>
      </c>
      <c r="D415" s="103" t="s">
        <v>754</v>
      </c>
      <c r="E415" s="104"/>
      <c r="F415" s="37" t="s">
        <v>836</v>
      </c>
      <c r="G415" s="37" t="s">
        <v>836</v>
      </c>
      <c r="H415" s="118" t="s">
        <v>836</v>
      </c>
      <c r="I415" s="119">
        <f>SUM(I416:I426)</f>
        <v>0</v>
      </c>
      <c r="K415" s="8"/>
      <c r="AI415" s="21" t="s">
        <v>710</v>
      </c>
      <c r="AS415" s="31">
        <f>SUM(AJ416:AJ426)</f>
        <v>0</v>
      </c>
      <c r="AT415" s="31">
        <f>SUM(AK416:AK426)</f>
        <v>0</v>
      </c>
      <c r="AU415" s="31">
        <f>SUM(AL416:AL426)</f>
        <v>0</v>
      </c>
    </row>
    <row r="416" spans="1:75" ht="13.5" customHeight="1">
      <c r="A416" s="38" t="s">
        <v>484</v>
      </c>
      <c r="B416" s="39" t="s">
        <v>710</v>
      </c>
      <c r="C416" s="39" t="s">
        <v>919</v>
      </c>
      <c r="D416" s="50" t="s">
        <v>556</v>
      </c>
      <c r="E416" s="51"/>
      <c r="F416" s="39" t="s">
        <v>228</v>
      </c>
      <c r="G416" s="28">
        <v>4</v>
      </c>
      <c r="H416" s="120">
        <v>0</v>
      </c>
      <c r="I416" s="120">
        <f aca="true" t="shared" si="480" ref="I416:I426">G416*H416</f>
        <v>0</v>
      </c>
      <c r="K416" s="8"/>
      <c r="Z416" s="28">
        <f aca="true" t="shared" si="481" ref="Z416:Z426">IF(AQ416="5",BJ416,0)</f>
        <v>0</v>
      </c>
      <c r="AB416" s="28">
        <f aca="true" t="shared" si="482" ref="AB416:AB426">IF(AQ416="1",BH416,0)</f>
        <v>0</v>
      </c>
      <c r="AC416" s="28">
        <f aca="true" t="shared" si="483" ref="AC416:AC426">IF(AQ416="1",BI416,0)</f>
        <v>0</v>
      </c>
      <c r="AD416" s="28">
        <f aca="true" t="shared" si="484" ref="AD416:AD426">IF(AQ416="7",BH416,0)</f>
        <v>0</v>
      </c>
      <c r="AE416" s="28">
        <f aca="true" t="shared" si="485" ref="AE416:AE426">IF(AQ416="7",BI416,0)</f>
        <v>0</v>
      </c>
      <c r="AF416" s="28">
        <f aca="true" t="shared" si="486" ref="AF416:AF426">IF(AQ416="2",BH416,0)</f>
        <v>0</v>
      </c>
      <c r="AG416" s="28">
        <f aca="true" t="shared" si="487" ref="AG416:AG426">IF(AQ416="2",BI416,0)</f>
        <v>0</v>
      </c>
      <c r="AH416" s="28">
        <f aca="true" t="shared" si="488" ref="AH416:AH426">IF(AQ416="0",BJ416,0)</f>
        <v>0</v>
      </c>
      <c r="AI416" s="21" t="s">
        <v>710</v>
      </c>
      <c r="AJ416" s="28">
        <f aca="true" t="shared" si="489" ref="AJ416:AJ426">IF(AN416=0,I416,0)</f>
        <v>0</v>
      </c>
      <c r="AK416" s="28">
        <f aca="true" t="shared" si="490" ref="AK416:AK426">IF(AN416=12,I416,0)</f>
        <v>0</v>
      </c>
      <c r="AL416" s="28">
        <f aca="true" t="shared" si="491" ref="AL416:AL426">IF(AN416=21,I416,0)</f>
        <v>0</v>
      </c>
      <c r="AN416" s="28">
        <v>21</v>
      </c>
      <c r="AO416" s="28">
        <f>H416*0.620309050772627</f>
        <v>0</v>
      </c>
      <c r="AP416" s="28">
        <f>H416*(1-0.620309050772627)</f>
        <v>0</v>
      </c>
      <c r="AQ416" s="30" t="s">
        <v>900</v>
      </c>
      <c r="AV416" s="28">
        <f aca="true" t="shared" si="492" ref="AV416:AV426">AW416+AX416</f>
        <v>0</v>
      </c>
      <c r="AW416" s="28">
        <f aca="true" t="shared" si="493" ref="AW416:AW426">G416*AO416</f>
        <v>0</v>
      </c>
      <c r="AX416" s="28">
        <f aca="true" t="shared" si="494" ref="AX416:AX426">G416*AP416</f>
        <v>0</v>
      </c>
      <c r="AY416" s="30" t="s">
        <v>92</v>
      </c>
      <c r="AZ416" s="30" t="s">
        <v>929</v>
      </c>
      <c r="BA416" s="21" t="s">
        <v>257</v>
      </c>
      <c r="BC416" s="28">
        <f aca="true" t="shared" si="495" ref="BC416:BC426">AW416+AX416</f>
        <v>0</v>
      </c>
      <c r="BD416" s="28">
        <f aca="true" t="shared" si="496" ref="BD416:BD426">H416/(100-BE416)*100</f>
        <v>0</v>
      </c>
      <c r="BE416" s="28">
        <v>0</v>
      </c>
      <c r="BF416" s="28">
        <f>416</f>
        <v>416</v>
      </c>
      <c r="BH416" s="28">
        <f aca="true" t="shared" si="497" ref="BH416:BH426">G416*AO416</f>
        <v>0</v>
      </c>
      <c r="BI416" s="28">
        <f aca="true" t="shared" si="498" ref="BI416:BI426">G416*AP416</f>
        <v>0</v>
      </c>
      <c r="BJ416" s="28">
        <f aca="true" t="shared" si="499" ref="BJ416:BJ426">G416*H416</f>
        <v>0</v>
      </c>
      <c r="BK416" s="28"/>
      <c r="BL416" s="28">
        <v>733</v>
      </c>
      <c r="BW416" s="28">
        <v>21</v>
      </c>
    </row>
    <row r="417" spans="1:75" ht="13.5" customHeight="1">
      <c r="A417" s="38" t="s">
        <v>844</v>
      </c>
      <c r="B417" s="39" t="s">
        <v>710</v>
      </c>
      <c r="C417" s="39" t="s">
        <v>937</v>
      </c>
      <c r="D417" s="50" t="s">
        <v>101</v>
      </c>
      <c r="E417" s="51"/>
      <c r="F417" s="39" t="s">
        <v>228</v>
      </c>
      <c r="G417" s="28">
        <v>4</v>
      </c>
      <c r="H417" s="120">
        <v>0</v>
      </c>
      <c r="I417" s="120">
        <f t="shared" si="480"/>
        <v>0</v>
      </c>
      <c r="K417" s="8"/>
      <c r="Z417" s="28">
        <f t="shared" si="481"/>
        <v>0</v>
      </c>
      <c r="AB417" s="28">
        <f t="shared" si="482"/>
        <v>0</v>
      </c>
      <c r="AC417" s="28">
        <f t="shared" si="483"/>
        <v>0</v>
      </c>
      <c r="AD417" s="28">
        <f t="shared" si="484"/>
        <v>0</v>
      </c>
      <c r="AE417" s="28">
        <f t="shared" si="485"/>
        <v>0</v>
      </c>
      <c r="AF417" s="28">
        <f t="shared" si="486"/>
        <v>0</v>
      </c>
      <c r="AG417" s="28">
        <f t="shared" si="487"/>
        <v>0</v>
      </c>
      <c r="AH417" s="28">
        <f t="shared" si="488"/>
        <v>0</v>
      </c>
      <c r="AI417" s="21" t="s">
        <v>710</v>
      </c>
      <c r="AJ417" s="28">
        <f t="shared" si="489"/>
        <v>0</v>
      </c>
      <c r="AK417" s="28">
        <f t="shared" si="490"/>
        <v>0</v>
      </c>
      <c r="AL417" s="28">
        <f t="shared" si="491"/>
        <v>0</v>
      </c>
      <c r="AN417" s="28">
        <v>21</v>
      </c>
      <c r="AO417" s="28">
        <f>H417*0.259191290824261</f>
        <v>0</v>
      </c>
      <c r="AP417" s="28">
        <f>H417*(1-0.259191290824261)</f>
        <v>0</v>
      </c>
      <c r="AQ417" s="30" t="s">
        <v>900</v>
      </c>
      <c r="AV417" s="28">
        <f t="shared" si="492"/>
        <v>0</v>
      </c>
      <c r="AW417" s="28">
        <f t="shared" si="493"/>
        <v>0</v>
      </c>
      <c r="AX417" s="28">
        <f t="shared" si="494"/>
        <v>0</v>
      </c>
      <c r="AY417" s="30" t="s">
        <v>92</v>
      </c>
      <c r="AZ417" s="30" t="s">
        <v>929</v>
      </c>
      <c r="BA417" s="21" t="s">
        <v>257</v>
      </c>
      <c r="BC417" s="28">
        <f t="shared" si="495"/>
        <v>0</v>
      </c>
      <c r="BD417" s="28">
        <f t="shared" si="496"/>
        <v>0</v>
      </c>
      <c r="BE417" s="28">
        <v>0</v>
      </c>
      <c r="BF417" s="28">
        <f>417</f>
        <v>417</v>
      </c>
      <c r="BH417" s="28">
        <f t="shared" si="497"/>
        <v>0</v>
      </c>
      <c r="BI417" s="28">
        <f t="shared" si="498"/>
        <v>0</v>
      </c>
      <c r="BJ417" s="28">
        <f t="shared" si="499"/>
        <v>0</v>
      </c>
      <c r="BK417" s="28"/>
      <c r="BL417" s="28">
        <v>733</v>
      </c>
      <c r="BW417" s="28">
        <v>21</v>
      </c>
    </row>
    <row r="418" spans="1:75" ht="13.5" customHeight="1">
      <c r="A418" s="38" t="s">
        <v>1017</v>
      </c>
      <c r="B418" s="39" t="s">
        <v>710</v>
      </c>
      <c r="C418" s="39" t="s">
        <v>237</v>
      </c>
      <c r="D418" s="50" t="s">
        <v>622</v>
      </c>
      <c r="E418" s="51"/>
      <c r="F418" s="39" t="s">
        <v>228</v>
      </c>
      <c r="G418" s="28">
        <v>4</v>
      </c>
      <c r="H418" s="120">
        <v>0</v>
      </c>
      <c r="I418" s="120">
        <f t="shared" si="480"/>
        <v>0</v>
      </c>
      <c r="K418" s="8"/>
      <c r="Z418" s="28">
        <f t="shared" si="481"/>
        <v>0</v>
      </c>
      <c r="AB418" s="28">
        <f t="shared" si="482"/>
        <v>0</v>
      </c>
      <c r="AC418" s="28">
        <f t="shared" si="483"/>
        <v>0</v>
      </c>
      <c r="AD418" s="28">
        <f t="shared" si="484"/>
        <v>0</v>
      </c>
      <c r="AE418" s="28">
        <f t="shared" si="485"/>
        <v>0</v>
      </c>
      <c r="AF418" s="28">
        <f t="shared" si="486"/>
        <v>0</v>
      </c>
      <c r="AG418" s="28">
        <f t="shared" si="487"/>
        <v>0</v>
      </c>
      <c r="AH418" s="28">
        <f t="shared" si="488"/>
        <v>0</v>
      </c>
      <c r="AI418" s="21" t="s">
        <v>710</v>
      </c>
      <c r="AJ418" s="28">
        <f t="shared" si="489"/>
        <v>0</v>
      </c>
      <c r="AK418" s="28">
        <f t="shared" si="490"/>
        <v>0</v>
      </c>
      <c r="AL418" s="28">
        <f t="shared" si="491"/>
        <v>0</v>
      </c>
      <c r="AN418" s="28">
        <v>21</v>
      </c>
      <c r="AO418" s="28">
        <f>H418*0.345851428571429</f>
        <v>0</v>
      </c>
      <c r="AP418" s="28">
        <f>H418*(1-0.345851428571429)</f>
        <v>0</v>
      </c>
      <c r="AQ418" s="30" t="s">
        <v>900</v>
      </c>
      <c r="AV418" s="28">
        <f t="shared" si="492"/>
        <v>0</v>
      </c>
      <c r="AW418" s="28">
        <f t="shared" si="493"/>
        <v>0</v>
      </c>
      <c r="AX418" s="28">
        <f t="shared" si="494"/>
        <v>0</v>
      </c>
      <c r="AY418" s="30" t="s">
        <v>92</v>
      </c>
      <c r="AZ418" s="30" t="s">
        <v>929</v>
      </c>
      <c r="BA418" s="21" t="s">
        <v>257</v>
      </c>
      <c r="BC418" s="28">
        <f t="shared" si="495"/>
        <v>0</v>
      </c>
      <c r="BD418" s="28">
        <f t="shared" si="496"/>
        <v>0</v>
      </c>
      <c r="BE418" s="28">
        <v>0</v>
      </c>
      <c r="BF418" s="28">
        <f>418</f>
        <v>418</v>
      </c>
      <c r="BH418" s="28">
        <f t="shared" si="497"/>
        <v>0</v>
      </c>
      <c r="BI418" s="28">
        <f t="shared" si="498"/>
        <v>0</v>
      </c>
      <c r="BJ418" s="28">
        <f t="shared" si="499"/>
        <v>0</v>
      </c>
      <c r="BK418" s="28"/>
      <c r="BL418" s="28">
        <v>733</v>
      </c>
      <c r="BW418" s="28">
        <v>21</v>
      </c>
    </row>
    <row r="419" spans="1:75" ht="13.5" customHeight="1">
      <c r="A419" s="38" t="s">
        <v>54</v>
      </c>
      <c r="B419" s="39" t="s">
        <v>710</v>
      </c>
      <c r="C419" s="39" t="s">
        <v>329</v>
      </c>
      <c r="D419" s="50" t="s">
        <v>575</v>
      </c>
      <c r="E419" s="51"/>
      <c r="F419" s="39" t="s">
        <v>741</v>
      </c>
      <c r="G419" s="28">
        <v>12</v>
      </c>
      <c r="H419" s="120">
        <v>0</v>
      </c>
      <c r="I419" s="120">
        <f t="shared" si="480"/>
        <v>0</v>
      </c>
      <c r="K419" s="8"/>
      <c r="Z419" s="28">
        <f t="shared" si="481"/>
        <v>0</v>
      </c>
      <c r="AB419" s="28">
        <f t="shared" si="482"/>
        <v>0</v>
      </c>
      <c r="AC419" s="28">
        <f t="shared" si="483"/>
        <v>0</v>
      </c>
      <c r="AD419" s="28">
        <f t="shared" si="484"/>
        <v>0</v>
      </c>
      <c r="AE419" s="28">
        <f t="shared" si="485"/>
        <v>0</v>
      </c>
      <c r="AF419" s="28">
        <f t="shared" si="486"/>
        <v>0</v>
      </c>
      <c r="AG419" s="28">
        <f t="shared" si="487"/>
        <v>0</v>
      </c>
      <c r="AH419" s="28">
        <f t="shared" si="488"/>
        <v>0</v>
      </c>
      <c r="AI419" s="21" t="s">
        <v>710</v>
      </c>
      <c r="AJ419" s="28">
        <f t="shared" si="489"/>
        <v>0</v>
      </c>
      <c r="AK419" s="28">
        <f t="shared" si="490"/>
        <v>0</v>
      </c>
      <c r="AL419" s="28">
        <f t="shared" si="491"/>
        <v>0</v>
      </c>
      <c r="AN419" s="28">
        <v>21</v>
      </c>
      <c r="AO419" s="28">
        <f>H419*0.212764227642276</f>
        <v>0</v>
      </c>
      <c r="AP419" s="28">
        <f>H419*(1-0.212764227642276)</f>
        <v>0</v>
      </c>
      <c r="AQ419" s="30" t="s">
        <v>900</v>
      </c>
      <c r="AV419" s="28">
        <f t="shared" si="492"/>
        <v>0</v>
      </c>
      <c r="AW419" s="28">
        <f t="shared" si="493"/>
        <v>0</v>
      </c>
      <c r="AX419" s="28">
        <f t="shared" si="494"/>
        <v>0</v>
      </c>
      <c r="AY419" s="30" t="s">
        <v>92</v>
      </c>
      <c r="AZ419" s="30" t="s">
        <v>929</v>
      </c>
      <c r="BA419" s="21" t="s">
        <v>257</v>
      </c>
      <c r="BC419" s="28">
        <f t="shared" si="495"/>
        <v>0</v>
      </c>
      <c r="BD419" s="28">
        <f t="shared" si="496"/>
        <v>0</v>
      </c>
      <c r="BE419" s="28">
        <v>0</v>
      </c>
      <c r="BF419" s="28">
        <f>419</f>
        <v>419</v>
      </c>
      <c r="BH419" s="28">
        <f t="shared" si="497"/>
        <v>0</v>
      </c>
      <c r="BI419" s="28">
        <f t="shared" si="498"/>
        <v>0</v>
      </c>
      <c r="BJ419" s="28">
        <f t="shared" si="499"/>
        <v>0</v>
      </c>
      <c r="BK419" s="28"/>
      <c r="BL419" s="28">
        <v>733</v>
      </c>
      <c r="BW419" s="28">
        <v>21</v>
      </c>
    </row>
    <row r="420" spans="1:75" ht="13.5" customHeight="1">
      <c r="A420" s="38" t="s">
        <v>884</v>
      </c>
      <c r="B420" s="39" t="s">
        <v>710</v>
      </c>
      <c r="C420" s="39" t="s">
        <v>859</v>
      </c>
      <c r="D420" s="50" t="s">
        <v>137</v>
      </c>
      <c r="E420" s="51"/>
      <c r="F420" s="39" t="s">
        <v>741</v>
      </c>
      <c r="G420" s="28">
        <v>6</v>
      </c>
      <c r="H420" s="120">
        <v>0</v>
      </c>
      <c r="I420" s="120">
        <f t="shared" si="480"/>
        <v>0</v>
      </c>
      <c r="K420" s="8"/>
      <c r="Z420" s="28">
        <f t="shared" si="481"/>
        <v>0</v>
      </c>
      <c r="AB420" s="28">
        <f t="shared" si="482"/>
        <v>0</v>
      </c>
      <c r="AC420" s="28">
        <f t="shared" si="483"/>
        <v>0</v>
      </c>
      <c r="AD420" s="28">
        <f t="shared" si="484"/>
        <v>0</v>
      </c>
      <c r="AE420" s="28">
        <f t="shared" si="485"/>
        <v>0</v>
      </c>
      <c r="AF420" s="28">
        <f t="shared" si="486"/>
        <v>0</v>
      </c>
      <c r="AG420" s="28">
        <f t="shared" si="487"/>
        <v>0</v>
      </c>
      <c r="AH420" s="28">
        <f t="shared" si="488"/>
        <v>0</v>
      </c>
      <c r="AI420" s="21" t="s">
        <v>710</v>
      </c>
      <c r="AJ420" s="28">
        <f t="shared" si="489"/>
        <v>0</v>
      </c>
      <c r="AK420" s="28">
        <f t="shared" si="490"/>
        <v>0</v>
      </c>
      <c r="AL420" s="28">
        <f t="shared" si="491"/>
        <v>0</v>
      </c>
      <c r="AN420" s="28">
        <v>21</v>
      </c>
      <c r="AO420" s="28">
        <f>H420*0.58344860710855</f>
        <v>0</v>
      </c>
      <c r="AP420" s="28">
        <f>H420*(1-0.58344860710855)</f>
        <v>0</v>
      </c>
      <c r="AQ420" s="30" t="s">
        <v>900</v>
      </c>
      <c r="AV420" s="28">
        <f t="shared" si="492"/>
        <v>0</v>
      </c>
      <c r="AW420" s="28">
        <f t="shared" si="493"/>
        <v>0</v>
      </c>
      <c r="AX420" s="28">
        <f t="shared" si="494"/>
        <v>0</v>
      </c>
      <c r="AY420" s="30" t="s">
        <v>92</v>
      </c>
      <c r="AZ420" s="30" t="s">
        <v>929</v>
      </c>
      <c r="BA420" s="21" t="s">
        <v>257</v>
      </c>
      <c r="BC420" s="28">
        <f t="shared" si="495"/>
        <v>0</v>
      </c>
      <c r="BD420" s="28">
        <f t="shared" si="496"/>
        <v>0</v>
      </c>
      <c r="BE420" s="28">
        <v>0</v>
      </c>
      <c r="BF420" s="28">
        <f>420</f>
        <v>420</v>
      </c>
      <c r="BH420" s="28">
        <f t="shared" si="497"/>
        <v>0</v>
      </c>
      <c r="BI420" s="28">
        <f t="shared" si="498"/>
        <v>0</v>
      </c>
      <c r="BJ420" s="28">
        <f t="shared" si="499"/>
        <v>0</v>
      </c>
      <c r="BK420" s="28"/>
      <c r="BL420" s="28">
        <v>733</v>
      </c>
      <c r="BW420" s="28">
        <v>21</v>
      </c>
    </row>
    <row r="421" spans="1:75" ht="13.5" customHeight="1">
      <c r="A421" s="38" t="s">
        <v>60</v>
      </c>
      <c r="B421" s="39" t="s">
        <v>710</v>
      </c>
      <c r="C421" s="39" t="s">
        <v>689</v>
      </c>
      <c r="D421" s="50" t="s">
        <v>770</v>
      </c>
      <c r="E421" s="51"/>
      <c r="F421" s="39" t="s">
        <v>741</v>
      </c>
      <c r="G421" s="28">
        <v>8</v>
      </c>
      <c r="H421" s="120">
        <v>0</v>
      </c>
      <c r="I421" s="120">
        <f t="shared" si="480"/>
        <v>0</v>
      </c>
      <c r="K421" s="8"/>
      <c r="Z421" s="28">
        <f t="shared" si="481"/>
        <v>0</v>
      </c>
      <c r="AB421" s="28">
        <f t="shared" si="482"/>
        <v>0</v>
      </c>
      <c r="AC421" s="28">
        <f t="shared" si="483"/>
        <v>0</v>
      </c>
      <c r="AD421" s="28">
        <f t="shared" si="484"/>
        <v>0</v>
      </c>
      <c r="AE421" s="28">
        <f t="shared" si="485"/>
        <v>0</v>
      </c>
      <c r="AF421" s="28">
        <f t="shared" si="486"/>
        <v>0</v>
      </c>
      <c r="AG421" s="28">
        <f t="shared" si="487"/>
        <v>0</v>
      </c>
      <c r="AH421" s="28">
        <f t="shared" si="488"/>
        <v>0</v>
      </c>
      <c r="AI421" s="21" t="s">
        <v>710</v>
      </c>
      <c r="AJ421" s="28">
        <f t="shared" si="489"/>
        <v>0</v>
      </c>
      <c r="AK421" s="28">
        <f t="shared" si="490"/>
        <v>0</v>
      </c>
      <c r="AL421" s="28">
        <f t="shared" si="491"/>
        <v>0</v>
      </c>
      <c r="AN421" s="28">
        <v>21</v>
      </c>
      <c r="AO421" s="28">
        <f>H421*0.144233333333333</f>
        <v>0</v>
      </c>
      <c r="AP421" s="28">
        <f>H421*(1-0.144233333333333)</f>
        <v>0</v>
      </c>
      <c r="AQ421" s="30" t="s">
        <v>900</v>
      </c>
      <c r="AV421" s="28">
        <f t="shared" si="492"/>
        <v>0</v>
      </c>
      <c r="AW421" s="28">
        <f t="shared" si="493"/>
        <v>0</v>
      </c>
      <c r="AX421" s="28">
        <f t="shared" si="494"/>
        <v>0</v>
      </c>
      <c r="AY421" s="30" t="s">
        <v>92</v>
      </c>
      <c r="AZ421" s="30" t="s">
        <v>929</v>
      </c>
      <c r="BA421" s="21" t="s">
        <v>257</v>
      </c>
      <c r="BC421" s="28">
        <f t="shared" si="495"/>
        <v>0</v>
      </c>
      <c r="BD421" s="28">
        <f t="shared" si="496"/>
        <v>0</v>
      </c>
      <c r="BE421" s="28">
        <v>0</v>
      </c>
      <c r="BF421" s="28">
        <f>421</f>
        <v>421</v>
      </c>
      <c r="BH421" s="28">
        <f t="shared" si="497"/>
        <v>0</v>
      </c>
      <c r="BI421" s="28">
        <f t="shared" si="498"/>
        <v>0</v>
      </c>
      <c r="BJ421" s="28">
        <f t="shared" si="499"/>
        <v>0</v>
      </c>
      <c r="BK421" s="28"/>
      <c r="BL421" s="28">
        <v>733</v>
      </c>
      <c r="BW421" s="28">
        <v>21</v>
      </c>
    </row>
    <row r="422" spans="1:75" ht="13.5" customHeight="1">
      <c r="A422" s="38" t="s">
        <v>1003</v>
      </c>
      <c r="B422" s="39" t="s">
        <v>710</v>
      </c>
      <c r="C422" s="39" t="s">
        <v>843</v>
      </c>
      <c r="D422" s="50" t="s">
        <v>536</v>
      </c>
      <c r="E422" s="51"/>
      <c r="F422" s="39" t="s">
        <v>741</v>
      </c>
      <c r="G422" s="28">
        <v>0.5</v>
      </c>
      <c r="H422" s="120">
        <v>0</v>
      </c>
      <c r="I422" s="120">
        <f t="shared" si="480"/>
        <v>0</v>
      </c>
      <c r="K422" s="8"/>
      <c r="Z422" s="28">
        <f t="shared" si="481"/>
        <v>0</v>
      </c>
      <c r="AB422" s="28">
        <f t="shared" si="482"/>
        <v>0</v>
      </c>
      <c r="AC422" s="28">
        <f t="shared" si="483"/>
        <v>0</v>
      </c>
      <c r="AD422" s="28">
        <f t="shared" si="484"/>
        <v>0</v>
      </c>
      <c r="AE422" s="28">
        <f t="shared" si="485"/>
        <v>0</v>
      </c>
      <c r="AF422" s="28">
        <f t="shared" si="486"/>
        <v>0</v>
      </c>
      <c r="AG422" s="28">
        <f t="shared" si="487"/>
        <v>0</v>
      </c>
      <c r="AH422" s="28">
        <f t="shared" si="488"/>
        <v>0</v>
      </c>
      <c r="AI422" s="21" t="s">
        <v>710</v>
      </c>
      <c r="AJ422" s="28">
        <f t="shared" si="489"/>
        <v>0</v>
      </c>
      <c r="AK422" s="28">
        <f t="shared" si="490"/>
        <v>0</v>
      </c>
      <c r="AL422" s="28">
        <f t="shared" si="491"/>
        <v>0</v>
      </c>
      <c r="AN422" s="28">
        <v>21</v>
      </c>
      <c r="AO422" s="28">
        <f>H422*0.0775828460038986</f>
        <v>0</v>
      </c>
      <c r="AP422" s="28">
        <f>H422*(1-0.0775828460038986)</f>
        <v>0</v>
      </c>
      <c r="AQ422" s="30" t="s">
        <v>900</v>
      </c>
      <c r="AV422" s="28">
        <f t="shared" si="492"/>
        <v>0</v>
      </c>
      <c r="AW422" s="28">
        <f t="shared" si="493"/>
        <v>0</v>
      </c>
      <c r="AX422" s="28">
        <f t="shared" si="494"/>
        <v>0</v>
      </c>
      <c r="AY422" s="30" t="s">
        <v>92</v>
      </c>
      <c r="AZ422" s="30" t="s">
        <v>929</v>
      </c>
      <c r="BA422" s="21" t="s">
        <v>257</v>
      </c>
      <c r="BC422" s="28">
        <f t="shared" si="495"/>
        <v>0</v>
      </c>
      <c r="BD422" s="28">
        <f t="shared" si="496"/>
        <v>0</v>
      </c>
      <c r="BE422" s="28">
        <v>0</v>
      </c>
      <c r="BF422" s="28">
        <f>422</f>
        <v>422</v>
      </c>
      <c r="BH422" s="28">
        <f t="shared" si="497"/>
        <v>0</v>
      </c>
      <c r="BI422" s="28">
        <f t="shared" si="498"/>
        <v>0</v>
      </c>
      <c r="BJ422" s="28">
        <f t="shared" si="499"/>
        <v>0</v>
      </c>
      <c r="BK422" s="28"/>
      <c r="BL422" s="28">
        <v>733</v>
      </c>
      <c r="BW422" s="28">
        <v>21</v>
      </c>
    </row>
    <row r="423" spans="1:75" ht="13.5" customHeight="1">
      <c r="A423" s="38" t="s">
        <v>738</v>
      </c>
      <c r="B423" s="39" t="s">
        <v>710</v>
      </c>
      <c r="C423" s="39" t="s">
        <v>260</v>
      </c>
      <c r="D423" s="50" t="s">
        <v>287</v>
      </c>
      <c r="E423" s="51"/>
      <c r="F423" s="39" t="s">
        <v>741</v>
      </c>
      <c r="G423" s="28">
        <v>14.5</v>
      </c>
      <c r="H423" s="120">
        <v>0</v>
      </c>
      <c r="I423" s="120">
        <f t="shared" si="480"/>
        <v>0</v>
      </c>
      <c r="K423" s="8"/>
      <c r="Z423" s="28">
        <f t="shared" si="481"/>
        <v>0</v>
      </c>
      <c r="AB423" s="28">
        <f t="shared" si="482"/>
        <v>0</v>
      </c>
      <c r="AC423" s="28">
        <f t="shared" si="483"/>
        <v>0</v>
      </c>
      <c r="AD423" s="28">
        <f t="shared" si="484"/>
        <v>0</v>
      </c>
      <c r="AE423" s="28">
        <f t="shared" si="485"/>
        <v>0</v>
      </c>
      <c r="AF423" s="28">
        <f t="shared" si="486"/>
        <v>0</v>
      </c>
      <c r="AG423" s="28">
        <f t="shared" si="487"/>
        <v>0</v>
      </c>
      <c r="AH423" s="28">
        <f t="shared" si="488"/>
        <v>0</v>
      </c>
      <c r="AI423" s="21" t="s">
        <v>710</v>
      </c>
      <c r="AJ423" s="28">
        <f t="shared" si="489"/>
        <v>0</v>
      </c>
      <c r="AK423" s="28">
        <f t="shared" si="490"/>
        <v>0</v>
      </c>
      <c r="AL423" s="28">
        <f t="shared" si="491"/>
        <v>0</v>
      </c>
      <c r="AN423" s="28">
        <v>21</v>
      </c>
      <c r="AO423" s="28">
        <f>H423*0</f>
        <v>0</v>
      </c>
      <c r="AP423" s="28">
        <f>H423*(1-0)</f>
        <v>0</v>
      </c>
      <c r="AQ423" s="30" t="s">
        <v>900</v>
      </c>
      <c r="AV423" s="28">
        <f t="shared" si="492"/>
        <v>0</v>
      </c>
      <c r="AW423" s="28">
        <f t="shared" si="493"/>
        <v>0</v>
      </c>
      <c r="AX423" s="28">
        <f t="shared" si="494"/>
        <v>0</v>
      </c>
      <c r="AY423" s="30" t="s">
        <v>92</v>
      </c>
      <c r="AZ423" s="30" t="s">
        <v>929</v>
      </c>
      <c r="BA423" s="21" t="s">
        <v>257</v>
      </c>
      <c r="BC423" s="28">
        <f t="shared" si="495"/>
        <v>0</v>
      </c>
      <c r="BD423" s="28">
        <f t="shared" si="496"/>
        <v>0</v>
      </c>
      <c r="BE423" s="28">
        <v>0</v>
      </c>
      <c r="BF423" s="28">
        <f>423</f>
        <v>423</v>
      </c>
      <c r="BH423" s="28">
        <f t="shared" si="497"/>
        <v>0</v>
      </c>
      <c r="BI423" s="28">
        <f t="shared" si="498"/>
        <v>0</v>
      </c>
      <c r="BJ423" s="28">
        <f t="shared" si="499"/>
        <v>0</v>
      </c>
      <c r="BK423" s="28"/>
      <c r="BL423" s="28">
        <v>733</v>
      </c>
      <c r="BW423" s="28">
        <v>21</v>
      </c>
    </row>
    <row r="424" spans="1:75" ht="13.5" customHeight="1">
      <c r="A424" s="38" t="s">
        <v>1023</v>
      </c>
      <c r="B424" s="39" t="s">
        <v>710</v>
      </c>
      <c r="C424" s="39" t="s">
        <v>278</v>
      </c>
      <c r="D424" s="50" t="s">
        <v>1068</v>
      </c>
      <c r="E424" s="51"/>
      <c r="F424" s="39" t="s">
        <v>741</v>
      </c>
      <c r="G424" s="28">
        <v>6</v>
      </c>
      <c r="H424" s="120">
        <v>0</v>
      </c>
      <c r="I424" s="120">
        <f t="shared" si="480"/>
        <v>0</v>
      </c>
      <c r="K424" s="8"/>
      <c r="Z424" s="28">
        <f t="shared" si="481"/>
        <v>0</v>
      </c>
      <c r="AB424" s="28">
        <f t="shared" si="482"/>
        <v>0</v>
      </c>
      <c r="AC424" s="28">
        <f t="shared" si="483"/>
        <v>0</v>
      </c>
      <c r="AD424" s="28">
        <f t="shared" si="484"/>
        <v>0</v>
      </c>
      <c r="AE424" s="28">
        <f t="shared" si="485"/>
        <v>0</v>
      </c>
      <c r="AF424" s="28">
        <f t="shared" si="486"/>
        <v>0</v>
      </c>
      <c r="AG424" s="28">
        <f t="shared" si="487"/>
        <v>0</v>
      </c>
      <c r="AH424" s="28">
        <f t="shared" si="488"/>
        <v>0</v>
      </c>
      <c r="AI424" s="21" t="s">
        <v>710</v>
      </c>
      <c r="AJ424" s="28">
        <f t="shared" si="489"/>
        <v>0</v>
      </c>
      <c r="AK424" s="28">
        <f t="shared" si="490"/>
        <v>0</v>
      </c>
      <c r="AL424" s="28">
        <f t="shared" si="491"/>
        <v>0</v>
      </c>
      <c r="AN424" s="28">
        <v>21</v>
      </c>
      <c r="AO424" s="28">
        <f>H424*1</f>
        <v>0</v>
      </c>
      <c r="AP424" s="28">
        <f>H424*(1-1)</f>
        <v>0</v>
      </c>
      <c r="AQ424" s="30" t="s">
        <v>900</v>
      </c>
      <c r="AV424" s="28">
        <f t="shared" si="492"/>
        <v>0</v>
      </c>
      <c r="AW424" s="28">
        <f t="shared" si="493"/>
        <v>0</v>
      </c>
      <c r="AX424" s="28">
        <f t="shared" si="494"/>
        <v>0</v>
      </c>
      <c r="AY424" s="30" t="s">
        <v>92</v>
      </c>
      <c r="AZ424" s="30" t="s">
        <v>929</v>
      </c>
      <c r="BA424" s="21" t="s">
        <v>257</v>
      </c>
      <c r="BC424" s="28">
        <f t="shared" si="495"/>
        <v>0</v>
      </c>
      <c r="BD424" s="28">
        <f t="shared" si="496"/>
        <v>0</v>
      </c>
      <c r="BE424" s="28">
        <v>0</v>
      </c>
      <c r="BF424" s="28">
        <f>424</f>
        <v>424</v>
      </c>
      <c r="BH424" s="28">
        <f t="shared" si="497"/>
        <v>0</v>
      </c>
      <c r="BI424" s="28">
        <f t="shared" si="498"/>
        <v>0</v>
      </c>
      <c r="BJ424" s="28">
        <f t="shared" si="499"/>
        <v>0</v>
      </c>
      <c r="BK424" s="28"/>
      <c r="BL424" s="28">
        <v>733</v>
      </c>
      <c r="BW424" s="28">
        <v>21</v>
      </c>
    </row>
    <row r="425" spans="1:75" ht="13.5" customHeight="1">
      <c r="A425" s="38" t="s">
        <v>339</v>
      </c>
      <c r="B425" s="39" t="s">
        <v>710</v>
      </c>
      <c r="C425" s="39" t="s">
        <v>825</v>
      </c>
      <c r="D425" s="50" t="s">
        <v>1069</v>
      </c>
      <c r="E425" s="51"/>
      <c r="F425" s="39" t="s">
        <v>741</v>
      </c>
      <c r="G425" s="28">
        <v>8</v>
      </c>
      <c r="H425" s="120">
        <v>0</v>
      </c>
      <c r="I425" s="120">
        <f t="shared" si="480"/>
        <v>0</v>
      </c>
      <c r="K425" s="8"/>
      <c r="Z425" s="28">
        <f t="shared" si="481"/>
        <v>0</v>
      </c>
      <c r="AB425" s="28">
        <f t="shared" si="482"/>
        <v>0</v>
      </c>
      <c r="AC425" s="28">
        <f t="shared" si="483"/>
        <v>0</v>
      </c>
      <c r="AD425" s="28">
        <f t="shared" si="484"/>
        <v>0</v>
      </c>
      <c r="AE425" s="28">
        <f t="shared" si="485"/>
        <v>0</v>
      </c>
      <c r="AF425" s="28">
        <f t="shared" si="486"/>
        <v>0</v>
      </c>
      <c r="AG425" s="28">
        <f t="shared" si="487"/>
        <v>0</v>
      </c>
      <c r="AH425" s="28">
        <f t="shared" si="488"/>
        <v>0</v>
      </c>
      <c r="AI425" s="21" t="s">
        <v>710</v>
      </c>
      <c r="AJ425" s="28">
        <f t="shared" si="489"/>
        <v>0</v>
      </c>
      <c r="AK425" s="28">
        <f t="shared" si="490"/>
        <v>0</v>
      </c>
      <c r="AL425" s="28">
        <f t="shared" si="491"/>
        <v>0</v>
      </c>
      <c r="AN425" s="28">
        <v>21</v>
      </c>
      <c r="AO425" s="28">
        <f>H425*1</f>
        <v>0</v>
      </c>
      <c r="AP425" s="28">
        <f>H425*(1-1)</f>
        <v>0</v>
      </c>
      <c r="AQ425" s="30" t="s">
        <v>900</v>
      </c>
      <c r="AV425" s="28">
        <f t="shared" si="492"/>
        <v>0</v>
      </c>
      <c r="AW425" s="28">
        <f t="shared" si="493"/>
        <v>0</v>
      </c>
      <c r="AX425" s="28">
        <f t="shared" si="494"/>
        <v>0</v>
      </c>
      <c r="AY425" s="30" t="s">
        <v>92</v>
      </c>
      <c r="AZ425" s="30" t="s">
        <v>929</v>
      </c>
      <c r="BA425" s="21" t="s">
        <v>257</v>
      </c>
      <c r="BC425" s="28">
        <f t="shared" si="495"/>
        <v>0</v>
      </c>
      <c r="BD425" s="28">
        <f t="shared" si="496"/>
        <v>0</v>
      </c>
      <c r="BE425" s="28">
        <v>0</v>
      </c>
      <c r="BF425" s="28">
        <f>425</f>
        <v>425</v>
      </c>
      <c r="BH425" s="28">
        <f t="shared" si="497"/>
        <v>0</v>
      </c>
      <c r="BI425" s="28">
        <f t="shared" si="498"/>
        <v>0</v>
      </c>
      <c r="BJ425" s="28">
        <f t="shared" si="499"/>
        <v>0</v>
      </c>
      <c r="BK425" s="28"/>
      <c r="BL425" s="28">
        <v>733</v>
      </c>
      <c r="BW425" s="28">
        <v>21</v>
      </c>
    </row>
    <row r="426" spans="1:75" ht="13.5" customHeight="1">
      <c r="A426" s="38" t="s">
        <v>168</v>
      </c>
      <c r="B426" s="39" t="s">
        <v>710</v>
      </c>
      <c r="C426" s="39" t="s">
        <v>587</v>
      </c>
      <c r="D426" s="50" t="s">
        <v>1083</v>
      </c>
      <c r="E426" s="51"/>
      <c r="F426" s="39" t="s">
        <v>741</v>
      </c>
      <c r="G426" s="28">
        <v>0.5</v>
      </c>
      <c r="H426" s="120">
        <v>0</v>
      </c>
      <c r="I426" s="120">
        <f t="shared" si="480"/>
        <v>0</v>
      </c>
      <c r="K426" s="8"/>
      <c r="Z426" s="28">
        <f t="shared" si="481"/>
        <v>0</v>
      </c>
      <c r="AB426" s="28">
        <f t="shared" si="482"/>
        <v>0</v>
      </c>
      <c r="AC426" s="28">
        <f t="shared" si="483"/>
        <v>0</v>
      </c>
      <c r="AD426" s="28">
        <f t="shared" si="484"/>
        <v>0</v>
      </c>
      <c r="AE426" s="28">
        <f t="shared" si="485"/>
        <v>0</v>
      </c>
      <c r="AF426" s="28">
        <f t="shared" si="486"/>
        <v>0</v>
      </c>
      <c r="AG426" s="28">
        <f t="shared" si="487"/>
        <v>0</v>
      </c>
      <c r="AH426" s="28">
        <f t="shared" si="488"/>
        <v>0</v>
      </c>
      <c r="AI426" s="21" t="s">
        <v>710</v>
      </c>
      <c r="AJ426" s="28">
        <f t="shared" si="489"/>
        <v>0</v>
      </c>
      <c r="AK426" s="28">
        <f t="shared" si="490"/>
        <v>0</v>
      </c>
      <c r="AL426" s="28">
        <f t="shared" si="491"/>
        <v>0</v>
      </c>
      <c r="AN426" s="28">
        <v>21</v>
      </c>
      <c r="AO426" s="28">
        <f>H426*1</f>
        <v>0</v>
      </c>
      <c r="AP426" s="28">
        <f>H426*(1-1)</f>
        <v>0</v>
      </c>
      <c r="AQ426" s="30" t="s">
        <v>900</v>
      </c>
      <c r="AV426" s="28">
        <f t="shared" si="492"/>
        <v>0</v>
      </c>
      <c r="AW426" s="28">
        <f t="shared" si="493"/>
        <v>0</v>
      </c>
      <c r="AX426" s="28">
        <f t="shared" si="494"/>
        <v>0</v>
      </c>
      <c r="AY426" s="30" t="s">
        <v>92</v>
      </c>
      <c r="AZ426" s="30" t="s">
        <v>929</v>
      </c>
      <c r="BA426" s="21" t="s">
        <v>257</v>
      </c>
      <c r="BC426" s="28">
        <f t="shared" si="495"/>
        <v>0</v>
      </c>
      <c r="BD426" s="28">
        <f t="shared" si="496"/>
        <v>0</v>
      </c>
      <c r="BE426" s="28">
        <v>0</v>
      </c>
      <c r="BF426" s="28">
        <f>426</f>
        <v>426</v>
      </c>
      <c r="BH426" s="28">
        <f t="shared" si="497"/>
        <v>0</v>
      </c>
      <c r="BI426" s="28">
        <f t="shared" si="498"/>
        <v>0</v>
      </c>
      <c r="BJ426" s="28">
        <f t="shared" si="499"/>
        <v>0</v>
      </c>
      <c r="BK426" s="28"/>
      <c r="BL426" s="28">
        <v>733</v>
      </c>
      <c r="BW426" s="28">
        <v>21</v>
      </c>
    </row>
    <row r="427" spans="1:47" ht="15" customHeight="1">
      <c r="A427" s="3" t="s">
        <v>626</v>
      </c>
      <c r="B427" s="43" t="s">
        <v>710</v>
      </c>
      <c r="C427" s="43" t="s">
        <v>761</v>
      </c>
      <c r="D427" s="103" t="s">
        <v>589</v>
      </c>
      <c r="E427" s="104"/>
      <c r="F427" s="37" t="s">
        <v>836</v>
      </c>
      <c r="G427" s="37" t="s">
        <v>836</v>
      </c>
      <c r="H427" s="118" t="s">
        <v>836</v>
      </c>
      <c r="I427" s="119">
        <f>SUM(I428:I442)</f>
        <v>0</v>
      </c>
      <c r="K427" s="8"/>
      <c r="AI427" s="21" t="s">
        <v>710</v>
      </c>
      <c r="AS427" s="31">
        <f>SUM(AJ428:AJ442)</f>
        <v>0</v>
      </c>
      <c r="AT427" s="31">
        <f>SUM(AK428:AK442)</f>
        <v>0</v>
      </c>
      <c r="AU427" s="31">
        <f>SUM(AL428:AL442)</f>
        <v>0</v>
      </c>
    </row>
    <row r="428" spans="1:75" ht="13.5" customHeight="1">
      <c r="A428" s="38" t="s">
        <v>975</v>
      </c>
      <c r="B428" s="39" t="s">
        <v>710</v>
      </c>
      <c r="C428" s="39" t="s">
        <v>582</v>
      </c>
      <c r="D428" s="50" t="s">
        <v>309</v>
      </c>
      <c r="E428" s="51"/>
      <c r="F428" s="39" t="s">
        <v>228</v>
      </c>
      <c r="G428" s="28">
        <v>6</v>
      </c>
      <c r="H428" s="120">
        <v>0</v>
      </c>
      <c r="I428" s="120">
        <f aca="true" t="shared" si="500" ref="I428:I442">G428*H428</f>
        <v>0</v>
      </c>
      <c r="K428" s="8"/>
      <c r="Z428" s="28">
        <f aca="true" t="shared" si="501" ref="Z428:Z442">IF(AQ428="5",BJ428,0)</f>
        <v>0</v>
      </c>
      <c r="AB428" s="28">
        <f aca="true" t="shared" si="502" ref="AB428:AB442">IF(AQ428="1",BH428,0)</f>
        <v>0</v>
      </c>
      <c r="AC428" s="28">
        <f aca="true" t="shared" si="503" ref="AC428:AC442">IF(AQ428="1",BI428,0)</f>
        <v>0</v>
      </c>
      <c r="AD428" s="28">
        <f aca="true" t="shared" si="504" ref="AD428:AD442">IF(AQ428="7",BH428,0)</f>
        <v>0</v>
      </c>
      <c r="AE428" s="28">
        <f aca="true" t="shared" si="505" ref="AE428:AE442">IF(AQ428="7",BI428,0)</f>
        <v>0</v>
      </c>
      <c r="AF428" s="28">
        <f aca="true" t="shared" si="506" ref="AF428:AF442">IF(AQ428="2",BH428,0)</f>
        <v>0</v>
      </c>
      <c r="AG428" s="28">
        <f aca="true" t="shared" si="507" ref="AG428:AG442">IF(AQ428="2",BI428,0)</f>
        <v>0</v>
      </c>
      <c r="AH428" s="28">
        <f aca="true" t="shared" si="508" ref="AH428:AH442">IF(AQ428="0",BJ428,0)</f>
        <v>0</v>
      </c>
      <c r="AI428" s="21" t="s">
        <v>710</v>
      </c>
      <c r="AJ428" s="28">
        <f aca="true" t="shared" si="509" ref="AJ428:AJ442">IF(AN428=0,I428,0)</f>
        <v>0</v>
      </c>
      <c r="AK428" s="28">
        <f aca="true" t="shared" si="510" ref="AK428:AK442">IF(AN428=12,I428,0)</f>
        <v>0</v>
      </c>
      <c r="AL428" s="28">
        <f aca="true" t="shared" si="511" ref="AL428:AL442">IF(AN428=21,I428,0)</f>
        <v>0</v>
      </c>
      <c r="AN428" s="28">
        <v>21</v>
      </c>
      <c r="AO428" s="28">
        <f>H428*0.289347179920003</f>
        <v>0</v>
      </c>
      <c r="AP428" s="28">
        <f>H428*(1-0.289347179920003)</f>
        <v>0</v>
      </c>
      <c r="AQ428" s="30" t="s">
        <v>900</v>
      </c>
      <c r="AV428" s="28">
        <f aca="true" t="shared" si="512" ref="AV428:AV442">AW428+AX428</f>
        <v>0</v>
      </c>
      <c r="AW428" s="28">
        <f aca="true" t="shared" si="513" ref="AW428:AW442">G428*AO428</f>
        <v>0</v>
      </c>
      <c r="AX428" s="28">
        <f aca="true" t="shared" si="514" ref="AX428:AX442">G428*AP428</f>
        <v>0</v>
      </c>
      <c r="AY428" s="30" t="s">
        <v>178</v>
      </c>
      <c r="AZ428" s="30" t="s">
        <v>929</v>
      </c>
      <c r="BA428" s="21" t="s">
        <v>257</v>
      </c>
      <c r="BC428" s="28">
        <f aca="true" t="shared" si="515" ref="BC428:BC442">AW428+AX428</f>
        <v>0</v>
      </c>
      <c r="BD428" s="28">
        <f aca="true" t="shared" si="516" ref="BD428:BD442">H428/(100-BE428)*100</f>
        <v>0</v>
      </c>
      <c r="BE428" s="28">
        <v>0</v>
      </c>
      <c r="BF428" s="28">
        <f>428</f>
        <v>428</v>
      </c>
      <c r="BH428" s="28">
        <f aca="true" t="shared" si="517" ref="BH428:BH442">G428*AO428</f>
        <v>0</v>
      </c>
      <c r="BI428" s="28">
        <f aca="true" t="shared" si="518" ref="BI428:BI442">G428*AP428</f>
        <v>0</v>
      </c>
      <c r="BJ428" s="28">
        <f aca="true" t="shared" si="519" ref="BJ428:BJ442">G428*H428</f>
        <v>0</v>
      </c>
      <c r="BK428" s="28"/>
      <c r="BL428" s="28">
        <v>734</v>
      </c>
      <c r="BW428" s="28">
        <v>21</v>
      </c>
    </row>
    <row r="429" spans="1:75" ht="13.5" customHeight="1">
      <c r="A429" s="38" t="s">
        <v>648</v>
      </c>
      <c r="B429" s="39" t="s">
        <v>710</v>
      </c>
      <c r="C429" s="39" t="s">
        <v>625</v>
      </c>
      <c r="D429" s="50" t="s">
        <v>634</v>
      </c>
      <c r="E429" s="51"/>
      <c r="F429" s="39" t="s">
        <v>228</v>
      </c>
      <c r="G429" s="28">
        <v>4</v>
      </c>
      <c r="H429" s="120">
        <v>0</v>
      </c>
      <c r="I429" s="120">
        <f t="shared" si="500"/>
        <v>0</v>
      </c>
      <c r="K429" s="8"/>
      <c r="Z429" s="28">
        <f t="shared" si="501"/>
        <v>0</v>
      </c>
      <c r="AB429" s="28">
        <f t="shared" si="502"/>
        <v>0</v>
      </c>
      <c r="AC429" s="28">
        <f t="shared" si="503"/>
        <v>0</v>
      </c>
      <c r="AD429" s="28">
        <f t="shared" si="504"/>
        <v>0</v>
      </c>
      <c r="AE429" s="28">
        <f t="shared" si="505"/>
        <v>0</v>
      </c>
      <c r="AF429" s="28">
        <f t="shared" si="506"/>
        <v>0</v>
      </c>
      <c r="AG429" s="28">
        <f t="shared" si="507"/>
        <v>0</v>
      </c>
      <c r="AH429" s="28">
        <f t="shared" si="508"/>
        <v>0</v>
      </c>
      <c r="AI429" s="21" t="s">
        <v>710</v>
      </c>
      <c r="AJ429" s="28">
        <f t="shared" si="509"/>
        <v>0</v>
      </c>
      <c r="AK429" s="28">
        <f t="shared" si="510"/>
        <v>0</v>
      </c>
      <c r="AL429" s="28">
        <f t="shared" si="511"/>
        <v>0</v>
      </c>
      <c r="AN429" s="28">
        <v>21</v>
      </c>
      <c r="AO429" s="28">
        <f>H429*0.0054421768707483</f>
        <v>0</v>
      </c>
      <c r="AP429" s="28">
        <f>H429*(1-0.0054421768707483)</f>
        <v>0</v>
      </c>
      <c r="AQ429" s="30" t="s">
        <v>900</v>
      </c>
      <c r="AV429" s="28">
        <f t="shared" si="512"/>
        <v>0</v>
      </c>
      <c r="AW429" s="28">
        <f t="shared" si="513"/>
        <v>0</v>
      </c>
      <c r="AX429" s="28">
        <f t="shared" si="514"/>
        <v>0</v>
      </c>
      <c r="AY429" s="30" t="s">
        <v>178</v>
      </c>
      <c r="AZ429" s="30" t="s">
        <v>929</v>
      </c>
      <c r="BA429" s="21" t="s">
        <v>257</v>
      </c>
      <c r="BC429" s="28">
        <f t="shared" si="515"/>
        <v>0</v>
      </c>
      <c r="BD429" s="28">
        <f t="shared" si="516"/>
        <v>0</v>
      </c>
      <c r="BE429" s="28">
        <v>0</v>
      </c>
      <c r="BF429" s="28">
        <f>429</f>
        <v>429</v>
      </c>
      <c r="BH429" s="28">
        <f t="shared" si="517"/>
        <v>0</v>
      </c>
      <c r="BI429" s="28">
        <f t="shared" si="518"/>
        <v>0</v>
      </c>
      <c r="BJ429" s="28">
        <f t="shared" si="519"/>
        <v>0</v>
      </c>
      <c r="BK429" s="28"/>
      <c r="BL429" s="28">
        <v>734</v>
      </c>
      <c r="BW429" s="28">
        <v>21</v>
      </c>
    </row>
    <row r="430" spans="1:75" ht="13.5" customHeight="1">
      <c r="A430" s="38" t="s">
        <v>602</v>
      </c>
      <c r="B430" s="39" t="s">
        <v>710</v>
      </c>
      <c r="C430" s="39" t="s">
        <v>292</v>
      </c>
      <c r="D430" s="50" t="s">
        <v>1071</v>
      </c>
      <c r="E430" s="51"/>
      <c r="F430" s="39" t="s">
        <v>228</v>
      </c>
      <c r="G430" s="28">
        <v>2</v>
      </c>
      <c r="H430" s="120">
        <v>0</v>
      </c>
      <c r="I430" s="120">
        <f t="shared" si="500"/>
        <v>0</v>
      </c>
      <c r="K430" s="8"/>
      <c r="Z430" s="28">
        <f t="shared" si="501"/>
        <v>0</v>
      </c>
      <c r="AB430" s="28">
        <f t="shared" si="502"/>
        <v>0</v>
      </c>
      <c r="AC430" s="28">
        <f t="shared" si="503"/>
        <v>0</v>
      </c>
      <c r="AD430" s="28">
        <f t="shared" si="504"/>
        <v>0</v>
      </c>
      <c r="AE430" s="28">
        <f t="shared" si="505"/>
        <v>0</v>
      </c>
      <c r="AF430" s="28">
        <f t="shared" si="506"/>
        <v>0</v>
      </c>
      <c r="AG430" s="28">
        <f t="shared" si="507"/>
        <v>0</v>
      </c>
      <c r="AH430" s="28">
        <f t="shared" si="508"/>
        <v>0</v>
      </c>
      <c r="AI430" s="21" t="s">
        <v>710</v>
      </c>
      <c r="AJ430" s="28">
        <f t="shared" si="509"/>
        <v>0</v>
      </c>
      <c r="AK430" s="28">
        <f t="shared" si="510"/>
        <v>0</v>
      </c>
      <c r="AL430" s="28">
        <f t="shared" si="511"/>
        <v>0</v>
      </c>
      <c r="AN430" s="28">
        <v>21</v>
      </c>
      <c r="AO430" s="28">
        <f>H430*0.925843353557639</f>
        <v>0</v>
      </c>
      <c r="AP430" s="28">
        <f>H430*(1-0.925843353557639)</f>
        <v>0</v>
      </c>
      <c r="AQ430" s="30" t="s">
        <v>900</v>
      </c>
      <c r="AV430" s="28">
        <f t="shared" si="512"/>
        <v>0</v>
      </c>
      <c r="AW430" s="28">
        <f t="shared" si="513"/>
        <v>0</v>
      </c>
      <c r="AX430" s="28">
        <f t="shared" si="514"/>
        <v>0</v>
      </c>
      <c r="AY430" s="30" t="s">
        <v>178</v>
      </c>
      <c r="AZ430" s="30" t="s">
        <v>929</v>
      </c>
      <c r="BA430" s="21" t="s">
        <v>257</v>
      </c>
      <c r="BC430" s="28">
        <f t="shared" si="515"/>
        <v>0</v>
      </c>
      <c r="BD430" s="28">
        <f t="shared" si="516"/>
        <v>0</v>
      </c>
      <c r="BE430" s="28">
        <v>0</v>
      </c>
      <c r="BF430" s="28">
        <f>430</f>
        <v>430</v>
      </c>
      <c r="BH430" s="28">
        <f t="shared" si="517"/>
        <v>0</v>
      </c>
      <c r="BI430" s="28">
        <f t="shared" si="518"/>
        <v>0</v>
      </c>
      <c r="BJ430" s="28">
        <f t="shared" si="519"/>
        <v>0</v>
      </c>
      <c r="BK430" s="28"/>
      <c r="BL430" s="28">
        <v>734</v>
      </c>
      <c r="BW430" s="28">
        <v>21</v>
      </c>
    </row>
    <row r="431" spans="1:75" ht="13.5" customHeight="1">
      <c r="A431" s="38" t="s">
        <v>953</v>
      </c>
      <c r="B431" s="39" t="s">
        <v>710</v>
      </c>
      <c r="C431" s="39" t="s">
        <v>623</v>
      </c>
      <c r="D431" s="50" t="s">
        <v>479</v>
      </c>
      <c r="E431" s="51"/>
      <c r="F431" s="39" t="s">
        <v>228</v>
      </c>
      <c r="G431" s="28">
        <v>6</v>
      </c>
      <c r="H431" s="120">
        <v>0</v>
      </c>
      <c r="I431" s="120">
        <f t="shared" si="500"/>
        <v>0</v>
      </c>
      <c r="K431" s="8"/>
      <c r="Z431" s="28">
        <f t="shared" si="501"/>
        <v>0</v>
      </c>
      <c r="AB431" s="28">
        <f t="shared" si="502"/>
        <v>0</v>
      </c>
      <c r="AC431" s="28">
        <f t="shared" si="503"/>
        <v>0</v>
      </c>
      <c r="AD431" s="28">
        <f t="shared" si="504"/>
        <v>0</v>
      </c>
      <c r="AE431" s="28">
        <f t="shared" si="505"/>
        <v>0</v>
      </c>
      <c r="AF431" s="28">
        <f t="shared" si="506"/>
        <v>0</v>
      </c>
      <c r="AG431" s="28">
        <f t="shared" si="507"/>
        <v>0</v>
      </c>
      <c r="AH431" s="28">
        <f t="shared" si="508"/>
        <v>0</v>
      </c>
      <c r="AI431" s="21" t="s">
        <v>710</v>
      </c>
      <c r="AJ431" s="28">
        <f t="shared" si="509"/>
        <v>0</v>
      </c>
      <c r="AK431" s="28">
        <f t="shared" si="510"/>
        <v>0</v>
      </c>
      <c r="AL431" s="28">
        <f t="shared" si="511"/>
        <v>0</v>
      </c>
      <c r="AN431" s="28">
        <v>21</v>
      </c>
      <c r="AO431" s="28">
        <f>H431*0.711852348993289</f>
        <v>0</v>
      </c>
      <c r="AP431" s="28">
        <f>H431*(1-0.711852348993289)</f>
        <v>0</v>
      </c>
      <c r="AQ431" s="30" t="s">
        <v>900</v>
      </c>
      <c r="AV431" s="28">
        <f t="shared" si="512"/>
        <v>0</v>
      </c>
      <c r="AW431" s="28">
        <f t="shared" si="513"/>
        <v>0</v>
      </c>
      <c r="AX431" s="28">
        <f t="shared" si="514"/>
        <v>0</v>
      </c>
      <c r="AY431" s="30" t="s">
        <v>178</v>
      </c>
      <c r="AZ431" s="30" t="s">
        <v>929</v>
      </c>
      <c r="BA431" s="21" t="s">
        <v>257</v>
      </c>
      <c r="BC431" s="28">
        <f t="shared" si="515"/>
        <v>0</v>
      </c>
      <c r="BD431" s="28">
        <f t="shared" si="516"/>
        <v>0</v>
      </c>
      <c r="BE431" s="28">
        <v>0</v>
      </c>
      <c r="BF431" s="28">
        <f>431</f>
        <v>431</v>
      </c>
      <c r="BH431" s="28">
        <f t="shared" si="517"/>
        <v>0</v>
      </c>
      <c r="BI431" s="28">
        <f t="shared" si="518"/>
        <v>0</v>
      </c>
      <c r="BJ431" s="28">
        <f t="shared" si="519"/>
        <v>0</v>
      </c>
      <c r="BK431" s="28"/>
      <c r="BL431" s="28">
        <v>734</v>
      </c>
      <c r="BW431" s="28">
        <v>21</v>
      </c>
    </row>
    <row r="432" spans="1:75" ht="13.5" customHeight="1">
      <c r="A432" s="38" t="s">
        <v>938</v>
      </c>
      <c r="B432" s="39" t="s">
        <v>710</v>
      </c>
      <c r="C432" s="39" t="s">
        <v>141</v>
      </c>
      <c r="D432" s="50" t="s">
        <v>716</v>
      </c>
      <c r="E432" s="51"/>
      <c r="F432" s="39" t="s">
        <v>228</v>
      </c>
      <c r="G432" s="28">
        <v>3</v>
      </c>
      <c r="H432" s="120">
        <v>0</v>
      </c>
      <c r="I432" s="120">
        <f t="shared" si="500"/>
        <v>0</v>
      </c>
      <c r="K432" s="8"/>
      <c r="Z432" s="28">
        <f t="shared" si="501"/>
        <v>0</v>
      </c>
      <c r="AB432" s="28">
        <f t="shared" si="502"/>
        <v>0</v>
      </c>
      <c r="AC432" s="28">
        <f t="shared" si="503"/>
        <v>0</v>
      </c>
      <c r="AD432" s="28">
        <f t="shared" si="504"/>
        <v>0</v>
      </c>
      <c r="AE432" s="28">
        <f t="shared" si="505"/>
        <v>0</v>
      </c>
      <c r="AF432" s="28">
        <f t="shared" si="506"/>
        <v>0</v>
      </c>
      <c r="AG432" s="28">
        <f t="shared" si="507"/>
        <v>0</v>
      </c>
      <c r="AH432" s="28">
        <f t="shared" si="508"/>
        <v>0</v>
      </c>
      <c r="AI432" s="21" t="s">
        <v>710</v>
      </c>
      <c r="AJ432" s="28">
        <f t="shared" si="509"/>
        <v>0</v>
      </c>
      <c r="AK432" s="28">
        <f t="shared" si="510"/>
        <v>0</v>
      </c>
      <c r="AL432" s="28">
        <f t="shared" si="511"/>
        <v>0</v>
      </c>
      <c r="AN432" s="28">
        <v>21</v>
      </c>
      <c r="AO432" s="28">
        <f>H432*0.893467248908297</f>
        <v>0</v>
      </c>
      <c r="AP432" s="28">
        <f>H432*(1-0.893467248908297)</f>
        <v>0</v>
      </c>
      <c r="AQ432" s="30" t="s">
        <v>900</v>
      </c>
      <c r="AV432" s="28">
        <f t="shared" si="512"/>
        <v>0</v>
      </c>
      <c r="AW432" s="28">
        <f t="shared" si="513"/>
        <v>0</v>
      </c>
      <c r="AX432" s="28">
        <f t="shared" si="514"/>
        <v>0</v>
      </c>
      <c r="AY432" s="30" t="s">
        <v>178</v>
      </c>
      <c r="AZ432" s="30" t="s">
        <v>929</v>
      </c>
      <c r="BA432" s="21" t="s">
        <v>257</v>
      </c>
      <c r="BC432" s="28">
        <f t="shared" si="515"/>
        <v>0</v>
      </c>
      <c r="BD432" s="28">
        <f t="shared" si="516"/>
        <v>0</v>
      </c>
      <c r="BE432" s="28">
        <v>0</v>
      </c>
      <c r="BF432" s="28">
        <f>432</f>
        <v>432</v>
      </c>
      <c r="BH432" s="28">
        <f t="shared" si="517"/>
        <v>0</v>
      </c>
      <c r="BI432" s="28">
        <f t="shared" si="518"/>
        <v>0</v>
      </c>
      <c r="BJ432" s="28">
        <f t="shared" si="519"/>
        <v>0</v>
      </c>
      <c r="BK432" s="28"/>
      <c r="BL432" s="28">
        <v>734</v>
      </c>
      <c r="BW432" s="28">
        <v>21</v>
      </c>
    </row>
    <row r="433" spans="1:75" ht="13.5" customHeight="1">
      <c r="A433" s="38" t="s">
        <v>205</v>
      </c>
      <c r="B433" s="39" t="s">
        <v>710</v>
      </c>
      <c r="C433" s="39" t="s">
        <v>720</v>
      </c>
      <c r="D433" s="50" t="s">
        <v>401</v>
      </c>
      <c r="E433" s="51"/>
      <c r="F433" s="39" t="s">
        <v>228</v>
      </c>
      <c r="G433" s="28">
        <v>1</v>
      </c>
      <c r="H433" s="120">
        <v>0</v>
      </c>
      <c r="I433" s="120">
        <f t="shared" si="500"/>
        <v>0</v>
      </c>
      <c r="K433" s="8"/>
      <c r="Z433" s="28">
        <f t="shared" si="501"/>
        <v>0</v>
      </c>
      <c r="AB433" s="28">
        <f t="shared" si="502"/>
        <v>0</v>
      </c>
      <c r="AC433" s="28">
        <f t="shared" si="503"/>
        <v>0</v>
      </c>
      <c r="AD433" s="28">
        <f t="shared" si="504"/>
        <v>0</v>
      </c>
      <c r="AE433" s="28">
        <f t="shared" si="505"/>
        <v>0</v>
      </c>
      <c r="AF433" s="28">
        <f t="shared" si="506"/>
        <v>0</v>
      </c>
      <c r="AG433" s="28">
        <f t="shared" si="507"/>
        <v>0</v>
      </c>
      <c r="AH433" s="28">
        <f t="shared" si="508"/>
        <v>0</v>
      </c>
      <c r="AI433" s="21" t="s">
        <v>710</v>
      </c>
      <c r="AJ433" s="28">
        <f t="shared" si="509"/>
        <v>0</v>
      </c>
      <c r="AK433" s="28">
        <f t="shared" si="510"/>
        <v>0</v>
      </c>
      <c r="AL433" s="28">
        <f t="shared" si="511"/>
        <v>0</v>
      </c>
      <c r="AN433" s="28">
        <v>21</v>
      </c>
      <c r="AO433" s="28">
        <f>H433*0.945546104928458</f>
        <v>0</v>
      </c>
      <c r="AP433" s="28">
        <f>H433*(1-0.945546104928458)</f>
        <v>0</v>
      </c>
      <c r="AQ433" s="30" t="s">
        <v>900</v>
      </c>
      <c r="AV433" s="28">
        <f t="shared" si="512"/>
        <v>0</v>
      </c>
      <c r="AW433" s="28">
        <f t="shared" si="513"/>
        <v>0</v>
      </c>
      <c r="AX433" s="28">
        <f t="shared" si="514"/>
        <v>0</v>
      </c>
      <c r="AY433" s="30" t="s">
        <v>178</v>
      </c>
      <c r="AZ433" s="30" t="s">
        <v>929</v>
      </c>
      <c r="BA433" s="21" t="s">
        <v>257</v>
      </c>
      <c r="BC433" s="28">
        <f t="shared" si="515"/>
        <v>0</v>
      </c>
      <c r="BD433" s="28">
        <f t="shared" si="516"/>
        <v>0</v>
      </c>
      <c r="BE433" s="28">
        <v>0</v>
      </c>
      <c r="BF433" s="28">
        <f>433</f>
        <v>433</v>
      </c>
      <c r="BH433" s="28">
        <f t="shared" si="517"/>
        <v>0</v>
      </c>
      <c r="BI433" s="28">
        <f t="shared" si="518"/>
        <v>0</v>
      </c>
      <c r="BJ433" s="28">
        <f t="shared" si="519"/>
        <v>0</v>
      </c>
      <c r="BK433" s="28"/>
      <c r="BL433" s="28">
        <v>734</v>
      </c>
      <c r="BW433" s="28">
        <v>21</v>
      </c>
    </row>
    <row r="434" spans="1:75" ht="13.5" customHeight="1">
      <c r="A434" s="38" t="s">
        <v>907</v>
      </c>
      <c r="B434" s="39" t="s">
        <v>710</v>
      </c>
      <c r="C434" s="39" t="s">
        <v>848</v>
      </c>
      <c r="D434" s="50" t="s">
        <v>440</v>
      </c>
      <c r="E434" s="51"/>
      <c r="F434" s="39" t="s">
        <v>228</v>
      </c>
      <c r="G434" s="28">
        <v>1</v>
      </c>
      <c r="H434" s="120">
        <v>0</v>
      </c>
      <c r="I434" s="120">
        <f t="shared" si="500"/>
        <v>0</v>
      </c>
      <c r="K434" s="8"/>
      <c r="Z434" s="28">
        <f t="shared" si="501"/>
        <v>0</v>
      </c>
      <c r="AB434" s="28">
        <f t="shared" si="502"/>
        <v>0</v>
      </c>
      <c r="AC434" s="28">
        <f t="shared" si="503"/>
        <v>0</v>
      </c>
      <c r="AD434" s="28">
        <f t="shared" si="504"/>
        <v>0</v>
      </c>
      <c r="AE434" s="28">
        <f t="shared" si="505"/>
        <v>0</v>
      </c>
      <c r="AF434" s="28">
        <f t="shared" si="506"/>
        <v>0</v>
      </c>
      <c r="AG434" s="28">
        <f t="shared" si="507"/>
        <v>0</v>
      </c>
      <c r="AH434" s="28">
        <f t="shared" si="508"/>
        <v>0</v>
      </c>
      <c r="AI434" s="21" t="s">
        <v>710</v>
      </c>
      <c r="AJ434" s="28">
        <f t="shared" si="509"/>
        <v>0</v>
      </c>
      <c r="AK434" s="28">
        <f t="shared" si="510"/>
        <v>0</v>
      </c>
      <c r="AL434" s="28">
        <f t="shared" si="511"/>
        <v>0</v>
      </c>
      <c r="AN434" s="28">
        <v>21</v>
      </c>
      <c r="AO434" s="28">
        <f>H434*0.913686165273909</f>
        <v>0</v>
      </c>
      <c r="AP434" s="28">
        <f>H434*(1-0.913686165273909)</f>
        <v>0</v>
      </c>
      <c r="AQ434" s="30" t="s">
        <v>900</v>
      </c>
      <c r="AV434" s="28">
        <f t="shared" si="512"/>
        <v>0</v>
      </c>
      <c r="AW434" s="28">
        <f t="shared" si="513"/>
        <v>0</v>
      </c>
      <c r="AX434" s="28">
        <f t="shared" si="514"/>
        <v>0</v>
      </c>
      <c r="AY434" s="30" t="s">
        <v>178</v>
      </c>
      <c r="AZ434" s="30" t="s">
        <v>929</v>
      </c>
      <c r="BA434" s="21" t="s">
        <v>257</v>
      </c>
      <c r="BC434" s="28">
        <f t="shared" si="515"/>
        <v>0</v>
      </c>
      <c r="BD434" s="28">
        <f t="shared" si="516"/>
        <v>0</v>
      </c>
      <c r="BE434" s="28">
        <v>0</v>
      </c>
      <c r="BF434" s="28">
        <f>434</f>
        <v>434</v>
      </c>
      <c r="BH434" s="28">
        <f t="shared" si="517"/>
        <v>0</v>
      </c>
      <c r="BI434" s="28">
        <f t="shared" si="518"/>
        <v>0</v>
      </c>
      <c r="BJ434" s="28">
        <f t="shared" si="519"/>
        <v>0</v>
      </c>
      <c r="BK434" s="28"/>
      <c r="BL434" s="28">
        <v>734</v>
      </c>
      <c r="BW434" s="28">
        <v>21</v>
      </c>
    </row>
    <row r="435" spans="1:75" ht="13.5" customHeight="1">
      <c r="A435" s="38" t="s">
        <v>643</v>
      </c>
      <c r="B435" s="39" t="s">
        <v>710</v>
      </c>
      <c r="C435" s="39" t="s">
        <v>471</v>
      </c>
      <c r="D435" s="50" t="s">
        <v>1072</v>
      </c>
      <c r="E435" s="51"/>
      <c r="F435" s="39" t="s">
        <v>228</v>
      </c>
      <c r="G435" s="28">
        <v>2</v>
      </c>
      <c r="H435" s="120">
        <v>0</v>
      </c>
      <c r="I435" s="120">
        <f t="shared" si="500"/>
        <v>0</v>
      </c>
      <c r="K435" s="8"/>
      <c r="Z435" s="28">
        <f t="shared" si="501"/>
        <v>0</v>
      </c>
      <c r="AB435" s="28">
        <f t="shared" si="502"/>
        <v>0</v>
      </c>
      <c r="AC435" s="28">
        <f t="shared" si="503"/>
        <v>0</v>
      </c>
      <c r="AD435" s="28">
        <f t="shared" si="504"/>
        <v>0</v>
      </c>
      <c r="AE435" s="28">
        <f t="shared" si="505"/>
        <v>0</v>
      </c>
      <c r="AF435" s="28">
        <f t="shared" si="506"/>
        <v>0</v>
      </c>
      <c r="AG435" s="28">
        <f t="shared" si="507"/>
        <v>0</v>
      </c>
      <c r="AH435" s="28">
        <f t="shared" si="508"/>
        <v>0</v>
      </c>
      <c r="AI435" s="21" t="s">
        <v>710</v>
      </c>
      <c r="AJ435" s="28">
        <f t="shared" si="509"/>
        <v>0</v>
      </c>
      <c r="AK435" s="28">
        <f t="shared" si="510"/>
        <v>0</v>
      </c>
      <c r="AL435" s="28">
        <f t="shared" si="511"/>
        <v>0</v>
      </c>
      <c r="AN435" s="28">
        <v>21</v>
      </c>
      <c r="AO435" s="28">
        <f>H435*0.869366700715015</f>
        <v>0</v>
      </c>
      <c r="AP435" s="28">
        <f>H435*(1-0.869366700715015)</f>
        <v>0</v>
      </c>
      <c r="AQ435" s="30" t="s">
        <v>900</v>
      </c>
      <c r="AV435" s="28">
        <f t="shared" si="512"/>
        <v>0</v>
      </c>
      <c r="AW435" s="28">
        <f t="shared" si="513"/>
        <v>0</v>
      </c>
      <c r="AX435" s="28">
        <f t="shared" si="514"/>
        <v>0</v>
      </c>
      <c r="AY435" s="30" t="s">
        <v>178</v>
      </c>
      <c r="AZ435" s="30" t="s">
        <v>929</v>
      </c>
      <c r="BA435" s="21" t="s">
        <v>257</v>
      </c>
      <c r="BC435" s="28">
        <f t="shared" si="515"/>
        <v>0</v>
      </c>
      <c r="BD435" s="28">
        <f t="shared" si="516"/>
        <v>0</v>
      </c>
      <c r="BE435" s="28">
        <v>0</v>
      </c>
      <c r="BF435" s="28">
        <f>435</f>
        <v>435</v>
      </c>
      <c r="BH435" s="28">
        <f t="shared" si="517"/>
        <v>0</v>
      </c>
      <c r="BI435" s="28">
        <f t="shared" si="518"/>
        <v>0</v>
      </c>
      <c r="BJ435" s="28">
        <f t="shared" si="519"/>
        <v>0</v>
      </c>
      <c r="BK435" s="28"/>
      <c r="BL435" s="28">
        <v>734</v>
      </c>
      <c r="BW435" s="28">
        <v>21</v>
      </c>
    </row>
    <row r="436" spans="1:75" ht="13.5" customHeight="1">
      <c r="A436" s="38" t="s">
        <v>113</v>
      </c>
      <c r="B436" s="39" t="s">
        <v>710</v>
      </c>
      <c r="C436" s="39" t="s">
        <v>923</v>
      </c>
      <c r="D436" s="50" t="s">
        <v>1073</v>
      </c>
      <c r="E436" s="51"/>
      <c r="F436" s="39" t="s">
        <v>228</v>
      </c>
      <c r="G436" s="28">
        <v>1</v>
      </c>
      <c r="H436" s="120">
        <v>0</v>
      </c>
      <c r="I436" s="120">
        <f t="shared" si="500"/>
        <v>0</v>
      </c>
      <c r="K436" s="8"/>
      <c r="Z436" s="28">
        <f t="shared" si="501"/>
        <v>0</v>
      </c>
      <c r="AB436" s="28">
        <f t="shared" si="502"/>
        <v>0</v>
      </c>
      <c r="AC436" s="28">
        <f t="shared" si="503"/>
        <v>0</v>
      </c>
      <c r="AD436" s="28">
        <f t="shared" si="504"/>
        <v>0</v>
      </c>
      <c r="AE436" s="28">
        <f t="shared" si="505"/>
        <v>0</v>
      </c>
      <c r="AF436" s="28">
        <f t="shared" si="506"/>
        <v>0</v>
      </c>
      <c r="AG436" s="28">
        <f t="shared" si="507"/>
        <v>0</v>
      </c>
      <c r="AH436" s="28">
        <f t="shared" si="508"/>
        <v>0</v>
      </c>
      <c r="AI436" s="21" t="s">
        <v>710</v>
      </c>
      <c r="AJ436" s="28">
        <f t="shared" si="509"/>
        <v>0</v>
      </c>
      <c r="AK436" s="28">
        <f t="shared" si="510"/>
        <v>0</v>
      </c>
      <c r="AL436" s="28">
        <f t="shared" si="511"/>
        <v>0</v>
      </c>
      <c r="AN436" s="28">
        <v>21</v>
      </c>
      <c r="AO436" s="28">
        <f>H436*0.929993168165776</f>
        <v>0</v>
      </c>
      <c r="AP436" s="28">
        <f>H436*(1-0.929993168165776)</f>
        <v>0</v>
      </c>
      <c r="AQ436" s="30" t="s">
        <v>900</v>
      </c>
      <c r="AV436" s="28">
        <f t="shared" si="512"/>
        <v>0</v>
      </c>
      <c r="AW436" s="28">
        <f t="shared" si="513"/>
        <v>0</v>
      </c>
      <c r="AX436" s="28">
        <f t="shared" si="514"/>
        <v>0</v>
      </c>
      <c r="AY436" s="30" t="s">
        <v>178</v>
      </c>
      <c r="AZ436" s="30" t="s">
        <v>929</v>
      </c>
      <c r="BA436" s="21" t="s">
        <v>257</v>
      </c>
      <c r="BC436" s="28">
        <f t="shared" si="515"/>
        <v>0</v>
      </c>
      <c r="BD436" s="28">
        <f t="shared" si="516"/>
        <v>0</v>
      </c>
      <c r="BE436" s="28">
        <v>0</v>
      </c>
      <c r="BF436" s="28">
        <f>436</f>
        <v>436</v>
      </c>
      <c r="BH436" s="28">
        <f t="shared" si="517"/>
        <v>0</v>
      </c>
      <c r="BI436" s="28">
        <f t="shared" si="518"/>
        <v>0</v>
      </c>
      <c r="BJ436" s="28">
        <f t="shared" si="519"/>
        <v>0</v>
      </c>
      <c r="BK436" s="28"/>
      <c r="BL436" s="28">
        <v>734</v>
      </c>
      <c r="BW436" s="28">
        <v>21</v>
      </c>
    </row>
    <row r="437" spans="1:75" ht="13.5" customHeight="1">
      <c r="A437" s="38" t="s">
        <v>499</v>
      </c>
      <c r="B437" s="39" t="s">
        <v>710</v>
      </c>
      <c r="C437" s="39" t="s">
        <v>502</v>
      </c>
      <c r="D437" s="50" t="s">
        <v>1084</v>
      </c>
      <c r="E437" s="51"/>
      <c r="F437" s="39" t="s">
        <v>228</v>
      </c>
      <c r="G437" s="28">
        <v>1</v>
      </c>
      <c r="H437" s="120">
        <v>0</v>
      </c>
      <c r="I437" s="120">
        <f t="shared" si="500"/>
        <v>0</v>
      </c>
      <c r="K437" s="8"/>
      <c r="Z437" s="28">
        <f t="shared" si="501"/>
        <v>0</v>
      </c>
      <c r="AB437" s="28">
        <f t="shared" si="502"/>
        <v>0</v>
      </c>
      <c r="AC437" s="28">
        <f t="shared" si="503"/>
        <v>0</v>
      </c>
      <c r="AD437" s="28">
        <f t="shared" si="504"/>
        <v>0</v>
      </c>
      <c r="AE437" s="28">
        <f t="shared" si="505"/>
        <v>0</v>
      </c>
      <c r="AF437" s="28">
        <f t="shared" si="506"/>
        <v>0</v>
      </c>
      <c r="AG437" s="28">
        <f t="shared" si="507"/>
        <v>0</v>
      </c>
      <c r="AH437" s="28">
        <f t="shared" si="508"/>
        <v>0</v>
      </c>
      <c r="AI437" s="21" t="s">
        <v>710</v>
      </c>
      <c r="AJ437" s="28">
        <f t="shared" si="509"/>
        <v>0</v>
      </c>
      <c r="AK437" s="28">
        <f t="shared" si="510"/>
        <v>0</v>
      </c>
      <c r="AL437" s="28">
        <f t="shared" si="511"/>
        <v>0</v>
      </c>
      <c r="AN437" s="28">
        <v>21</v>
      </c>
      <c r="AO437" s="28">
        <f>H437*0.76990099009901</f>
        <v>0</v>
      </c>
      <c r="AP437" s="28">
        <f>H437*(1-0.76990099009901)</f>
        <v>0</v>
      </c>
      <c r="AQ437" s="30" t="s">
        <v>900</v>
      </c>
      <c r="AV437" s="28">
        <f t="shared" si="512"/>
        <v>0</v>
      </c>
      <c r="AW437" s="28">
        <f t="shared" si="513"/>
        <v>0</v>
      </c>
      <c r="AX437" s="28">
        <f t="shared" si="514"/>
        <v>0</v>
      </c>
      <c r="AY437" s="30" t="s">
        <v>178</v>
      </c>
      <c r="AZ437" s="30" t="s">
        <v>929</v>
      </c>
      <c r="BA437" s="21" t="s">
        <v>257</v>
      </c>
      <c r="BC437" s="28">
        <f t="shared" si="515"/>
        <v>0</v>
      </c>
      <c r="BD437" s="28">
        <f t="shared" si="516"/>
        <v>0</v>
      </c>
      <c r="BE437" s="28">
        <v>0</v>
      </c>
      <c r="BF437" s="28">
        <f>437</f>
        <v>437</v>
      </c>
      <c r="BH437" s="28">
        <f t="shared" si="517"/>
        <v>0</v>
      </c>
      <c r="BI437" s="28">
        <f t="shared" si="518"/>
        <v>0</v>
      </c>
      <c r="BJ437" s="28">
        <f t="shared" si="519"/>
        <v>0</v>
      </c>
      <c r="BK437" s="28"/>
      <c r="BL437" s="28">
        <v>734</v>
      </c>
      <c r="BW437" s="28">
        <v>21</v>
      </c>
    </row>
    <row r="438" spans="1:75" ht="13.5" customHeight="1">
      <c r="A438" s="38" t="s">
        <v>962</v>
      </c>
      <c r="B438" s="39" t="s">
        <v>710</v>
      </c>
      <c r="C438" s="39" t="s">
        <v>203</v>
      </c>
      <c r="D438" s="50" t="s">
        <v>1075</v>
      </c>
      <c r="E438" s="51"/>
      <c r="F438" s="39" t="s">
        <v>228</v>
      </c>
      <c r="G438" s="28">
        <v>1</v>
      </c>
      <c r="H438" s="120">
        <v>0</v>
      </c>
      <c r="I438" s="120">
        <f t="shared" si="500"/>
        <v>0</v>
      </c>
      <c r="K438" s="8"/>
      <c r="Z438" s="28">
        <f t="shared" si="501"/>
        <v>0</v>
      </c>
      <c r="AB438" s="28">
        <f t="shared" si="502"/>
        <v>0</v>
      </c>
      <c r="AC438" s="28">
        <f t="shared" si="503"/>
        <v>0</v>
      </c>
      <c r="AD438" s="28">
        <f t="shared" si="504"/>
        <v>0</v>
      </c>
      <c r="AE438" s="28">
        <f t="shared" si="505"/>
        <v>0</v>
      </c>
      <c r="AF438" s="28">
        <f t="shared" si="506"/>
        <v>0</v>
      </c>
      <c r="AG438" s="28">
        <f t="shared" si="507"/>
        <v>0</v>
      </c>
      <c r="AH438" s="28">
        <f t="shared" si="508"/>
        <v>0</v>
      </c>
      <c r="AI438" s="21" t="s">
        <v>710</v>
      </c>
      <c r="AJ438" s="28">
        <f t="shared" si="509"/>
        <v>0</v>
      </c>
      <c r="AK438" s="28">
        <f t="shared" si="510"/>
        <v>0</v>
      </c>
      <c r="AL438" s="28">
        <f t="shared" si="511"/>
        <v>0</v>
      </c>
      <c r="AN438" s="28">
        <v>21</v>
      </c>
      <c r="AO438" s="28">
        <f>H438*0.872981818181818</f>
        <v>0</v>
      </c>
      <c r="AP438" s="28">
        <f>H438*(1-0.872981818181818)</f>
        <v>0</v>
      </c>
      <c r="AQ438" s="30" t="s">
        <v>900</v>
      </c>
      <c r="AV438" s="28">
        <f t="shared" si="512"/>
        <v>0</v>
      </c>
      <c r="AW438" s="28">
        <f t="shared" si="513"/>
        <v>0</v>
      </c>
      <c r="AX438" s="28">
        <f t="shared" si="514"/>
        <v>0</v>
      </c>
      <c r="AY438" s="30" t="s">
        <v>178</v>
      </c>
      <c r="AZ438" s="30" t="s">
        <v>929</v>
      </c>
      <c r="BA438" s="21" t="s">
        <v>257</v>
      </c>
      <c r="BC438" s="28">
        <f t="shared" si="515"/>
        <v>0</v>
      </c>
      <c r="BD438" s="28">
        <f t="shared" si="516"/>
        <v>0</v>
      </c>
      <c r="BE438" s="28">
        <v>0</v>
      </c>
      <c r="BF438" s="28">
        <f>438</f>
        <v>438</v>
      </c>
      <c r="BH438" s="28">
        <f t="shared" si="517"/>
        <v>0</v>
      </c>
      <c r="BI438" s="28">
        <f t="shared" si="518"/>
        <v>0</v>
      </c>
      <c r="BJ438" s="28">
        <f t="shared" si="519"/>
        <v>0</v>
      </c>
      <c r="BK438" s="28"/>
      <c r="BL438" s="28">
        <v>734</v>
      </c>
      <c r="BW438" s="28">
        <v>21</v>
      </c>
    </row>
    <row r="439" spans="1:75" ht="13.5" customHeight="1">
      <c r="A439" s="38" t="s">
        <v>398</v>
      </c>
      <c r="B439" s="39" t="s">
        <v>710</v>
      </c>
      <c r="C439" s="39" t="s">
        <v>365</v>
      </c>
      <c r="D439" s="50" t="s">
        <v>243</v>
      </c>
      <c r="E439" s="51"/>
      <c r="F439" s="39" t="s">
        <v>311</v>
      </c>
      <c r="G439" s="28">
        <v>1</v>
      </c>
      <c r="H439" s="120">
        <v>0</v>
      </c>
      <c r="I439" s="120">
        <f t="shared" si="500"/>
        <v>0</v>
      </c>
      <c r="K439" s="8"/>
      <c r="Z439" s="28">
        <f t="shared" si="501"/>
        <v>0</v>
      </c>
      <c r="AB439" s="28">
        <f t="shared" si="502"/>
        <v>0</v>
      </c>
      <c r="AC439" s="28">
        <f t="shared" si="503"/>
        <v>0</v>
      </c>
      <c r="AD439" s="28">
        <f t="shared" si="504"/>
        <v>0</v>
      </c>
      <c r="AE439" s="28">
        <f t="shared" si="505"/>
        <v>0</v>
      </c>
      <c r="AF439" s="28">
        <f t="shared" si="506"/>
        <v>0</v>
      </c>
      <c r="AG439" s="28">
        <f t="shared" si="507"/>
        <v>0</v>
      </c>
      <c r="AH439" s="28">
        <f t="shared" si="508"/>
        <v>0</v>
      </c>
      <c r="AI439" s="21" t="s">
        <v>710</v>
      </c>
      <c r="AJ439" s="28">
        <f t="shared" si="509"/>
        <v>0</v>
      </c>
      <c r="AK439" s="28">
        <f t="shared" si="510"/>
        <v>0</v>
      </c>
      <c r="AL439" s="28">
        <f t="shared" si="511"/>
        <v>0</v>
      </c>
      <c r="AN439" s="28">
        <v>21</v>
      </c>
      <c r="AO439" s="28">
        <f>H439*0.924761904761905</f>
        <v>0</v>
      </c>
      <c r="AP439" s="28">
        <f>H439*(1-0.924761904761905)</f>
        <v>0</v>
      </c>
      <c r="AQ439" s="30" t="s">
        <v>900</v>
      </c>
      <c r="AV439" s="28">
        <f t="shared" si="512"/>
        <v>0</v>
      </c>
      <c r="AW439" s="28">
        <f t="shared" si="513"/>
        <v>0</v>
      </c>
      <c r="AX439" s="28">
        <f t="shared" si="514"/>
        <v>0</v>
      </c>
      <c r="AY439" s="30" t="s">
        <v>178</v>
      </c>
      <c r="AZ439" s="30" t="s">
        <v>929</v>
      </c>
      <c r="BA439" s="21" t="s">
        <v>257</v>
      </c>
      <c r="BC439" s="28">
        <f t="shared" si="515"/>
        <v>0</v>
      </c>
      <c r="BD439" s="28">
        <f t="shared" si="516"/>
        <v>0</v>
      </c>
      <c r="BE439" s="28">
        <v>0</v>
      </c>
      <c r="BF439" s="28">
        <f>439</f>
        <v>439</v>
      </c>
      <c r="BH439" s="28">
        <f t="shared" si="517"/>
        <v>0</v>
      </c>
      <c r="BI439" s="28">
        <f t="shared" si="518"/>
        <v>0</v>
      </c>
      <c r="BJ439" s="28">
        <f t="shared" si="519"/>
        <v>0</v>
      </c>
      <c r="BK439" s="28"/>
      <c r="BL439" s="28">
        <v>734</v>
      </c>
      <c r="BW439" s="28">
        <v>21</v>
      </c>
    </row>
    <row r="440" spans="1:75" ht="13.5" customHeight="1">
      <c r="A440" s="38" t="s">
        <v>324</v>
      </c>
      <c r="B440" s="39" t="s">
        <v>710</v>
      </c>
      <c r="C440" s="39" t="s">
        <v>501</v>
      </c>
      <c r="D440" s="50" t="s">
        <v>362</v>
      </c>
      <c r="E440" s="51"/>
      <c r="F440" s="39" t="s">
        <v>228</v>
      </c>
      <c r="G440" s="28">
        <v>1</v>
      </c>
      <c r="H440" s="120">
        <v>0</v>
      </c>
      <c r="I440" s="120">
        <f t="shared" si="500"/>
        <v>0</v>
      </c>
      <c r="K440" s="8"/>
      <c r="Z440" s="28">
        <f t="shared" si="501"/>
        <v>0</v>
      </c>
      <c r="AB440" s="28">
        <f t="shared" si="502"/>
        <v>0</v>
      </c>
      <c r="AC440" s="28">
        <f t="shared" si="503"/>
        <v>0</v>
      </c>
      <c r="AD440" s="28">
        <f t="shared" si="504"/>
        <v>0</v>
      </c>
      <c r="AE440" s="28">
        <f t="shared" si="505"/>
        <v>0</v>
      </c>
      <c r="AF440" s="28">
        <f t="shared" si="506"/>
        <v>0</v>
      </c>
      <c r="AG440" s="28">
        <f t="shared" si="507"/>
        <v>0</v>
      </c>
      <c r="AH440" s="28">
        <f t="shared" si="508"/>
        <v>0</v>
      </c>
      <c r="AI440" s="21" t="s">
        <v>710</v>
      </c>
      <c r="AJ440" s="28">
        <f t="shared" si="509"/>
        <v>0</v>
      </c>
      <c r="AK440" s="28">
        <f t="shared" si="510"/>
        <v>0</v>
      </c>
      <c r="AL440" s="28">
        <f t="shared" si="511"/>
        <v>0</v>
      </c>
      <c r="AN440" s="28">
        <v>21</v>
      </c>
      <c r="AO440" s="28">
        <f>H440*0.698084842146545</f>
        <v>0</v>
      </c>
      <c r="AP440" s="28">
        <f>H440*(1-0.698084842146545)</f>
        <v>0</v>
      </c>
      <c r="AQ440" s="30" t="s">
        <v>900</v>
      </c>
      <c r="AV440" s="28">
        <f t="shared" si="512"/>
        <v>0</v>
      </c>
      <c r="AW440" s="28">
        <f t="shared" si="513"/>
        <v>0</v>
      </c>
      <c r="AX440" s="28">
        <f t="shared" si="514"/>
        <v>0</v>
      </c>
      <c r="AY440" s="30" t="s">
        <v>178</v>
      </c>
      <c r="AZ440" s="30" t="s">
        <v>929</v>
      </c>
      <c r="BA440" s="21" t="s">
        <v>257</v>
      </c>
      <c r="BC440" s="28">
        <f t="shared" si="515"/>
        <v>0</v>
      </c>
      <c r="BD440" s="28">
        <f t="shared" si="516"/>
        <v>0</v>
      </c>
      <c r="BE440" s="28">
        <v>0</v>
      </c>
      <c r="BF440" s="28">
        <f>440</f>
        <v>440</v>
      </c>
      <c r="BH440" s="28">
        <f t="shared" si="517"/>
        <v>0</v>
      </c>
      <c r="BI440" s="28">
        <f t="shared" si="518"/>
        <v>0</v>
      </c>
      <c r="BJ440" s="28">
        <f t="shared" si="519"/>
        <v>0</v>
      </c>
      <c r="BK440" s="28"/>
      <c r="BL440" s="28">
        <v>734</v>
      </c>
      <c r="BW440" s="28">
        <v>21</v>
      </c>
    </row>
    <row r="441" spans="1:75" ht="13.5" customHeight="1">
      <c r="A441" s="38" t="s">
        <v>83</v>
      </c>
      <c r="B441" s="39" t="s">
        <v>710</v>
      </c>
      <c r="C441" s="39" t="s">
        <v>321</v>
      </c>
      <c r="D441" s="50" t="s">
        <v>1076</v>
      </c>
      <c r="E441" s="51"/>
      <c r="F441" s="39" t="s">
        <v>228</v>
      </c>
      <c r="G441" s="28">
        <v>1</v>
      </c>
      <c r="H441" s="120">
        <v>0</v>
      </c>
      <c r="I441" s="120">
        <f t="shared" si="500"/>
        <v>0</v>
      </c>
      <c r="K441" s="8"/>
      <c r="Z441" s="28">
        <f t="shared" si="501"/>
        <v>0</v>
      </c>
      <c r="AB441" s="28">
        <f t="shared" si="502"/>
        <v>0</v>
      </c>
      <c r="AC441" s="28">
        <f t="shared" si="503"/>
        <v>0</v>
      </c>
      <c r="AD441" s="28">
        <f t="shared" si="504"/>
        <v>0</v>
      </c>
      <c r="AE441" s="28">
        <f t="shared" si="505"/>
        <v>0</v>
      </c>
      <c r="AF441" s="28">
        <f t="shared" si="506"/>
        <v>0</v>
      </c>
      <c r="AG441" s="28">
        <f t="shared" si="507"/>
        <v>0</v>
      </c>
      <c r="AH441" s="28">
        <f t="shared" si="508"/>
        <v>0</v>
      </c>
      <c r="AI441" s="21" t="s">
        <v>710</v>
      </c>
      <c r="AJ441" s="28">
        <f t="shared" si="509"/>
        <v>0</v>
      </c>
      <c r="AK441" s="28">
        <f t="shared" si="510"/>
        <v>0</v>
      </c>
      <c r="AL441" s="28">
        <f t="shared" si="511"/>
        <v>0</v>
      </c>
      <c r="AN441" s="28">
        <v>21</v>
      </c>
      <c r="AO441" s="28">
        <f>H441*0.796243845047714</f>
        <v>0</v>
      </c>
      <c r="AP441" s="28">
        <f>H441*(1-0.796243845047714)</f>
        <v>0</v>
      </c>
      <c r="AQ441" s="30" t="s">
        <v>900</v>
      </c>
      <c r="AV441" s="28">
        <f t="shared" si="512"/>
        <v>0</v>
      </c>
      <c r="AW441" s="28">
        <f t="shared" si="513"/>
        <v>0</v>
      </c>
      <c r="AX441" s="28">
        <f t="shared" si="514"/>
        <v>0</v>
      </c>
      <c r="AY441" s="30" t="s">
        <v>178</v>
      </c>
      <c r="AZ441" s="30" t="s">
        <v>929</v>
      </c>
      <c r="BA441" s="21" t="s">
        <v>257</v>
      </c>
      <c r="BC441" s="28">
        <f t="shared" si="515"/>
        <v>0</v>
      </c>
      <c r="BD441" s="28">
        <f t="shared" si="516"/>
        <v>0</v>
      </c>
      <c r="BE441" s="28">
        <v>0</v>
      </c>
      <c r="BF441" s="28">
        <f>441</f>
        <v>441</v>
      </c>
      <c r="BH441" s="28">
        <f t="shared" si="517"/>
        <v>0</v>
      </c>
      <c r="BI441" s="28">
        <f t="shared" si="518"/>
        <v>0</v>
      </c>
      <c r="BJ441" s="28">
        <f t="shared" si="519"/>
        <v>0</v>
      </c>
      <c r="BK441" s="28"/>
      <c r="BL441" s="28">
        <v>734</v>
      </c>
      <c r="BW441" s="28">
        <v>21</v>
      </c>
    </row>
    <row r="442" spans="1:75" ht="13.5" customHeight="1">
      <c r="A442" s="38" t="s">
        <v>265</v>
      </c>
      <c r="B442" s="39" t="s">
        <v>710</v>
      </c>
      <c r="C442" s="39" t="s">
        <v>944</v>
      </c>
      <c r="D442" s="50" t="s">
        <v>1085</v>
      </c>
      <c r="E442" s="51"/>
      <c r="F442" s="39" t="s">
        <v>228</v>
      </c>
      <c r="G442" s="28">
        <v>3</v>
      </c>
      <c r="H442" s="120">
        <v>0</v>
      </c>
      <c r="I442" s="120">
        <f t="shared" si="500"/>
        <v>0</v>
      </c>
      <c r="K442" s="8"/>
      <c r="Z442" s="28">
        <f t="shared" si="501"/>
        <v>0</v>
      </c>
      <c r="AB442" s="28">
        <f t="shared" si="502"/>
        <v>0</v>
      </c>
      <c r="AC442" s="28">
        <f t="shared" si="503"/>
        <v>0</v>
      </c>
      <c r="AD442" s="28">
        <f t="shared" si="504"/>
        <v>0</v>
      </c>
      <c r="AE442" s="28">
        <f t="shared" si="505"/>
        <v>0</v>
      </c>
      <c r="AF442" s="28">
        <f t="shared" si="506"/>
        <v>0</v>
      </c>
      <c r="AG442" s="28">
        <f t="shared" si="507"/>
        <v>0</v>
      </c>
      <c r="AH442" s="28">
        <f t="shared" si="508"/>
        <v>0</v>
      </c>
      <c r="AI442" s="21" t="s">
        <v>710</v>
      </c>
      <c r="AJ442" s="28">
        <f t="shared" si="509"/>
        <v>0</v>
      </c>
      <c r="AK442" s="28">
        <f t="shared" si="510"/>
        <v>0</v>
      </c>
      <c r="AL442" s="28">
        <f t="shared" si="511"/>
        <v>0</v>
      </c>
      <c r="AN442" s="28">
        <v>21</v>
      </c>
      <c r="AO442" s="28">
        <f>H442*0.893386019482375</f>
        <v>0</v>
      </c>
      <c r="AP442" s="28">
        <f>H442*(1-0.893386019482375)</f>
        <v>0</v>
      </c>
      <c r="AQ442" s="30" t="s">
        <v>900</v>
      </c>
      <c r="AV442" s="28">
        <f t="shared" si="512"/>
        <v>0</v>
      </c>
      <c r="AW442" s="28">
        <f t="shared" si="513"/>
        <v>0</v>
      </c>
      <c r="AX442" s="28">
        <f t="shared" si="514"/>
        <v>0</v>
      </c>
      <c r="AY442" s="30" t="s">
        <v>178</v>
      </c>
      <c r="AZ442" s="30" t="s">
        <v>929</v>
      </c>
      <c r="BA442" s="21" t="s">
        <v>257</v>
      </c>
      <c r="BC442" s="28">
        <f t="shared" si="515"/>
        <v>0</v>
      </c>
      <c r="BD442" s="28">
        <f t="shared" si="516"/>
        <v>0</v>
      </c>
      <c r="BE442" s="28">
        <v>0</v>
      </c>
      <c r="BF442" s="28">
        <f>442</f>
        <v>442</v>
      </c>
      <c r="BH442" s="28">
        <f t="shared" si="517"/>
        <v>0</v>
      </c>
      <c r="BI442" s="28">
        <f t="shared" si="518"/>
        <v>0</v>
      </c>
      <c r="BJ442" s="28">
        <f t="shared" si="519"/>
        <v>0</v>
      </c>
      <c r="BK442" s="28"/>
      <c r="BL442" s="28">
        <v>734</v>
      </c>
      <c r="BW442" s="28">
        <v>21</v>
      </c>
    </row>
    <row r="443" spans="1:47" ht="15" customHeight="1">
      <c r="A443" s="3" t="s">
        <v>626</v>
      </c>
      <c r="B443" s="43" t="s">
        <v>710</v>
      </c>
      <c r="C443" s="43" t="s">
        <v>390</v>
      </c>
      <c r="D443" s="103" t="s">
        <v>274</v>
      </c>
      <c r="E443" s="104"/>
      <c r="F443" s="37" t="s">
        <v>836</v>
      </c>
      <c r="G443" s="37" t="s">
        <v>836</v>
      </c>
      <c r="H443" s="118" t="s">
        <v>836</v>
      </c>
      <c r="I443" s="119">
        <f>SUM(I444:I445)</f>
        <v>0</v>
      </c>
      <c r="K443" s="8"/>
      <c r="AI443" s="21" t="s">
        <v>710</v>
      </c>
      <c r="AS443" s="31">
        <f>SUM(AJ444:AJ445)</f>
        <v>0</v>
      </c>
      <c r="AT443" s="31">
        <f>SUM(AK444:AK445)</f>
        <v>0</v>
      </c>
      <c r="AU443" s="31">
        <f>SUM(AL444:AL445)</f>
        <v>0</v>
      </c>
    </row>
    <row r="444" spans="1:75" ht="13.5" customHeight="1">
      <c r="A444" s="38" t="s">
        <v>384</v>
      </c>
      <c r="B444" s="39" t="s">
        <v>710</v>
      </c>
      <c r="C444" s="39" t="s">
        <v>774</v>
      </c>
      <c r="D444" s="50" t="s">
        <v>1027</v>
      </c>
      <c r="E444" s="51"/>
      <c r="F444" s="39" t="s">
        <v>853</v>
      </c>
      <c r="G444" s="28">
        <v>50</v>
      </c>
      <c r="H444" s="120">
        <v>0</v>
      </c>
      <c r="I444" s="120">
        <f>G444*H444</f>
        <v>0</v>
      </c>
      <c r="K444" s="8"/>
      <c r="Z444" s="28">
        <f>IF(AQ444="5",BJ444,0)</f>
        <v>0</v>
      </c>
      <c r="AB444" s="28">
        <f>IF(AQ444="1",BH444,0)</f>
        <v>0</v>
      </c>
      <c r="AC444" s="28">
        <f>IF(AQ444="1",BI444,0)</f>
        <v>0</v>
      </c>
      <c r="AD444" s="28">
        <f>IF(AQ444="7",BH444,0)</f>
        <v>0</v>
      </c>
      <c r="AE444" s="28">
        <f>IF(AQ444="7",BI444,0)</f>
        <v>0</v>
      </c>
      <c r="AF444" s="28">
        <f>IF(AQ444="2",BH444,0)</f>
        <v>0</v>
      </c>
      <c r="AG444" s="28">
        <f>IF(AQ444="2",BI444,0)</f>
        <v>0</v>
      </c>
      <c r="AH444" s="28">
        <f>IF(AQ444="0",BJ444,0)</f>
        <v>0</v>
      </c>
      <c r="AI444" s="21" t="s">
        <v>710</v>
      </c>
      <c r="AJ444" s="28">
        <f>IF(AN444=0,I444,0)</f>
        <v>0</v>
      </c>
      <c r="AK444" s="28">
        <f>IF(AN444=12,I444,0)</f>
        <v>0</v>
      </c>
      <c r="AL444" s="28">
        <f>IF(AN444=21,I444,0)</f>
        <v>0</v>
      </c>
      <c r="AN444" s="28">
        <v>21</v>
      </c>
      <c r="AO444" s="28">
        <f>H444*0.166280991735537</f>
        <v>0</v>
      </c>
      <c r="AP444" s="28">
        <f>H444*(1-0.166280991735537)</f>
        <v>0</v>
      </c>
      <c r="AQ444" s="30" t="s">
        <v>900</v>
      </c>
      <c r="AV444" s="28">
        <f>AW444+AX444</f>
        <v>0</v>
      </c>
      <c r="AW444" s="28">
        <f>G444*AO444</f>
        <v>0</v>
      </c>
      <c r="AX444" s="28">
        <f>G444*AP444</f>
        <v>0</v>
      </c>
      <c r="AY444" s="30" t="s">
        <v>250</v>
      </c>
      <c r="AZ444" s="30" t="s">
        <v>90</v>
      </c>
      <c r="BA444" s="21" t="s">
        <v>257</v>
      </c>
      <c r="BC444" s="28">
        <f>AW444+AX444</f>
        <v>0</v>
      </c>
      <c r="BD444" s="28">
        <f>H444/(100-BE444)*100</f>
        <v>0</v>
      </c>
      <c r="BE444" s="28">
        <v>0</v>
      </c>
      <c r="BF444" s="28">
        <f>444</f>
        <v>444</v>
      </c>
      <c r="BH444" s="28">
        <f>G444*AO444</f>
        <v>0</v>
      </c>
      <c r="BI444" s="28">
        <f>G444*AP444</f>
        <v>0</v>
      </c>
      <c r="BJ444" s="28">
        <f>G444*H444</f>
        <v>0</v>
      </c>
      <c r="BK444" s="28"/>
      <c r="BL444" s="28">
        <v>767</v>
      </c>
      <c r="BW444" s="28">
        <v>21</v>
      </c>
    </row>
    <row r="445" spans="1:75" ht="13.5" customHeight="1">
      <c r="A445" s="38" t="s">
        <v>0</v>
      </c>
      <c r="B445" s="39" t="s">
        <v>710</v>
      </c>
      <c r="C445" s="39" t="s">
        <v>783</v>
      </c>
      <c r="D445" s="50" t="s">
        <v>39</v>
      </c>
      <c r="E445" s="51"/>
      <c r="F445" s="39" t="s">
        <v>853</v>
      </c>
      <c r="G445" s="28">
        <v>60</v>
      </c>
      <c r="H445" s="120">
        <v>0</v>
      </c>
      <c r="I445" s="120">
        <f>G445*H445</f>
        <v>0</v>
      </c>
      <c r="K445" s="8"/>
      <c r="Z445" s="28">
        <f>IF(AQ445="5",BJ445,0)</f>
        <v>0</v>
      </c>
      <c r="AB445" s="28">
        <f>IF(AQ445="1",BH445,0)</f>
        <v>0</v>
      </c>
      <c r="AC445" s="28">
        <f>IF(AQ445="1",BI445,0)</f>
        <v>0</v>
      </c>
      <c r="AD445" s="28">
        <f>IF(AQ445="7",BH445,0)</f>
        <v>0</v>
      </c>
      <c r="AE445" s="28">
        <f>IF(AQ445="7",BI445,0)</f>
        <v>0</v>
      </c>
      <c r="AF445" s="28">
        <f>IF(AQ445="2",BH445,0)</f>
        <v>0</v>
      </c>
      <c r="AG445" s="28">
        <f>IF(AQ445="2",BI445,0)</f>
        <v>0</v>
      </c>
      <c r="AH445" s="28">
        <f>IF(AQ445="0",BJ445,0)</f>
        <v>0</v>
      </c>
      <c r="AI445" s="21" t="s">
        <v>710</v>
      </c>
      <c r="AJ445" s="28">
        <f>IF(AN445=0,I445,0)</f>
        <v>0</v>
      </c>
      <c r="AK445" s="28">
        <f>IF(AN445=12,I445,0)</f>
        <v>0</v>
      </c>
      <c r="AL445" s="28">
        <f>IF(AN445=21,I445,0)</f>
        <v>0</v>
      </c>
      <c r="AN445" s="28">
        <v>21</v>
      </c>
      <c r="AO445" s="28">
        <f>H445*0.329041487839771</f>
        <v>0</v>
      </c>
      <c r="AP445" s="28">
        <f>H445*(1-0.329041487839771)</f>
        <v>0</v>
      </c>
      <c r="AQ445" s="30" t="s">
        <v>900</v>
      </c>
      <c r="AV445" s="28">
        <f>AW445+AX445</f>
        <v>0</v>
      </c>
      <c r="AW445" s="28">
        <f>G445*AO445</f>
        <v>0</v>
      </c>
      <c r="AX445" s="28">
        <f>G445*AP445</f>
        <v>0</v>
      </c>
      <c r="AY445" s="30" t="s">
        <v>250</v>
      </c>
      <c r="AZ445" s="30" t="s">
        <v>90</v>
      </c>
      <c r="BA445" s="21" t="s">
        <v>257</v>
      </c>
      <c r="BC445" s="28">
        <f>AW445+AX445</f>
        <v>0</v>
      </c>
      <c r="BD445" s="28">
        <f>H445/(100-BE445)*100</f>
        <v>0</v>
      </c>
      <c r="BE445" s="28">
        <v>0</v>
      </c>
      <c r="BF445" s="28">
        <f>445</f>
        <v>445</v>
      </c>
      <c r="BH445" s="28">
        <f>G445*AO445</f>
        <v>0</v>
      </c>
      <c r="BI445" s="28">
        <f>G445*AP445</f>
        <v>0</v>
      </c>
      <c r="BJ445" s="28">
        <f>G445*H445</f>
        <v>0</v>
      </c>
      <c r="BK445" s="28"/>
      <c r="BL445" s="28">
        <v>767</v>
      </c>
      <c r="BW445" s="28">
        <v>21</v>
      </c>
    </row>
    <row r="446" spans="1:35" ht="15" customHeight="1">
      <c r="A446" s="3" t="s">
        <v>626</v>
      </c>
      <c r="B446" s="43" t="s">
        <v>710</v>
      </c>
      <c r="C446" s="43" t="s">
        <v>626</v>
      </c>
      <c r="D446" s="103" t="s">
        <v>523</v>
      </c>
      <c r="E446" s="104"/>
      <c r="F446" s="37" t="s">
        <v>836</v>
      </c>
      <c r="G446" s="37" t="s">
        <v>836</v>
      </c>
      <c r="H446" s="118" t="s">
        <v>836</v>
      </c>
      <c r="I446" s="119">
        <f>I447</f>
        <v>0</v>
      </c>
      <c r="K446" s="8"/>
      <c r="AI446" s="21" t="s">
        <v>710</v>
      </c>
    </row>
    <row r="447" spans="1:47" ht="15" customHeight="1">
      <c r="A447" s="3" t="s">
        <v>626</v>
      </c>
      <c r="B447" s="43" t="s">
        <v>710</v>
      </c>
      <c r="C447" s="43" t="s">
        <v>79</v>
      </c>
      <c r="D447" s="103" t="s">
        <v>868</v>
      </c>
      <c r="E447" s="104"/>
      <c r="F447" s="37" t="s">
        <v>836</v>
      </c>
      <c r="G447" s="37" t="s">
        <v>836</v>
      </c>
      <c r="H447" s="118" t="s">
        <v>836</v>
      </c>
      <c r="I447" s="119">
        <f>SUM(I448:I448)</f>
        <v>0</v>
      </c>
      <c r="K447" s="8"/>
      <c r="AI447" s="21" t="s">
        <v>710</v>
      </c>
      <c r="AS447" s="31">
        <f>SUM(AJ448:AJ448)</f>
        <v>0</v>
      </c>
      <c r="AT447" s="31">
        <f>SUM(AK448:AK448)</f>
        <v>0</v>
      </c>
      <c r="AU447" s="31">
        <f>SUM(AL448:AL448)</f>
        <v>0</v>
      </c>
    </row>
    <row r="448" spans="1:75" ht="13.5" customHeight="1">
      <c r="A448" s="38" t="s">
        <v>42</v>
      </c>
      <c r="B448" s="39" t="s">
        <v>710</v>
      </c>
      <c r="C448" s="39" t="s">
        <v>617</v>
      </c>
      <c r="D448" s="50" t="s">
        <v>1016</v>
      </c>
      <c r="E448" s="51"/>
      <c r="F448" s="39" t="s">
        <v>603</v>
      </c>
      <c r="G448" s="28">
        <v>1</v>
      </c>
      <c r="H448" s="120">
        <v>0</v>
      </c>
      <c r="I448" s="120">
        <f>G448*H448</f>
        <v>0</v>
      </c>
      <c r="K448" s="8"/>
      <c r="Z448" s="28">
        <f>IF(AQ448="5",BJ448,0)</f>
        <v>0</v>
      </c>
      <c r="AB448" s="28">
        <f>IF(AQ448="1",BH448,0)</f>
        <v>0</v>
      </c>
      <c r="AC448" s="28">
        <f>IF(AQ448="1",BI448,0)</f>
        <v>0</v>
      </c>
      <c r="AD448" s="28">
        <f>IF(AQ448="7",BH448,0)</f>
        <v>0</v>
      </c>
      <c r="AE448" s="28">
        <f>IF(AQ448="7",BI448,0)</f>
        <v>0</v>
      </c>
      <c r="AF448" s="28">
        <f>IF(AQ448="2",BH448,0)</f>
        <v>0</v>
      </c>
      <c r="AG448" s="28">
        <f>IF(AQ448="2",BI448,0)</f>
        <v>0</v>
      </c>
      <c r="AH448" s="28">
        <f>IF(AQ448="0",BJ448,0)</f>
        <v>0</v>
      </c>
      <c r="AI448" s="21" t="s">
        <v>710</v>
      </c>
      <c r="AJ448" s="28">
        <f>IF(AN448=0,I448,0)</f>
        <v>0</v>
      </c>
      <c r="AK448" s="28">
        <f>IF(AN448=12,I448,0)</f>
        <v>0</v>
      </c>
      <c r="AL448" s="28">
        <f>IF(AN448=21,I448,0)</f>
        <v>0</v>
      </c>
      <c r="AN448" s="28">
        <v>21</v>
      </c>
      <c r="AO448" s="28">
        <f>H448*0</f>
        <v>0</v>
      </c>
      <c r="AP448" s="28">
        <f>H448*(1-0)</f>
        <v>0</v>
      </c>
      <c r="AQ448" s="30" t="s">
        <v>408</v>
      </c>
      <c r="AV448" s="28">
        <f>AW448+AX448</f>
        <v>0</v>
      </c>
      <c r="AW448" s="28">
        <f>G448*AO448</f>
        <v>0</v>
      </c>
      <c r="AX448" s="28">
        <f>G448*AP448</f>
        <v>0</v>
      </c>
      <c r="AY448" s="30" t="s">
        <v>462</v>
      </c>
      <c r="AZ448" s="30" t="s">
        <v>516</v>
      </c>
      <c r="BA448" s="21" t="s">
        <v>257</v>
      </c>
      <c r="BC448" s="28">
        <f>AW448+AX448</f>
        <v>0</v>
      </c>
      <c r="BD448" s="28">
        <f>H448/(100-BE448)*100</f>
        <v>0</v>
      </c>
      <c r="BE448" s="28">
        <v>0</v>
      </c>
      <c r="BF448" s="28">
        <f>448</f>
        <v>448</v>
      </c>
      <c r="BH448" s="28">
        <f>G448*AO448</f>
        <v>0</v>
      </c>
      <c r="BI448" s="28">
        <f>G448*AP448</f>
        <v>0</v>
      </c>
      <c r="BJ448" s="28">
        <f>G448*H448</f>
        <v>0</v>
      </c>
      <c r="BK448" s="28"/>
      <c r="BL448" s="28"/>
      <c r="BR448" s="28">
        <f>G448*H448</f>
        <v>0</v>
      </c>
      <c r="BW448" s="28">
        <v>21</v>
      </c>
    </row>
    <row r="449" spans="1:11" ht="15" customHeight="1">
      <c r="A449" s="3" t="s">
        <v>626</v>
      </c>
      <c r="B449" s="43" t="s">
        <v>557</v>
      </c>
      <c r="C449" s="43" t="s">
        <v>626</v>
      </c>
      <c r="D449" s="103" t="s">
        <v>786</v>
      </c>
      <c r="E449" s="104"/>
      <c r="F449" s="37" t="s">
        <v>836</v>
      </c>
      <c r="G449" s="37" t="s">
        <v>836</v>
      </c>
      <c r="H449" s="118" t="s">
        <v>836</v>
      </c>
      <c r="I449" s="119">
        <f>I450+I460+I462+I475+I477+I485+I497+I513+I517</f>
        <v>0</v>
      </c>
      <c r="K449" s="8"/>
    </row>
    <row r="450" spans="1:47" ht="15" customHeight="1">
      <c r="A450" s="3" t="s">
        <v>626</v>
      </c>
      <c r="B450" s="43" t="s">
        <v>557</v>
      </c>
      <c r="C450" s="43" t="s">
        <v>451</v>
      </c>
      <c r="D450" s="103" t="s">
        <v>538</v>
      </c>
      <c r="E450" s="104"/>
      <c r="F450" s="37" t="s">
        <v>836</v>
      </c>
      <c r="G450" s="37" t="s">
        <v>836</v>
      </c>
      <c r="H450" s="118" t="s">
        <v>836</v>
      </c>
      <c r="I450" s="119">
        <f>SUM(I451:I459)</f>
        <v>0</v>
      </c>
      <c r="K450" s="8"/>
      <c r="AI450" s="21" t="s">
        <v>557</v>
      </c>
      <c r="AS450" s="31">
        <f>SUM(AJ451:AJ459)</f>
        <v>0</v>
      </c>
      <c r="AT450" s="31">
        <f>SUM(AK451:AK459)</f>
        <v>0</v>
      </c>
      <c r="AU450" s="31">
        <f>SUM(AL451:AL459)</f>
        <v>0</v>
      </c>
    </row>
    <row r="451" spans="1:75" ht="13.5" customHeight="1">
      <c r="A451" s="38" t="s">
        <v>644</v>
      </c>
      <c r="B451" s="39" t="s">
        <v>557</v>
      </c>
      <c r="C451" s="39" t="s">
        <v>840</v>
      </c>
      <c r="D451" s="50" t="s">
        <v>483</v>
      </c>
      <c r="E451" s="51"/>
      <c r="F451" s="39" t="s">
        <v>228</v>
      </c>
      <c r="G451" s="28">
        <v>1</v>
      </c>
      <c r="H451" s="120">
        <v>0</v>
      </c>
      <c r="I451" s="120">
        <f aca="true" t="shared" si="520" ref="I451:I459">G451*H451</f>
        <v>0</v>
      </c>
      <c r="K451" s="8"/>
      <c r="Z451" s="28">
        <f aca="true" t="shared" si="521" ref="Z451:Z459">IF(AQ451="5",BJ451,0)</f>
        <v>0</v>
      </c>
      <c r="AB451" s="28">
        <f aca="true" t="shared" si="522" ref="AB451:AB459">IF(AQ451="1",BH451,0)</f>
        <v>0</v>
      </c>
      <c r="AC451" s="28">
        <f aca="true" t="shared" si="523" ref="AC451:AC459">IF(AQ451="1",BI451,0)</f>
        <v>0</v>
      </c>
      <c r="AD451" s="28">
        <f aca="true" t="shared" si="524" ref="AD451:AD459">IF(AQ451="7",BH451,0)</f>
        <v>0</v>
      </c>
      <c r="AE451" s="28">
        <f aca="true" t="shared" si="525" ref="AE451:AE459">IF(AQ451="7",BI451,0)</f>
        <v>0</v>
      </c>
      <c r="AF451" s="28">
        <f aca="true" t="shared" si="526" ref="AF451:AF459">IF(AQ451="2",BH451,0)</f>
        <v>0</v>
      </c>
      <c r="AG451" s="28">
        <f aca="true" t="shared" si="527" ref="AG451:AG459">IF(AQ451="2",BI451,0)</f>
        <v>0</v>
      </c>
      <c r="AH451" s="28">
        <f aca="true" t="shared" si="528" ref="AH451:AH459">IF(AQ451="0",BJ451,0)</f>
        <v>0</v>
      </c>
      <c r="AI451" s="21" t="s">
        <v>557</v>
      </c>
      <c r="AJ451" s="28">
        <f aca="true" t="shared" si="529" ref="AJ451:AJ459">IF(AN451=0,I451,0)</f>
        <v>0</v>
      </c>
      <c r="AK451" s="28">
        <f aca="true" t="shared" si="530" ref="AK451:AK459">IF(AN451=12,I451,0)</f>
        <v>0</v>
      </c>
      <c r="AL451" s="28">
        <f aca="true" t="shared" si="531" ref="AL451:AL459">IF(AN451=21,I451,0)</f>
        <v>0</v>
      </c>
      <c r="AN451" s="28">
        <v>21</v>
      </c>
      <c r="AO451" s="28">
        <f>H451*0</f>
        <v>0</v>
      </c>
      <c r="AP451" s="28">
        <f>H451*(1-0)</f>
        <v>0</v>
      </c>
      <c r="AQ451" s="30" t="s">
        <v>893</v>
      </c>
      <c r="AV451" s="28">
        <f aca="true" t="shared" si="532" ref="AV451:AV459">AW451+AX451</f>
        <v>0</v>
      </c>
      <c r="AW451" s="28">
        <f aca="true" t="shared" si="533" ref="AW451:AW459">G451*AO451</f>
        <v>0</v>
      </c>
      <c r="AX451" s="28">
        <f aca="true" t="shared" si="534" ref="AX451:AX459">G451*AP451</f>
        <v>0</v>
      </c>
      <c r="AY451" s="30" t="s">
        <v>792</v>
      </c>
      <c r="AZ451" s="30" t="s">
        <v>993</v>
      </c>
      <c r="BA451" s="21" t="s">
        <v>569</v>
      </c>
      <c r="BC451" s="28">
        <f aca="true" t="shared" si="535" ref="BC451:BC459">AW451+AX451</f>
        <v>0</v>
      </c>
      <c r="BD451" s="28">
        <f aca="true" t="shared" si="536" ref="BD451:BD459">H451/(100-BE451)*100</f>
        <v>0</v>
      </c>
      <c r="BE451" s="28">
        <v>0</v>
      </c>
      <c r="BF451" s="28">
        <f>451</f>
        <v>451</v>
      </c>
      <c r="BH451" s="28">
        <f aca="true" t="shared" si="537" ref="BH451:BH459">G451*AO451</f>
        <v>0</v>
      </c>
      <c r="BI451" s="28">
        <f aca="true" t="shared" si="538" ref="BI451:BI459">G451*AP451</f>
        <v>0</v>
      </c>
      <c r="BJ451" s="28">
        <f aca="true" t="shared" si="539" ref="BJ451:BJ459">G451*H451</f>
        <v>0</v>
      </c>
      <c r="BK451" s="28"/>
      <c r="BL451" s="28">
        <v>0</v>
      </c>
      <c r="BW451" s="28">
        <v>21</v>
      </c>
    </row>
    <row r="452" spans="1:75" ht="13.5" customHeight="1">
      <c r="A452" s="38" t="s">
        <v>558</v>
      </c>
      <c r="B452" s="39" t="s">
        <v>557</v>
      </c>
      <c r="C452" s="39" t="s">
        <v>624</v>
      </c>
      <c r="D452" s="50" t="s">
        <v>763</v>
      </c>
      <c r="E452" s="51"/>
      <c r="F452" s="39" t="s">
        <v>473</v>
      </c>
      <c r="G452" s="28">
        <v>8</v>
      </c>
      <c r="H452" s="120">
        <v>0</v>
      </c>
      <c r="I452" s="120">
        <f t="shared" si="520"/>
        <v>0</v>
      </c>
      <c r="K452" s="8"/>
      <c r="Z452" s="28">
        <f t="shared" si="521"/>
        <v>0</v>
      </c>
      <c r="AB452" s="28">
        <f t="shared" si="522"/>
        <v>0</v>
      </c>
      <c r="AC452" s="28">
        <f t="shared" si="523"/>
        <v>0</v>
      </c>
      <c r="AD452" s="28">
        <f t="shared" si="524"/>
        <v>0</v>
      </c>
      <c r="AE452" s="28">
        <f t="shared" si="525"/>
        <v>0</v>
      </c>
      <c r="AF452" s="28">
        <f t="shared" si="526"/>
        <v>0</v>
      </c>
      <c r="AG452" s="28">
        <f t="shared" si="527"/>
        <v>0</v>
      </c>
      <c r="AH452" s="28">
        <f t="shared" si="528"/>
        <v>0</v>
      </c>
      <c r="AI452" s="21" t="s">
        <v>557</v>
      </c>
      <c r="AJ452" s="28">
        <f t="shared" si="529"/>
        <v>0</v>
      </c>
      <c r="AK452" s="28">
        <f t="shared" si="530"/>
        <v>0</v>
      </c>
      <c r="AL452" s="28">
        <f t="shared" si="531"/>
        <v>0</v>
      </c>
      <c r="AN452" s="28">
        <v>21</v>
      </c>
      <c r="AO452" s="28">
        <f>H452*0</f>
        <v>0</v>
      </c>
      <c r="AP452" s="28">
        <f>H452*(1-0)</f>
        <v>0</v>
      </c>
      <c r="AQ452" s="30" t="s">
        <v>893</v>
      </c>
      <c r="AV452" s="28">
        <f t="shared" si="532"/>
        <v>0</v>
      </c>
      <c r="AW452" s="28">
        <f t="shared" si="533"/>
        <v>0</v>
      </c>
      <c r="AX452" s="28">
        <f t="shared" si="534"/>
        <v>0</v>
      </c>
      <c r="AY452" s="30" t="s">
        <v>792</v>
      </c>
      <c r="AZ452" s="30" t="s">
        <v>993</v>
      </c>
      <c r="BA452" s="21" t="s">
        <v>569</v>
      </c>
      <c r="BC452" s="28">
        <f t="shared" si="535"/>
        <v>0</v>
      </c>
      <c r="BD452" s="28">
        <f t="shared" si="536"/>
        <v>0</v>
      </c>
      <c r="BE452" s="28">
        <v>0</v>
      </c>
      <c r="BF452" s="28">
        <f>452</f>
        <v>452</v>
      </c>
      <c r="BH452" s="28">
        <f t="shared" si="537"/>
        <v>0</v>
      </c>
      <c r="BI452" s="28">
        <f t="shared" si="538"/>
        <v>0</v>
      </c>
      <c r="BJ452" s="28">
        <f t="shared" si="539"/>
        <v>0</v>
      </c>
      <c r="BK452" s="28"/>
      <c r="BL452" s="28">
        <v>0</v>
      </c>
      <c r="BW452" s="28">
        <v>21</v>
      </c>
    </row>
    <row r="453" spans="1:75" ht="27" customHeight="1">
      <c r="A453" s="38" t="s">
        <v>580</v>
      </c>
      <c r="B453" s="39" t="s">
        <v>557</v>
      </c>
      <c r="C453" s="39" t="s">
        <v>618</v>
      </c>
      <c r="D453" s="50" t="s">
        <v>616</v>
      </c>
      <c r="E453" s="51"/>
      <c r="F453" s="39" t="s">
        <v>578</v>
      </c>
      <c r="G453" s="28">
        <v>8</v>
      </c>
      <c r="H453" s="120">
        <v>0</v>
      </c>
      <c r="I453" s="120">
        <f t="shared" si="520"/>
        <v>0</v>
      </c>
      <c r="K453" s="8"/>
      <c r="Z453" s="28">
        <f t="shared" si="521"/>
        <v>0</v>
      </c>
      <c r="AB453" s="28">
        <f t="shared" si="522"/>
        <v>0</v>
      </c>
      <c r="AC453" s="28">
        <f t="shared" si="523"/>
        <v>0</v>
      </c>
      <c r="AD453" s="28">
        <f t="shared" si="524"/>
        <v>0</v>
      </c>
      <c r="AE453" s="28">
        <f t="shared" si="525"/>
        <v>0</v>
      </c>
      <c r="AF453" s="28">
        <f t="shared" si="526"/>
        <v>0</v>
      </c>
      <c r="AG453" s="28">
        <f t="shared" si="527"/>
        <v>0</v>
      </c>
      <c r="AH453" s="28">
        <f t="shared" si="528"/>
        <v>0</v>
      </c>
      <c r="AI453" s="21" t="s">
        <v>557</v>
      </c>
      <c r="AJ453" s="28">
        <f t="shared" si="529"/>
        <v>0</v>
      </c>
      <c r="AK453" s="28">
        <f t="shared" si="530"/>
        <v>0</v>
      </c>
      <c r="AL453" s="28">
        <f t="shared" si="531"/>
        <v>0</v>
      </c>
      <c r="AN453" s="28">
        <v>21</v>
      </c>
      <c r="AO453" s="28">
        <f>H453*0.298352654057352</f>
        <v>0</v>
      </c>
      <c r="AP453" s="28">
        <f>H453*(1-0.298352654057352)</f>
        <v>0</v>
      </c>
      <c r="AQ453" s="30" t="s">
        <v>893</v>
      </c>
      <c r="AV453" s="28">
        <f t="shared" si="532"/>
        <v>0</v>
      </c>
      <c r="AW453" s="28">
        <f t="shared" si="533"/>
        <v>0</v>
      </c>
      <c r="AX453" s="28">
        <f t="shared" si="534"/>
        <v>0</v>
      </c>
      <c r="AY453" s="30" t="s">
        <v>792</v>
      </c>
      <c r="AZ453" s="30" t="s">
        <v>993</v>
      </c>
      <c r="BA453" s="21" t="s">
        <v>569</v>
      </c>
      <c r="BC453" s="28">
        <f t="shared" si="535"/>
        <v>0</v>
      </c>
      <c r="BD453" s="28">
        <f t="shared" si="536"/>
        <v>0</v>
      </c>
      <c r="BE453" s="28">
        <v>0</v>
      </c>
      <c r="BF453" s="28">
        <f>453</f>
        <v>453</v>
      </c>
      <c r="BH453" s="28">
        <f t="shared" si="537"/>
        <v>0</v>
      </c>
      <c r="BI453" s="28">
        <f t="shared" si="538"/>
        <v>0</v>
      </c>
      <c r="BJ453" s="28">
        <f t="shared" si="539"/>
        <v>0</v>
      </c>
      <c r="BK453" s="28"/>
      <c r="BL453" s="28">
        <v>0</v>
      </c>
      <c r="BW453" s="28">
        <v>21</v>
      </c>
    </row>
    <row r="454" spans="1:75" ht="13.5" customHeight="1">
      <c r="A454" s="38" t="s">
        <v>945</v>
      </c>
      <c r="B454" s="39" t="s">
        <v>557</v>
      </c>
      <c r="C454" s="39" t="s">
        <v>181</v>
      </c>
      <c r="D454" s="50" t="s">
        <v>28</v>
      </c>
      <c r="E454" s="51"/>
      <c r="F454" s="39" t="s">
        <v>311</v>
      </c>
      <c r="G454" s="28">
        <v>1</v>
      </c>
      <c r="H454" s="120">
        <v>0</v>
      </c>
      <c r="I454" s="120">
        <f t="shared" si="520"/>
        <v>0</v>
      </c>
      <c r="K454" s="8"/>
      <c r="Z454" s="28">
        <f t="shared" si="521"/>
        <v>0</v>
      </c>
      <c r="AB454" s="28">
        <f t="shared" si="522"/>
        <v>0</v>
      </c>
      <c r="AC454" s="28">
        <f t="shared" si="523"/>
        <v>0</v>
      </c>
      <c r="AD454" s="28">
        <f t="shared" si="524"/>
        <v>0</v>
      </c>
      <c r="AE454" s="28">
        <f t="shared" si="525"/>
        <v>0</v>
      </c>
      <c r="AF454" s="28">
        <f t="shared" si="526"/>
        <v>0</v>
      </c>
      <c r="AG454" s="28">
        <f t="shared" si="527"/>
        <v>0</v>
      </c>
      <c r="AH454" s="28">
        <f t="shared" si="528"/>
        <v>0</v>
      </c>
      <c r="AI454" s="21" t="s">
        <v>557</v>
      </c>
      <c r="AJ454" s="28">
        <f t="shared" si="529"/>
        <v>0</v>
      </c>
      <c r="AK454" s="28">
        <f t="shared" si="530"/>
        <v>0</v>
      </c>
      <c r="AL454" s="28">
        <f t="shared" si="531"/>
        <v>0</v>
      </c>
      <c r="AN454" s="28">
        <v>21</v>
      </c>
      <c r="AO454" s="28">
        <f>H454*0</f>
        <v>0</v>
      </c>
      <c r="AP454" s="28">
        <f>H454*(1-0)</f>
        <v>0</v>
      </c>
      <c r="AQ454" s="30" t="s">
        <v>893</v>
      </c>
      <c r="AV454" s="28">
        <f t="shared" si="532"/>
        <v>0</v>
      </c>
      <c r="AW454" s="28">
        <f t="shared" si="533"/>
        <v>0</v>
      </c>
      <c r="AX454" s="28">
        <f t="shared" si="534"/>
        <v>0</v>
      </c>
      <c r="AY454" s="30" t="s">
        <v>792</v>
      </c>
      <c r="AZ454" s="30" t="s">
        <v>993</v>
      </c>
      <c r="BA454" s="21" t="s">
        <v>569</v>
      </c>
      <c r="BC454" s="28">
        <f t="shared" si="535"/>
        <v>0</v>
      </c>
      <c r="BD454" s="28">
        <f t="shared" si="536"/>
        <v>0</v>
      </c>
      <c r="BE454" s="28">
        <v>0</v>
      </c>
      <c r="BF454" s="28">
        <f>454</f>
        <v>454</v>
      </c>
      <c r="BH454" s="28">
        <f t="shared" si="537"/>
        <v>0</v>
      </c>
      <c r="BI454" s="28">
        <f t="shared" si="538"/>
        <v>0</v>
      </c>
      <c r="BJ454" s="28">
        <f t="shared" si="539"/>
        <v>0</v>
      </c>
      <c r="BK454" s="28"/>
      <c r="BL454" s="28">
        <v>0</v>
      </c>
      <c r="BW454" s="28">
        <v>21</v>
      </c>
    </row>
    <row r="455" spans="1:75" ht="13.5" customHeight="1">
      <c r="A455" s="38" t="s">
        <v>830</v>
      </c>
      <c r="B455" s="39" t="s">
        <v>557</v>
      </c>
      <c r="C455" s="39" t="s">
        <v>370</v>
      </c>
      <c r="D455" s="50" t="s">
        <v>32</v>
      </c>
      <c r="E455" s="51"/>
      <c r="F455" s="39" t="s">
        <v>311</v>
      </c>
      <c r="G455" s="28">
        <v>1</v>
      </c>
      <c r="H455" s="120">
        <v>0</v>
      </c>
      <c r="I455" s="120">
        <f t="shared" si="520"/>
        <v>0</v>
      </c>
      <c r="K455" s="8"/>
      <c r="Z455" s="28">
        <f t="shared" si="521"/>
        <v>0</v>
      </c>
      <c r="AB455" s="28">
        <f t="shared" si="522"/>
        <v>0</v>
      </c>
      <c r="AC455" s="28">
        <f t="shared" si="523"/>
        <v>0</v>
      </c>
      <c r="AD455" s="28">
        <f t="shared" si="524"/>
        <v>0</v>
      </c>
      <c r="AE455" s="28">
        <f t="shared" si="525"/>
        <v>0</v>
      </c>
      <c r="AF455" s="28">
        <f t="shared" si="526"/>
        <v>0</v>
      </c>
      <c r="AG455" s="28">
        <f t="shared" si="527"/>
        <v>0</v>
      </c>
      <c r="AH455" s="28">
        <f t="shared" si="528"/>
        <v>0</v>
      </c>
      <c r="AI455" s="21" t="s">
        <v>557</v>
      </c>
      <c r="AJ455" s="28">
        <f t="shared" si="529"/>
        <v>0</v>
      </c>
      <c r="AK455" s="28">
        <f t="shared" si="530"/>
        <v>0</v>
      </c>
      <c r="AL455" s="28">
        <f t="shared" si="531"/>
        <v>0</v>
      </c>
      <c r="AN455" s="28">
        <v>21</v>
      </c>
      <c r="AO455" s="28">
        <f>H455*0</f>
        <v>0</v>
      </c>
      <c r="AP455" s="28">
        <f>H455*(1-0)</f>
        <v>0</v>
      </c>
      <c r="AQ455" s="30" t="s">
        <v>893</v>
      </c>
      <c r="AV455" s="28">
        <f t="shared" si="532"/>
        <v>0</v>
      </c>
      <c r="AW455" s="28">
        <f t="shared" si="533"/>
        <v>0</v>
      </c>
      <c r="AX455" s="28">
        <f t="shared" si="534"/>
        <v>0</v>
      </c>
      <c r="AY455" s="30" t="s">
        <v>792</v>
      </c>
      <c r="AZ455" s="30" t="s">
        <v>993</v>
      </c>
      <c r="BA455" s="21" t="s">
        <v>569</v>
      </c>
      <c r="BC455" s="28">
        <f t="shared" si="535"/>
        <v>0</v>
      </c>
      <c r="BD455" s="28">
        <f t="shared" si="536"/>
        <v>0</v>
      </c>
      <c r="BE455" s="28">
        <v>0</v>
      </c>
      <c r="BF455" s="28">
        <f>455</f>
        <v>455</v>
      </c>
      <c r="BH455" s="28">
        <f t="shared" si="537"/>
        <v>0</v>
      </c>
      <c r="BI455" s="28">
        <f t="shared" si="538"/>
        <v>0</v>
      </c>
      <c r="BJ455" s="28">
        <f t="shared" si="539"/>
        <v>0</v>
      </c>
      <c r="BK455" s="28"/>
      <c r="BL455" s="28">
        <v>0</v>
      </c>
      <c r="BW455" s="28">
        <v>21</v>
      </c>
    </row>
    <row r="456" spans="1:75" ht="13.5" customHeight="1">
      <c r="A456" s="38" t="s">
        <v>684</v>
      </c>
      <c r="B456" s="39" t="s">
        <v>557</v>
      </c>
      <c r="C456" s="39" t="s">
        <v>861</v>
      </c>
      <c r="D456" s="50" t="s">
        <v>11</v>
      </c>
      <c r="E456" s="51"/>
      <c r="F456" s="39" t="s">
        <v>311</v>
      </c>
      <c r="G456" s="28">
        <v>1</v>
      </c>
      <c r="H456" s="120">
        <v>0</v>
      </c>
      <c r="I456" s="120">
        <f t="shared" si="520"/>
        <v>0</v>
      </c>
      <c r="K456" s="8"/>
      <c r="Z456" s="28">
        <f t="shared" si="521"/>
        <v>0</v>
      </c>
      <c r="AB456" s="28">
        <f t="shared" si="522"/>
        <v>0</v>
      </c>
      <c r="AC456" s="28">
        <f t="shared" si="523"/>
        <v>0</v>
      </c>
      <c r="AD456" s="28">
        <f t="shared" si="524"/>
        <v>0</v>
      </c>
      <c r="AE456" s="28">
        <f t="shared" si="525"/>
        <v>0</v>
      </c>
      <c r="AF456" s="28">
        <f t="shared" si="526"/>
        <v>0</v>
      </c>
      <c r="AG456" s="28">
        <f t="shared" si="527"/>
        <v>0</v>
      </c>
      <c r="AH456" s="28">
        <f t="shared" si="528"/>
        <v>0</v>
      </c>
      <c r="AI456" s="21" t="s">
        <v>557</v>
      </c>
      <c r="AJ456" s="28">
        <f t="shared" si="529"/>
        <v>0</v>
      </c>
      <c r="AK456" s="28">
        <f t="shared" si="530"/>
        <v>0</v>
      </c>
      <c r="AL456" s="28">
        <f t="shared" si="531"/>
        <v>0</v>
      </c>
      <c r="AN456" s="28">
        <v>21</v>
      </c>
      <c r="AO456" s="28">
        <f>H456*0.632508123680949</f>
        <v>0</v>
      </c>
      <c r="AP456" s="28">
        <f>H456*(1-0.632508123680949)</f>
        <v>0</v>
      </c>
      <c r="AQ456" s="30" t="s">
        <v>893</v>
      </c>
      <c r="AV456" s="28">
        <f t="shared" si="532"/>
        <v>0</v>
      </c>
      <c r="AW456" s="28">
        <f t="shared" si="533"/>
        <v>0</v>
      </c>
      <c r="AX456" s="28">
        <f t="shared" si="534"/>
        <v>0</v>
      </c>
      <c r="AY456" s="30" t="s">
        <v>792</v>
      </c>
      <c r="AZ456" s="30" t="s">
        <v>993</v>
      </c>
      <c r="BA456" s="21" t="s">
        <v>569</v>
      </c>
      <c r="BC456" s="28">
        <f t="shared" si="535"/>
        <v>0</v>
      </c>
      <c r="BD456" s="28">
        <f t="shared" si="536"/>
        <v>0</v>
      </c>
      <c r="BE456" s="28">
        <v>0</v>
      </c>
      <c r="BF456" s="28">
        <f>456</f>
        <v>456</v>
      </c>
      <c r="BH456" s="28">
        <f t="shared" si="537"/>
        <v>0</v>
      </c>
      <c r="BI456" s="28">
        <f t="shared" si="538"/>
        <v>0</v>
      </c>
      <c r="BJ456" s="28">
        <f t="shared" si="539"/>
        <v>0</v>
      </c>
      <c r="BK456" s="28"/>
      <c r="BL456" s="28">
        <v>0</v>
      </c>
      <c r="BW456" s="28">
        <v>21</v>
      </c>
    </row>
    <row r="457" spans="1:75" ht="13.5" customHeight="1">
      <c r="A457" s="38" t="s">
        <v>650</v>
      </c>
      <c r="B457" s="39" t="s">
        <v>557</v>
      </c>
      <c r="C457" s="39" t="s">
        <v>526</v>
      </c>
      <c r="D457" s="50" t="s">
        <v>98</v>
      </c>
      <c r="E457" s="51"/>
      <c r="F457" s="39" t="s">
        <v>228</v>
      </c>
      <c r="G457" s="28">
        <v>1</v>
      </c>
      <c r="H457" s="120">
        <v>0</v>
      </c>
      <c r="I457" s="120">
        <f t="shared" si="520"/>
        <v>0</v>
      </c>
      <c r="K457" s="8"/>
      <c r="Z457" s="28">
        <f t="shared" si="521"/>
        <v>0</v>
      </c>
      <c r="AB457" s="28">
        <f t="shared" si="522"/>
        <v>0</v>
      </c>
      <c r="AC457" s="28">
        <f t="shared" si="523"/>
        <v>0</v>
      </c>
      <c r="AD457" s="28">
        <f t="shared" si="524"/>
        <v>0</v>
      </c>
      <c r="AE457" s="28">
        <f t="shared" si="525"/>
        <v>0</v>
      </c>
      <c r="AF457" s="28">
        <f t="shared" si="526"/>
        <v>0</v>
      </c>
      <c r="AG457" s="28">
        <f t="shared" si="527"/>
        <v>0</v>
      </c>
      <c r="AH457" s="28">
        <f t="shared" si="528"/>
        <v>0</v>
      </c>
      <c r="AI457" s="21" t="s">
        <v>557</v>
      </c>
      <c r="AJ457" s="28">
        <f t="shared" si="529"/>
        <v>0</v>
      </c>
      <c r="AK457" s="28">
        <f t="shared" si="530"/>
        <v>0</v>
      </c>
      <c r="AL457" s="28">
        <f t="shared" si="531"/>
        <v>0</v>
      </c>
      <c r="AN457" s="28">
        <v>21</v>
      </c>
      <c r="AO457" s="28">
        <f>H457*0</f>
        <v>0</v>
      </c>
      <c r="AP457" s="28">
        <f>H457*(1-0)</f>
        <v>0</v>
      </c>
      <c r="AQ457" s="30" t="s">
        <v>893</v>
      </c>
      <c r="AV457" s="28">
        <f t="shared" si="532"/>
        <v>0</v>
      </c>
      <c r="AW457" s="28">
        <f t="shared" si="533"/>
        <v>0</v>
      </c>
      <c r="AX457" s="28">
        <f t="shared" si="534"/>
        <v>0</v>
      </c>
      <c r="AY457" s="30" t="s">
        <v>792</v>
      </c>
      <c r="AZ457" s="30" t="s">
        <v>993</v>
      </c>
      <c r="BA457" s="21" t="s">
        <v>569</v>
      </c>
      <c r="BC457" s="28">
        <f t="shared" si="535"/>
        <v>0</v>
      </c>
      <c r="BD457" s="28">
        <f t="shared" si="536"/>
        <v>0</v>
      </c>
      <c r="BE457" s="28">
        <v>0</v>
      </c>
      <c r="BF457" s="28">
        <f>457</f>
        <v>457</v>
      </c>
      <c r="BH457" s="28">
        <f t="shared" si="537"/>
        <v>0</v>
      </c>
      <c r="BI457" s="28">
        <f t="shared" si="538"/>
        <v>0</v>
      </c>
      <c r="BJ457" s="28">
        <f t="shared" si="539"/>
        <v>0</v>
      </c>
      <c r="BK457" s="28"/>
      <c r="BL457" s="28">
        <v>0</v>
      </c>
      <c r="BW457" s="28">
        <v>21</v>
      </c>
    </row>
    <row r="458" spans="1:75" ht="13.5" customHeight="1">
      <c r="A458" s="38" t="s">
        <v>541</v>
      </c>
      <c r="B458" s="39" t="s">
        <v>557</v>
      </c>
      <c r="C458" s="39" t="s">
        <v>476</v>
      </c>
      <c r="D458" s="50" t="s">
        <v>731</v>
      </c>
      <c r="E458" s="51"/>
      <c r="F458" s="39" t="s">
        <v>396</v>
      </c>
      <c r="G458" s="28">
        <v>1.04924</v>
      </c>
      <c r="H458" s="120">
        <v>0</v>
      </c>
      <c r="I458" s="120">
        <f t="shared" si="520"/>
        <v>0</v>
      </c>
      <c r="K458" s="8"/>
      <c r="Z458" s="28">
        <f t="shared" si="521"/>
        <v>0</v>
      </c>
      <c r="AB458" s="28">
        <f t="shared" si="522"/>
        <v>0</v>
      </c>
      <c r="AC458" s="28">
        <f t="shared" si="523"/>
        <v>0</v>
      </c>
      <c r="AD458" s="28">
        <f t="shared" si="524"/>
        <v>0</v>
      </c>
      <c r="AE458" s="28">
        <f t="shared" si="525"/>
        <v>0</v>
      </c>
      <c r="AF458" s="28">
        <f t="shared" si="526"/>
        <v>0</v>
      </c>
      <c r="AG458" s="28">
        <f t="shared" si="527"/>
        <v>0</v>
      </c>
      <c r="AH458" s="28">
        <f t="shared" si="528"/>
        <v>0</v>
      </c>
      <c r="AI458" s="21" t="s">
        <v>557</v>
      </c>
      <c r="AJ458" s="28">
        <f t="shared" si="529"/>
        <v>0</v>
      </c>
      <c r="AK458" s="28">
        <f t="shared" si="530"/>
        <v>0</v>
      </c>
      <c r="AL458" s="28">
        <f t="shared" si="531"/>
        <v>0</v>
      </c>
      <c r="AN458" s="28">
        <v>21</v>
      </c>
      <c r="AO458" s="28">
        <f>H458*0</f>
        <v>0</v>
      </c>
      <c r="AP458" s="28">
        <f>H458*(1-0)</f>
        <v>0</v>
      </c>
      <c r="AQ458" s="30" t="s">
        <v>455</v>
      </c>
      <c r="AV458" s="28">
        <f t="shared" si="532"/>
        <v>0</v>
      </c>
      <c r="AW458" s="28">
        <f t="shared" si="533"/>
        <v>0</v>
      </c>
      <c r="AX458" s="28">
        <f t="shared" si="534"/>
        <v>0</v>
      </c>
      <c r="AY458" s="30" t="s">
        <v>792</v>
      </c>
      <c r="AZ458" s="30" t="s">
        <v>993</v>
      </c>
      <c r="BA458" s="21" t="s">
        <v>569</v>
      </c>
      <c r="BC458" s="28">
        <f t="shared" si="535"/>
        <v>0</v>
      </c>
      <c r="BD458" s="28">
        <f t="shared" si="536"/>
        <v>0</v>
      </c>
      <c r="BE458" s="28">
        <v>0</v>
      </c>
      <c r="BF458" s="28">
        <f>458</f>
        <v>458</v>
      </c>
      <c r="BH458" s="28">
        <f t="shared" si="537"/>
        <v>0</v>
      </c>
      <c r="BI458" s="28">
        <f t="shared" si="538"/>
        <v>0</v>
      </c>
      <c r="BJ458" s="28">
        <f t="shared" si="539"/>
        <v>0</v>
      </c>
      <c r="BK458" s="28"/>
      <c r="BL458" s="28">
        <v>0</v>
      </c>
      <c r="BW458" s="28">
        <v>21</v>
      </c>
    </row>
    <row r="459" spans="1:75" ht="13.5" customHeight="1">
      <c r="A459" s="38" t="s">
        <v>593</v>
      </c>
      <c r="B459" s="39" t="s">
        <v>557</v>
      </c>
      <c r="C459" s="39" t="s">
        <v>169</v>
      </c>
      <c r="D459" s="50" t="s">
        <v>372</v>
      </c>
      <c r="E459" s="51"/>
      <c r="F459" s="39" t="s">
        <v>396</v>
      </c>
      <c r="G459" s="28">
        <v>1.04925</v>
      </c>
      <c r="H459" s="120">
        <v>0</v>
      </c>
      <c r="I459" s="120">
        <f t="shared" si="520"/>
        <v>0</v>
      </c>
      <c r="K459" s="8"/>
      <c r="Z459" s="28">
        <f t="shared" si="521"/>
        <v>0</v>
      </c>
      <c r="AB459" s="28">
        <f t="shared" si="522"/>
        <v>0</v>
      </c>
      <c r="AC459" s="28">
        <f t="shared" si="523"/>
        <v>0</v>
      </c>
      <c r="AD459" s="28">
        <f t="shared" si="524"/>
        <v>0</v>
      </c>
      <c r="AE459" s="28">
        <f t="shared" si="525"/>
        <v>0</v>
      </c>
      <c r="AF459" s="28">
        <f t="shared" si="526"/>
        <v>0</v>
      </c>
      <c r="AG459" s="28">
        <f t="shared" si="527"/>
        <v>0</v>
      </c>
      <c r="AH459" s="28">
        <f t="shared" si="528"/>
        <v>0</v>
      </c>
      <c r="AI459" s="21" t="s">
        <v>557</v>
      </c>
      <c r="AJ459" s="28">
        <f t="shared" si="529"/>
        <v>0</v>
      </c>
      <c r="AK459" s="28">
        <f t="shared" si="530"/>
        <v>0</v>
      </c>
      <c r="AL459" s="28">
        <f t="shared" si="531"/>
        <v>0</v>
      </c>
      <c r="AN459" s="28">
        <v>21</v>
      </c>
      <c r="AO459" s="28">
        <f>H459*0</f>
        <v>0</v>
      </c>
      <c r="AP459" s="28">
        <f>H459*(1-0)</f>
        <v>0</v>
      </c>
      <c r="AQ459" s="30" t="s">
        <v>455</v>
      </c>
      <c r="AV459" s="28">
        <f t="shared" si="532"/>
        <v>0</v>
      </c>
      <c r="AW459" s="28">
        <f t="shared" si="533"/>
        <v>0</v>
      </c>
      <c r="AX459" s="28">
        <f t="shared" si="534"/>
        <v>0</v>
      </c>
      <c r="AY459" s="30" t="s">
        <v>792</v>
      </c>
      <c r="AZ459" s="30" t="s">
        <v>993</v>
      </c>
      <c r="BA459" s="21" t="s">
        <v>569</v>
      </c>
      <c r="BC459" s="28">
        <f t="shared" si="535"/>
        <v>0</v>
      </c>
      <c r="BD459" s="28">
        <f t="shared" si="536"/>
        <v>0</v>
      </c>
      <c r="BE459" s="28">
        <v>0</v>
      </c>
      <c r="BF459" s="28">
        <f>459</f>
        <v>459</v>
      </c>
      <c r="BH459" s="28">
        <f t="shared" si="537"/>
        <v>0</v>
      </c>
      <c r="BI459" s="28">
        <f t="shared" si="538"/>
        <v>0</v>
      </c>
      <c r="BJ459" s="28">
        <f t="shared" si="539"/>
        <v>0</v>
      </c>
      <c r="BK459" s="28"/>
      <c r="BL459" s="28">
        <v>0</v>
      </c>
      <c r="BW459" s="28">
        <v>21</v>
      </c>
    </row>
    <row r="460" spans="1:47" ht="15" customHeight="1">
      <c r="A460" s="3" t="s">
        <v>626</v>
      </c>
      <c r="B460" s="43" t="s">
        <v>557</v>
      </c>
      <c r="C460" s="43" t="s">
        <v>724</v>
      </c>
      <c r="D460" s="103" t="s">
        <v>775</v>
      </c>
      <c r="E460" s="104"/>
      <c r="F460" s="37" t="s">
        <v>836</v>
      </c>
      <c r="G460" s="37" t="s">
        <v>836</v>
      </c>
      <c r="H460" s="118" t="s">
        <v>836</v>
      </c>
      <c r="I460" s="119">
        <f>SUM(I461:I461)</f>
        <v>0</v>
      </c>
      <c r="K460" s="8"/>
      <c r="AI460" s="21" t="s">
        <v>557</v>
      </c>
      <c r="AS460" s="31">
        <f>SUM(AJ461:AJ461)</f>
        <v>0</v>
      </c>
      <c r="AT460" s="31">
        <f>SUM(AK461:AK461)</f>
        <v>0</v>
      </c>
      <c r="AU460" s="31">
        <f>SUM(AL461:AL461)</f>
        <v>0</v>
      </c>
    </row>
    <row r="461" spans="1:75" ht="13.5" customHeight="1">
      <c r="A461" s="38" t="s">
        <v>683</v>
      </c>
      <c r="B461" s="39" t="s">
        <v>557</v>
      </c>
      <c r="C461" s="39" t="s">
        <v>431</v>
      </c>
      <c r="D461" s="50" t="s">
        <v>549</v>
      </c>
      <c r="E461" s="51"/>
      <c r="F461" s="39" t="s">
        <v>741</v>
      </c>
      <c r="G461" s="28">
        <v>20</v>
      </c>
      <c r="H461" s="120">
        <v>0</v>
      </c>
      <c r="I461" s="120">
        <f>G461*H461</f>
        <v>0</v>
      </c>
      <c r="K461" s="8"/>
      <c r="Z461" s="28">
        <f>IF(AQ461="5",BJ461,0)</f>
        <v>0</v>
      </c>
      <c r="AB461" s="28">
        <f>IF(AQ461="1",BH461,0)</f>
        <v>0</v>
      </c>
      <c r="AC461" s="28">
        <f>IF(AQ461="1",BI461,0)</f>
        <v>0</v>
      </c>
      <c r="AD461" s="28">
        <f>IF(AQ461="7",BH461,0)</f>
        <v>0</v>
      </c>
      <c r="AE461" s="28">
        <f>IF(AQ461="7",BI461,0)</f>
        <v>0</v>
      </c>
      <c r="AF461" s="28">
        <f>IF(AQ461="2",BH461,0)</f>
        <v>0</v>
      </c>
      <c r="AG461" s="28">
        <f>IF(AQ461="2",BI461,0)</f>
        <v>0</v>
      </c>
      <c r="AH461" s="28">
        <f>IF(AQ461="0",BJ461,0)</f>
        <v>0</v>
      </c>
      <c r="AI461" s="21" t="s">
        <v>557</v>
      </c>
      <c r="AJ461" s="28">
        <f>IF(AN461=0,I461,0)</f>
        <v>0</v>
      </c>
      <c r="AK461" s="28">
        <f>IF(AN461=12,I461,0)</f>
        <v>0</v>
      </c>
      <c r="AL461" s="28">
        <f>IF(AN461=21,I461,0)</f>
        <v>0</v>
      </c>
      <c r="AN461" s="28">
        <v>21</v>
      </c>
      <c r="AO461" s="28">
        <f>H461*0</f>
        <v>0</v>
      </c>
      <c r="AP461" s="28">
        <f>H461*(1-0)</f>
        <v>0</v>
      </c>
      <c r="AQ461" s="30" t="s">
        <v>900</v>
      </c>
      <c r="AV461" s="28">
        <f>AW461+AX461</f>
        <v>0</v>
      </c>
      <c r="AW461" s="28">
        <f>G461*AO461</f>
        <v>0</v>
      </c>
      <c r="AX461" s="28">
        <f>G461*AP461</f>
        <v>0</v>
      </c>
      <c r="AY461" s="30" t="s">
        <v>698</v>
      </c>
      <c r="AZ461" s="30" t="s">
        <v>928</v>
      </c>
      <c r="BA461" s="21" t="s">
        <v>569</v>
      </c>
      <c r="BC461" s="28">
        <f>AW461+AX461</f>
        <v>0</v>
      </c>
      <c r="BD461" s="28">
        <f>H461/(100-BE461)*100</f>
        <v>0</v>
      </c>
      <c r="BE461" s="28">
        <v>0</v>
      </c>
      <c r="BF461" s="28">
        <f>461</f>
        <v>461</v>
      </c>
      <c r="BH461" s="28">
        <f>G461*AO461</f>
        <v>0</v>
      </c>
      <c r="BI461" s="28">
        <f>G461*AP461</f>
        <v>0</v>
      </c>
      <c r="BJ461" s="28">
        <f>G461*H461</f>
        <v>0</v>
      </c>
      <c r="BK461" s="28"/>
      <c r="BL461" s="28">
        <v>713</v>
      </c>
      <c r="BW461" s="28">
        <v>21</v>
      </c>
    </row>
    <row r="462" spans="1:47" ht="15" customHeight="1">
      <c r="A462" s="3" t="s">
        <v>626</v>
      </c>
      <c r="B462" s="43" t="s">
        <v>557</v>
      </c>
      <c r="C462" s="43" t="s">
        <v>812</v>
      </c>
      <c r="D462" s="103" t="s">
        <v>547</v>
      </c>
      <c r="E462" s="104"/>
      <c r="F462" s="37" t="s">
        <v>836</v>
      </c>
      <c r="G462" s="37" t="s">
        <v>836</v>
      </c>
      <c r="H462" s="118" t="s">
        <v>836</v>
      </c>
      <c r="I462" s="119">
        <f>SUM(I463:I474)</f>
        <v>0</v>
      </c>
      <c r="K462" s="8"/>
      <c r="AI462" s="21" t="s">
        <v>557</v>
      </c>
      <c r="AS462" s="31">
        <f>SUM(AJ463:AJ474)</f>
        <v>0</v>
      </c>
      <c r="AT462" s="31">
        <f>SUM(AK463:AK474)</f>
        <v>0</v>
      </c>
      <c r="AU462" s="31">
        <f>SUM(AL463:AL474)</f>
        <v>0</v>
      </c>
    </row>
    <row r="463" spans="1:75" ht="13.5" customHeight="1">
      <c r="A463" s="38" t="s">
        <v>596</v>
      </c>
      <c r="B463" s="39" t="s">
        <v>557</v>
      </c>
      <c r="C463" s="39" t="s">
        <v>378</v>
      </c>
      <c r="D463" s="50" t="s">
        <v>847</v>
      </c>
      <c r="E463" s="51"/>
      <c r="F463" s="39" t="s">
        <v>228</v>
      </c>
      <c r="G463" s="28">
        <v>8</v>
      </c>
      <c r="H463" s="120">
        <v>0</v>
      </c>
      <c r="I463" s="120">
        <f aca="true" t="shared" si="540" ref="I463:I474">G463*H463</f>
        <v>0</v>
      </c>
      <c r="K463" s="8"/>
      <c r="Z463" s="28">
        <f aca="true" t="shared" si="541" ref="Z463:Z474">IF(AQ463="5",BJ463,0)</f>
        <v>0</v>
      </c>
      <c r="AB463" s="28">
        <f aca="true" t="shared" si="542" ref="AB463:AB474">IF(AQ463="1",BH463,0)</f>
        <v>0</v>
      </c>
      <c r="AC463" s="28">
        <f aca="true" t="shared" si="543" ref="AC463:AC474">IF(AQ463="1",BI463,0)</f>
        <v>0</v>
      </c>
      <c r="AD463" s="28">
        <f aca="true" t="shared" si="544" ref="AD463:AD474">IF(AQ463="7",BH463,0)</f>
        <v>0</v>
      </c>
      <c r="AE463" s="28">
        <f aca="true" t="shared" si="545" ref="AE463:AE474">IF(AQ463="7",BI463,0)</f>
        <v>0</v>
      </c>
      <c r="AF463" s="28">
        <f aca="true" t="shared" si="546" ref="AF463:AF474">IF(AQ463="2",BH463,0)</f>
        <v>0</v>
      </c>
      <c r="AG463" s="28">
        <f aca="true" t="shared" si="547" ref="AG463:AG474">IF(AQ463="2",BI463,0)</f>
        <v>0</v>
      </c>
      <c r="AH463" s="28">
        <f aca="true" t="shared" si="548" ref="AH463:AH474">IF(AQ463="0",BJ463,0)</f>
        <v>0</v>
      </c>
      <c r="AI463" s="21" t="s">
        <v>557</v>
      </c>
      <c r="AJ463" s="28">
        <f aca="true" t="shared" si="549" ref="AJ463:AJ474">IF(AN463=0,I463,0)</f>
        <v>0</v>
      </c>
      <c r="AK463" s="28">
        <f aca="true" t="shared" si="550" ref="AK463:AK474">IF(AN463=12,I463,0)</f>
        <v>0</v>
      </c>
      <c r="AL463" s="28">
        <f aca="true" t="shared" si="551" ref="AL463:AL474">IF(AN463=21,I463,0)</f>
        <v>0</v>
      </c>
      <c r="AN463" s="28">
        <v>21</v>
      </c>
      <c r="AO463" s="28">
        <f>H463*0</f>
        <v>0</v>
      </c>
      <c r="AP463" s="28">
        <f>H463*(1-0)</f>
        <v>0</v>
      </c>
      <c r="AQ463" s="30" t="s">
        <v>900</v>
      </c>
      <c r="AV463" s="28">
        <f aca="true" t="shared" si="552" ref="AV463:AV474">AW463+AX463</f>
        <v>0</v>
      </c>
      <c r="AW463" s="28">
        <f aca="true" t="shared" si="553" ref="AW463:AW474">G463*AO463</f>
        <v>0</v>
      </c>
      <c r="AX463" s="28">
        <f aca="true" t="shared" si="554" ref="AX463:AX474">G463*AP463</f>
        <v>0</v>
      </c>
      <c r="AY463" s="30" t="s">
        <v>562</v>
      </c>
      <c r="AZ463" s="30" t="s">
        <v>133</v>
      </c>
      <c r="BA463" s="21" t="s">
        <v>569</v>
      </c>
      <c r="BC463" s="28">
        <f aca="true" t="shared" si="555" ref="BC463:BC474">AW463+AX463</f>
        <v>0</v>
      </c>
      <c r="BD463" s="28">
        <f aca="true" t="shared" si="556" ref="BD463:BD474">H463/(100-BE463)*100</f>
        <v>0</v>
      </c>
      <c r="BE463" s="28">
        <v>0</v>
      </c>
      <c r="BF463" s="28">
        <f>463</f>
        <v>463</v>
      </c>
      <c r="BH463" s="28">
        <f aca="true" t="shared" si="557" ref="BH463:BH474">G463*AO463</f>
        <v>0</v>
      </c>
      <c r="BI463" s="28">
        <f aca="true" t="shared" si="558" ref="BI463:BI474">G463*AP463</f>
        <v>0</v>
      </c>
      <c r="BJ463" s="28">
        <f aca="true" t="shared" si="559" ref="BJ463:BJ474">G463*H463</f>
        <v>0</v>
      </c>
      <c r="BK463" s="28"/>
      <c r="BL463" s="28">
        <v>722</v>
      </c>
      <c r="BW463" s="28">
        <v>21</v>
      </c>
    </row>
    <row r="464" spans="1:75" ht="13.5" customHeight="1">
      <c r="A464" s="38" t="s">
        <v>742</v>
      </c>
      <c r="B464" s="39" t="s">
        <v>557</v>
      </c>
      <c r="C464" s="39" t="s">
        <v>221</v>
      </c>
      <c r="D464" s="50" t="s">
        <v>892</v>
      </c>
      <c r="E464" s="51"/>
      <c r="F464" s="39" t="s">
        <v>741</v>
      </c>
      <c r="G464" s="28">
        <v>8</v>
      </c>
      <c r="H464" s="120">
        <v>0</v>
      </c>
      <c r="I464" s="120">
        <f t="shared" si="540"/>
        <v>0</v>
      </c>
      <c r="K464" s="8"/>
      <c r="Z464" s="28">
        <f t="shared" si="541"/>
        <v>0</v>
      </c>
      <c r="AB464" s="28">
        <f t="shared" si="542"/>
        <v>0</v>
      </c>
      <c r="AC464" s="28">
        <f t="shared" si="543"/>
        <v>0</v>
      </c>
      <c r="AD464" s="28">
        <f t="shared" si="544"/>
        <v>0</v>
      </c>
      <c r="AE464" s="28">
        <f t="shared" si="545"/>
        <v>0</v>
      </c>
      <c r="AF464" s="28">
        <f t="shared" si="546"/>
        <v>0</v>
      </c>
      <c r="AG464" s="28">
        <f t="shared" si="547"/>
        <v>0</v>
      </c>
      <c r="AH464" s="28">
        <f t="shared" si="548"/>
        <v>0</v>
      </c>
      <c r="AI464" s="21" t="s">
        <v>557</v>
      </c>
      <c r="AJ464" s="28">
        <f t="shared" si="549"/>
        <v>0</v>
      </c>
      <c r="AK464" s="28">
        <f t="shared" si="550"/>
        <v>0</v>
      </c>
      <c r="AL464" s="28">
        <f t="shared" si="551"/>
        <v>0</v>
      </c>
      <c r="AN464" s="28">
        <v>21</v>
      </c>
      <c r="AO464" s="28">
        <f>H464*0</f>
        <v>0</v>
      </c>
      <c r="AP464" s="28">
        <f>H464*(1-0)</f>
        <v>0</v>
      </c>
      <c r="AQ464" s="30" t="s">
        <v>900</v>
      </c>
      <c r="AV464" s="28">
        <f t="shared" si="552"/>
        <v>0</v>
      </c>
      <c r="AW464" s="28">
        <f t="shared" si="553"/>
        <v>0</v>
      </c>
      <c r="AX464" s="28">
        <f t="shared" si="554"/>
        <v>0</v>
      </c>
      <c r="AY464" s="30" t="s">
        <v>562</v>
      </c>
      <c r="AZ464" s="30" t="s">
        <v>133</v>
      </c>
      <c r="BA464" s="21" t="s">
        <v>569</v>
      </c>
      <c r="BC464" s="28">
        <f t="shared" si="555"/>
        <v>0</v>
      </c>
      <c r="BD464" s="28">
        <f t="shared" si="556"/>
        <v>0</v>
      </c>
      <c r="BE464" s="28">
        <v>0</v>
      </c>
      <c r="BF464" s="28">
        <f>464</f>
        <v>464</v>
      </c>
      <c r="BH464" s="28">
        <f t="shared" si="557"/>
        <v>0</v>
      </c>
      <c r="BI464" s="28">
        <f t="shared" si="558"/>
        <v>0</v>
      </c>
      <c r="BJ464" s="28">
        <f t="shared" si="559"/>
        <v>0</v>
      </c>
      <c r="BK464" s="28"/>
      <c r="BL464" s="28">
        <v>722</v>
      </c>
      <c r="BW464" s="28">
        <v>21</v>
      </c>
    </row>
    <row r="465" spans="1:75" ht="13.5" customHeight="1">
      <c r="A465" s="38" t="s">
        <v>319</v>
      </c>
      <c r="B465" s="39" t="s">
        <v>557</v>
      </c>
      <c r="C465" s="39" t="s">
        <v>132</v>
      </c>
      <c r="D465" s="50" t="s">
        <v>240</v>
      </c>
      <c r="E465" s="51"/>
      <c r="F465" s="39" t="s">
        <v>228</v>
      </c>
      <c r="G465" s="28">
        <v>2</v>
      </c>
      <c r="H465" s="120">
        <v>0</v>
      </c>
      <c r="I465" s="120">
        <f t="shared" si="540"/>
        <v>0</v>
      </c>
      <c r="K465" s="8"/>
      <c r="Z465" s="28">
        <f t="shared" si="541"/>
        <v>0</v>
      </c>
      <c r="AB465" s="28">
        <f t="shared" si="542"/>
        <v>0</v>
      </c>
      <c r="AC465" s="28">
        <f t="shared" si="543"/>
        <v>0</v>
      </c>
      <c r="AD465" s="28">
        <f t="shared" si="544"/>
        <v>0</v>
      </c>
      <c r="AE465" s="28">
        <f t="shared" si="545"/>
        <v>0</v>
      </c>
      <c r="AF465" s="28">
        <f t="shared" si="546"/>
        <v>0</v>
      </c>
      <c r="AG465" s="28">
        <f t="shared" si="547"/>
        <v>0</v>
      </c>
      <c r="AH465" s="28">
        <f t="shared" si="548"/>
        <v>0</v>
      </c>
      <c r="AI465" s="21" t="s">
        <v>557</v>
      </c>
      <c r="AJ465" s="28">
        <f t="shared" si="549"/>
        <v>0</v>
      </c>
      <c r="AK465" s="28">
        <f t="shared" si="550"/>
        <v>0</v>
      </c>
      <c r="AL465" s="28">
        <f t="shared" si="551"/>
        <v>0</v>
      </c>
      <c r="AN465" s="28">
        <v>21</v>
      </c>
      <c r="AO465" s="28">
        <f>H465*0.635584415584416</f>
        <v>0</v>
      </c>
      <c r="AP465" s="28">
        <f>H465*(1-0.635584415584416)</f>
        <v>0</v>
      </c>
      <c r="AQ465" s="30" t="s">
        <v>900</v>
      </c>
      <c r="AV465" s="28">
        <f t="shared" si="552"/>
        <v>0</v>
      </c>
      <c r="AW465" s="28">
        <f t="shared" si="553"/>
        <v>0</v>
      </c>
      <c r="AX465" s="28">
        <f t="shared" si="554"/>
        <v>0</v>
      </c>
      <c r="AY465" s="30" t="s">
        <v>562</v>
      </c>
      <c r="AZ465" s="30" t="s">
        <v>133</v>
      </c>
      <c r="BA465" s="21" t="s">
        <v>569</v>
      </c>
      <c r="BC465" s="28">
        <f t="shared" si="555"/>
        <v>0</v>
      </c>
      <c r="BD465" s="28">
        <f t="shared" si="556"/>
        <v>0</v>
      </c>
      <c r="BE465" s="28">
        <v>0</v>
      </c>
      <c r="BF465" s="28">
        <f>465</f>
        <v>465</v>
      </c>
      <c r="BH465" s="28">
        <f t="shared" si="557"/>
        <v>0</v>
      </c>
      <c r="BI465" s="28">
        <f t="shared" si="558"/>
        <v>0</v>
      </c>
      <c r="BJ465" s="28">
        <f t="shared" si="559"/>
        <v>0</v>
      </c>
      <c r="BK465" s="28"/>
      <c r="BL465" s="28">
        <v>722</v>
      </c>
      <c r="BW465" s="28">
        <v>21</v>
      </c>
    </row>
    <row r="466" spans="1:75" ht="13.5" customHeight="1">
      <c r="A466" s="38" t="s">
        <v>212</v>
      </c>
      <c r="B466" s="39" t="s">
        <v>557</v>
      </c>
      <c r="C466" s="39" t="s">
        <v>656</v>
      </c>
      <c r="D466" s="50" t="s">
        <v>717</v>
      </c>
      <c r="E466" s="51"/>
      <c r="F466" s="39" t="s">
        <v>741</v>
      </c>
      <c r="G466" s="28">
        <v>8</v>
      </c>
      <c r="H466" s="120">
        <v>0</v>
      </c>
      <c r="I466" s="120">
        <f t="shared" si="540"/>
        <v>0</v>
      </c>
      <c r="K466" s="8"/>
      <c r="Z466" s="28">
        <f t="shared" si="541"/>
        <v>0</v>
      </c>
      <c r="AB466" s="28">
        <f t="shared" si="542"/>
        <v>0</v>
      </c>
      <c r="AC466" s="28">
        <f t="shared" si="543"/>
        <v>0</v>
      </c>
      <c r="AD466" s="28">
        <f t="shared" si="544"/>
        <v>0</v>
      </c>
      <c r="AE466" s="28">
        <f t="shared" si="545"/>
        <v>0</v>
      </c>
      <c r="AF466" s="28">
        <f t="shared" si="546"/>
        <v>0</v>
      </c>
      <c r="AG466" s="28">
        <f t="shared" si="547"/>
        <v>0</v>
      </c>
      <c r="AH466" s="28">
        <f t="shared" si="548"/>
        <v>0</v>
      </c>
      <c r="AI466" s="21" t="s">
        <v>557</v>
      </c>
      <c r="AJ466" s="28">
        <f t="shared" si="549"/>
        <v>0</v>
      </c>
      <c r="AK466" s="28">
        <f t="shared" si="550"/>
        <v>0</v>
      </c>
      <c r="AL466" s="28">
        <f t="shared" si="551"/>
        <v>0</v>
      </c>
      <c r="AN466" s="28">
        <v>21</v>
      </c>
      <c r="AO466" s="28">
        <f>H466*0.388270254929131</f>
        <v>0</v>
      </c>
      <c r="AP466" s="28">
        <f>H466*(1-0.388270254929131)</f>
        <v>0</v>
      </c>
      <c r="AQ466" s="30" t="s">
        <v>900</v>
      </c>
      <c r="AV466" s="28">
        <f t="shared" si="552"/>
        <v>0</v>
      </c>
      <c r="AW466" s="28">
        <f t="shared" si="553"/>
        <v>0</v>
      </c>
      <c r="AX466" s="28">
        <f t="shared" si="554"/>
        <v>0</v>
      </c>
      <c r="AY466" s="30" t="s">
        <v>562</v>
      </c>
      <c r="AZ466" s="30" t="s">
        <v>133</v>
      </c>
      <c r="BA466" s="21" t="s">
        <v>569</v>
      </c>
      <c r="BC466" s="28">
        <f t="shared" si="555"/>
        <v>0</v>
      </c>
      <c r="BD466" s="28">
        <f t="shared" si="556"/>
        <v>0</v>
      </c>
      <c r="BE466" s="28">
        <v>0</v>
      </c>
      <c r="BF466" s="28">
        <f>466</f>
        <v>466</v>
      </c>
      <c r="BH466" s="28">
        <f t="shared" si="557"/>
        <v>0</v>
      </c>
      <c r="BI466" s="28">
        <f t="shared" si="558"/>
        <v>0</v>
      </c>
      <c r="BJ466" s="28">
        <f t="shared" si="559"/>
        <v>0</v>
      </c>
      <c r="BK466" s="28"/>
      <c r="BL466" s="28">
        <v>722</v>
      </c>
      <c r="BW466" s="28">
        <v>21</v>
      </c>
    </row>
    <row r="467" spans="1:75" ht="13.5" customHeight="1">
      <c r="A467" s="38" t="s">
        <v>997</v>
      </c>
      <c r="B467" s="39" t="s">
        <v>557</v>
      </c>
      <c r="C467" s="39" t="s">
        <v>88</v>
      </c>
      <c r="D467" s="50" t="s">
        <v>1062</v>
      </c>
      <c r="E467" s="51"/>
      <c r="F467" s="39" t="s">
        <v>741</v>
      </c>
      <c r="G467" s="28">
        <v>4</v>
      </c>
      <c r="H467" s="120">
        <v>0</v>
      </c>
      <c r="I467" s="120">
        <f t="shared" si="540"/>
        <v>0</v>
      </c>
      <c r="K467" s="8"/>
      <c r="Z467" s="28">
        <f t="shared" si="541"/>
        <v>0</v>
      </c>
      <c r="AB467" s="28">
        <f t="shared" si="542"/>
        <v>0</v>
      </c>
      <c r="AC467" s="28">
        <f t="shared" si="543"/>
        <v>0</v>
      </c>
      <c r="AD467" s="28">
        <f t="shared" si="544"/>
        <v>0</v>
      </c>
      <c r="AE467" s="28">
        <f t="shared" si="545"/>
        <v>0</v>
      </c>
      <c r="AF467" s="28">
        <f t="shared" si="546"/>
        <v>0</v>
      </c>
      <c r="AG467" s="28">
        <f t="shared" si="547"/>
        <v>0</v>
      </c>
      <c r="AH467" s="28">
        <f t="shared" si="548"/>
        <v>0</v>
      </c>
      <c r="AI467" s="21" t="s">
        <v>557</v>
      </c>
      <c r="AJ467" s="28">
        <f t="shared" si="549"/>
        <v>0</v>
      </c>
      <c r="AK467" s="28">
        <f t="shared" si="550"/>
        <v>0</v>
      </c>
      <c r="AL467" s="28">
        <f t="shared" si="551"/>
        <v>0</v>
      </c>
      <c r="AN467" s="28">
        <v>21</v>
      </c>
      <c r="AO467" s="28">
        <f>H467*0.628405063291139</f>
        <v>0</v>
      </c>
      <c r="AP467" s="28">
        <f>H467*(1-0.628405063291139)</f>
        <v>0</v>
      </c>
      <c r="AQ467" s="30" t="s">
        <v>900</v>
      </c>
      <c r="AV467" s="28">
        <f t="shared" si="552"/>
        <v>0</v>
      </c>
      <c r="AW467" s="28">
        <f t="shared" si="553"/>
        <v>0</v>
      </c>
      <c r="AX467" s="28">
        <f t="shared" si="554"/>
        <v>0</v>
      </c>
      <c r="AY467" s="30" t="s">
        <v>562</v>
      </c>
      <c r="AZ467" s="30" t="s">
        <v>133</v>
      </c>
      <c r="BA467" s="21" t="s">
        <v>569</v>
      </c>
      <c r="BC467" s="28">
        <f t="shared" si="555"/>
        <v>0</v>
      </c>
      <c r="BD467" s="28">
        <f t="shared" si="556"/>
        <v>0</v>
      </c>
      <c r="BE467" s="28">
        <v>0</v>
      </c>
      <c r="BF467" s="28">
        <f>467</f>
        <v>467</v>
      </c>
      <c r="BH467" s="28">
        <f t="shared" si="557"/>
        <v>0</v>
      </c>
      <c r="BI467" s="28">
        <f t="shared" si="558"/>
        <v>0</v>
      </c>
      <c r="BJ467" s="28">
        <f t="shared" si="559"/>
        <v>0</v>
      </c>
      <c r="BK467" s="28"/>
      <c r="BL467" s="28">
        <v>722</v>
      </c>
      <c r="BW467" s="28">
        <v>21</v>
      </c>
    </row>
    <row r="468" spans="1:75" ht="13.5" customHeight="1">
      <c r="A468" s="38" t="s">
        <v>87</v>
      </c>
      <c r="B468" s="39" t="s">
        <v>557</v>
      </c>
      <c r="C468" s="39" t="s">
        <v>946</v>
      </c>
      <c r="D468" s="50" t="s">
        <v>1063</v>
      </c>
      <c r="E468" s="51"/>
      <c r="F468" s="39" t="s">
        <v>741</v>
      </c>
      <c r="G468" s="28">
        <v>4</v>
      </c>
      <c r="H468" s="120">
        <v>0</v>
      </c>
      <c r="I468" s="120">
        <f t="shared" si="540"/>
        <v>0</v>
      </c>
      <c r="K468" s="8"/>
      <c r="Z468" s="28">
        <f t="shared" si="541"/>
        <v>0</v>
      </c>
      <c r="AB468" s="28">
        <f t="shared" si="542"/>
        <v>0</v>
      </c>
      <c r="AC468" s="28">
        <f t="shared" si="543"/>
        <v>0</v>
      </c>
      <c r="AD468" s="28">
        <f t="shared" si="544"/>
        <v>0</v>
      </c>
      <c r="AE468" s="28">
        <f t="shared" si="545"/>
        <v>0</v>
      </c>
      <c r="AF468" s="28">
        <f t="shared" si="546"/>
        <v>0</v>
      </c>
      <c r="AG468" s="28">
        <f t="shared" si="547"/>
        <v>0</v>
      </c>
      <c r="AH468" s="28">
        <f t="shared" si="548"/>
        <v>0</v>
      </c>
      <c r="AI468" s="21" t="s">
        <v>557</v>
      </c>
      <c r="AJ468" s="28">
        <f t="shared" si="549"/>
        <v>0</v>
      </c>
      <c r="AK468" s="28">
        <f t="shared" si="550"/>
        <v>0</v>
      </c>
      <c r="AL468" s="28">
        <f t="shared" si="551"/>
        <v>0</v>
      </c>
      <c r="AN468" s="28">
        <v>21</v>
      </c>
      <c r="AO468" s="28">
        <f>H468*0.373931824584468</f>
        <v>0</v>
      </c>
      <c r="AP468" s="28">
        <f>H468*(1-0.373931824584468)</f>
        <v>0</v>
      </c>
      <c r="AQ468" s="30" t="s">
        <v>900</v>
      </c>
      <c r="AV468" s="28">
        <f t="shared" si="552"/>
        <v>0</v>
      </c>
      <c r="AW468" s="28">
        <f t="shared" si="553"/>
        <v>0</v>
      </c>
      <c r="AX468" s="28">
        <f t="shared" si="554"/>
        <v>0</v>
      </c>
      <c r="AY468" s="30" t="s">
        <v>562</v>
      </c>
      <c r="AZ468" s="30" t="s">
        <v>133</v>
      </c>
      <c r="BA468" s="21" t="s">
        <v>569</v>
      </c>
      <c r="BC468" s="28">
        <f t="shared" si="555"/>
        <v>0</v>
      </c>
      <c r="BD468" s="28">
        <f t="shared" si="556"/>
        <v>0</v>
      </c>
      <c r="BE468" s="28">
        <v>0</v>
      </c>
      <c r="BF468" s="28">
        <f>468</f>
        <v>468</v>
      </c>
      <c r="BH468" s="28">
        <f t="shared" si="557"/>
        <v>0</v>
      </c>
      <c r="BI468" s="28">
        <f t="shared" si="558"/>
        <v>0</v>
      </c>
      <c r="BJ468" s="28">
        <f t="shared" si="559"/>
        <v>0</v>
      </c>
      <c r="BK468" s="28"/>
      <c r="BL468" s="28">
        <v>722</v>
      </c>
      <c r="BW468" s="28">
        <v>21</v>
      </c>
    </row>
    <row r="469" spans="1:75" ht="13.5" customHeight="1">
      <c r="A469" s="38" t="s">
        <v>350</v>
      </c>
      <c r="B469" s="39" t="s">
        <v>557</v>
      </c>
      <c r="C469" s="39" t="s">
        <v>156</v>
      </c>
      <c r="D469" s="50" t="s">
        <v>330</v>
      </c>
      <c r="E469" s="51"/>
      <c r="F469" s="39" t="s">
        <v>228</v>
      </c>
      <c r="G469" s="28">
        <v>1</v>
      </c>
      <c r="H469" s="120">
        <v>0</v>
      </c>
      <c r="I469" s="120">
        <f t="shared" si="540"/>
        <v>0</v>
      </c>
      <c r="K469" s="8"/>
      <c r="Z469" s="28">
        <f t="shared" si="541"/>
        <v>0</v>
      </c>
      <c r="AB469" s="28">
        <f t="shared" si="542"/>
        <v>0</v>
      </c>
      <c r="AC469" s="28">
        <f t="shared" si="543"/>
        <v>0</v>
      </c>
      <c r="AD469" s="28">
        <f t="shared" si="544"/>
        <v>0</v>
      </c>
      <c r="AE469" s="28">
        <f t="shared" si="545"/>
        <v>0</v>
      </c>
      <c r="AF469" s="28">
        <f t="shared" si="546"/>
        <v>0</v>
      </c>
      <c r="AG469" s="28">
        <f t="shared" si="547"/>
        <v>0</v>
      </c>
      <c r="AH469" s="28">
        <f t="shared" si="548"/>
        <v>0</v>
      </c>
      <c r="AI469" s="21" t="s">
        <v>557</v>
      </c>
      <c r="AJ469" s="28">
        <f t="shared" si="549"/>
        <v>0</v>
      </c>
      <c r="AK469" s="28">
        <f t="shared" si="550"/>
        <v>0</v>
      </c>
      <c r="AL469" s="28">
        <f t="shared" si="551"/>
        <v>0</v>
      </c>
      <c r="AN469" s="28">
        <v>21</v>
      </c>
      <c r="AO469" s="28">
        <f>H469*0.945809322033898</f>
        <v>0</v>
      </c>
      <c r="AP469" s="28">
        <f>H469*(1-0.945809322033898)</f>
        <v>0</v>
      </c>
      <c r="AQ469" s="30" t="s">
        <v>900</v>
      </c>
      <c r="AV469" s="28">
        <f t="shared" si="552"/>
        <v>0</v>
      </c>
      <c r="AW469" s="28">
        <f t="shared" si="553"/>
        <v>0</v>
      </c>
      <c r="AX469" s="28">
        <f t="shared" si="554"/>
        <v>0</v>
      </c>
      <c r="AY469" s="30" t="s">
        <v>562</v>
      </c>
      <c r="AZ469" s="30" t="s">
        <v>133</v>
      </c>
      <c r="BA469" s="21" t="s">
        <v>569</v>
      </c>
      <c r="BC469" s="28">
        <f t="shared" si="555"/>
        <v>0</v>
      </c>
      <c r="BD469" s="28">
        <f t="shared" si="556"/>
        <v>0</v>
      </c>
      <c r="BE469" s="28">
        <v>0</v>
      </c>
      <c r="BF469" s="28">
        <f>469</f>
        <v>469</v>
      </c>
      <c r="BH469" s="28">
        <f t="shared" si="557"/>
        <v>0</v>
      </c>
      <c r="BI469" s="28">
        <f t="shared" si="558"/>
        <v>0</v>
      </c>
      <c r="BJ469" s="28">
        <f t="shared" si="559"/>
        <v>0</v>
      </c>
      <c r="BK469" s="28"/>
      <c r="BL469" s="28">
        <v>722</v>
      </c>
      <c r="BW469" s="28">
        <v>21</v>
      </c>
    </row>
    <row r="470" spans="1:75" ht="13.5" customHeight="1">
      <c r="A470" s="38" t="s">
        <v>27</v>
      </c>
      <c r="B470" s="39" t="s">
        <v>557</v>
      </c>
      <c r="C470" s="39" t="s">
        <v>735</v>
      </c>
      <c r="D470" s="50" t="s">
        <v>285</v>
      </c>
      <c r="E470" s="51"/>
      <c r="F470" s="39" t="s">
        <v>228</v>
      </c>
      <c r="G470" s="28">
        <v>1</v>
      </c>
      <c r="H470" s="120">
        <v>0</v>
      </c>
      <c r="I470" s="120">
        <f t="shared" si="540"/>
        <v>0</v>
      </c>
      <c r="K470" s="8"/>
      <c r="Z470" s="28">
        <f t="shared" si="541"/>
        <v>0</v>
      </c>
      <c r="AB470" s="28">
        <f t="shared" si="542"/>
        <v>0</v>
      </c>
      <c r="AC470" s="28">
        <f t="shared" si="543"/>
        <v>0</v>
      </c>
      <c r="AD470" s="28">
        <f t="shared" si="544"/>
        <v>0</v>
      </c>
      <c r="AE470" s="28">
        <f t="shared" si="545"/>
        <v>0</v>
      </c>
      <c r="AF470" s="28">
        <f t="shared" si="546"/>
        <v>0</v>
      </c>
      <c r="AG470" s="28">
        <f t="shared" si="547"/>
        <v>0</v>
      </c>
      <c r="AH470" s="28">
        <f t="shared" si="548"/>
        <v>0</v>
      </c>
      <c r="AI470" s="21" t="s">
        <v>557</v>
      </c>
      <c r="AJ470" s="28">
        <f t="shared" si="549"/>
        <v>0</v>
      </c>
      <c r="AK470" s="28">
        <f t="shared" si="550"/>
        <v>0</v>
      </c>
      <c r="AL470" s="28">
        <f t="shared" si="551"/>
        <v>0</v>
      </c>
      <c r="AN470" s="28">
        <v>21</v>
      </c>
      <c r="AO470" s="28">
        <f>H470*0.963329388560158</f>
        <v>0</v>
      </c>
      <c r="AP470" s="28">
        <f>H470*(1-0.963329388560158)</f>
        <v>0</v>
      </c>
      <c r="AQ470" s="30" t="s">
        <v>900</v>
      </c>
      <c r="AV470" s="28">
        <f t="shared" si="552"/>
        <v>0</v>
      </c>
      <c r="AW470" s="28">
        <f t="shared" si="553"/>
        <v>0</v>
      </c>
      <c r="AX470" s="28">
        <f t="shared" si="554"/>
        <v>0</v>
      </c>
      <c r="AY470" s="30" t="s">
        <v>562</v>
      </c>
      <c r="AZ470" s="30" t="s">
        <v>133</v>
      </c>
      <c r="BA470" s="21" t="s">
        <v>569</v>
      </c>
      <c r="BC470" s="28">
        <f t="shared" si="555"/>
        <v>0</v>
      </c>
      <c r="BD470" s="28">
        <f t="shared" si="556"/>
        <v>0</v>
      </c>
      <c r="BE470" s="28">
        <v>0</v>
      </c>
      <c r="BF470" s="28">
        <f>470</f>
        <v>470</v>
      </c>
      <c r="BH470" s="28">
        <f t="shared" si="557"/>
        <v>0</v>
      </c>
      <c r="BI470" s="28">
        <f t="shared" si="558"/>
        <v>0</v>
      </c>
      <c r="BJ470" s="28">
        <f t="shared" si="559"/>
        <v>0</v>
      </c>
      <c r="BK470" s="28"/>
      <c r="BL470" s="28">
        <v>722</v>
      </c>
      <c r="BW470" s="28">
        <v>21</v>
      </c>
    </row>
    <row r="471" spans="1:75" ht="13.5" customHeight="1">
      <c r="A471" s="38" t="s">
        <v>612</v>
      </c>
      <c r="B471" s="39" t="s">
        <v>557</v>
      </c>
      <c r="C471" s="39" t="s">
        <v>119</v>
      </c>
      <c r="D471" s="50" t="s">
        <v>1039</v>
      </c>
      <c r="E471" s="51"/>
      <c r="F471" s="39" t="s">
        <v>228</v>
      </c>
      <c r="G471" s="28">
        <v>4</v>
      </c>
      <c r="H471" s="120">
        <v>0</v>
      </c>
      <c r="I471" s="120">
        <f t="shared" si="540"/>
        <v>0</v>
      </c>
      <c r="K471" s="8"/>
      <c r="Z471" s="28">
        <f t="shared" si="541"/>
        <v>0</v>
      </c>
      <c r="AB471" s="28">
        <f t="shared" si="542"/>
        <v>0</v>
      </c>
      <c r="AC471" s="28">
        <f t="shared" si="543"/>
        <v>0</v>
      </c>
      <c r="AD471" s="28">
        <f t="shared" si="544"/>
        <v>0</v>
      </c>
      <c r="AE471" s="28">
        <f t="shared" si="545"/>
        <v>0</v>
      </c>
      <c r="AF471" s="28">
        <f t="shared" si="546"/>
        <v>0</v>
      </c>
      <c r="AG471" s="28">
        <f t="shared" si="547"/>
        <v>0</v>
      </c>
      <c r="AH471" s="28">
        <f t="shared" si="548"/>
        <v>0</v>
      </c>
      <c r="AI471" s="21" t="s">
        <v>557</v>
      </c>
      <c r="AJ471" s="28">
        <f t="shared" si="549"/>
        <v>0</v>
      </c>
      <c r="AK471" s="28">
        <f t="shared" si="550"/>
        <v>0</v>
      </c>
      <c r="AL471" s="28">
        <f t="shared" si="551"/>
        <v>0</v>
      </c>
      <c r="AN471" s="28">
        <v>21</v>
      </c>
      <c r="AO471" s="28">
        <f>H471*0.767472727272727</f>
        <v>0</v>
      </c>
      <c r="AP471" s="28">
        <f>H471*(1-0.767472727272727)</f>
        <v>0</v>
      </c>
      <c r="AQ471" s="30" t="s">
        <v>900</v>
      </c>
      <c r="AV471" s="28">
        <f t="shared" si="552"/>
        <v>0</v>
      </c>
      <c r="AW471" s="28">
        <f t="shared" si="553"/>
        <v>0</v>
      </c>
      <c r="AX471" s="28">
        <f t="shared" si="554"/>
        <v>0</v>
      </c>
      <c r="AY471" s="30" t="s">
        <v>562</v>
      </c>
      <c r="AZ471" s="30" t="s">
        <v>133</v>
      </c>
      <c r="BA471" s="21" t="s">
        <v>569</v>
      </c>
      <c r="BC471" s="28">
        <f t="shared" si="555"/>
        <v>0</v>
      </c>
      <c r="BD471" s="28">
        <f t="shared" si="556"/>
        <v>0</v>
      </c>
      <c r="BE471" s="28">
        <v>0</v>
      </c>
      <c r="BF471" s="28">
        <f>471</f>
        <v>471</v>
      </c>
      <c r="BH471" s="28">
        <f t="shared" si="557"/>
        <v>0</v>
      </c>
      <c r="BI471" s="28">
        <f t="shared" si="558"/>
        <v>0</v>
      </c>
      <c r="BJ471" s="28">
        <f t="shared" si="559"/>
        <v>0</v>
      </c>
      <c r="BK471" s="28"/>
      <c r="BL471" s="28">
        <v>722</v>
      </c>
      <c r="BW471" s="28">
        <v>21</v>
      </c>
    </row>
    <row r="472" spans="1:75" ht="13.5" customHeight="1">
      <c r="A472" s="38" t="s">
        <v>800</v>
      </c>
      <c r="B472" s="39" t="s">
        <v>557</v>
      </c>
      <c r="C472" s="39" t="s">
        <v>545</v>
      </c>
      <c r="D472" s="50" t="s">
        <v>1064</v>
      </c>
      <c r="E472" s="51"/>
      <c r="F472" s="39" t="s">
        <v>228</v>
      </c>
      <c r="G472" s="28">
        <v>1</v>
      </c>
      <c r="H472" s="120">
        <v>0</v>
      </c>
      <c r="I472" s="120">
        <f t="shared" si="540"/>
        <v>0</v>
      </c>
      <c r="K472" s="8"/>
      <c r="Z472" s="28">
        <f t="shared" si="541"/>
        <v>0</v>
      </c>
      <c r="AB472" s="28">
        <f t="shared" si="542"/>
        <v>0</v>
      </c>
      <c r="AC472" s="28">
        <f t="shared" si="543"/>
        <v>0</v>
      </c>
      <c r="AD472" s="28">
        <f t="shared" si="544"/>
        <v>0</v>
      </c>
      <c r="AE472" s="28">
        <f t="shared" si="545"/>
        <v>0</v>
      </c>
      <c r="AF472" s="28">
        <f t="shared" si="546"/>
        <v>0</v>
      </c>
      <c r="AG472" s="28">
        <f t="shared" si="547"/>
        <v>0</v>
      </c>
      <c r="AH472" s="28">
        <f t="shared" si="548"/>
        <v>0</v>
      </c>
      <c r="AI472" s="21" t="s">
        <v>557</v>
      </c>
      <c r="AJ472" s="28">
        <f t="shared" si="549"/>
        <v>0</v>
      </c>
      <c r="AK472" s="28">
        <f t="shared" si="550"/>
        <v>0</v>
      </c>
      <c r="AL472" s="28">
        <f t="shared" si="551"/>
        <v>0</v>
      </c>
      <c r="AN472" s="28">
        <v>21</v>
      </c>
      <c r="AO472" s="28">
        <f>H472*0.869366700715015</f>
        <v>0</v>
      </c>
      <c r="AP472" s="28">
        <f>H472*(1-0.869366700715015)</f>
        <v>0</v>
      </c>
      <c r="AQ472" s="30" t="s">
        <v>900</v>
      </c>
      <c r="AV472" s="28">
        <f t="shared" si="552"/>
        <v>0</v>
      </c>
      <c r="AW472" s="28">
        <f t="shared" si="553"/>
        <v>0</v>
      </c>
      <c r="AX472" s="28">
        <f t="shared" si="554"/>
        <v>0</v>
      </c>
      <c r="AY472" s="30" t="s">
        <v>562</v>
      </c>
      <c r="AZ472" s="30" t="s">
        <v>133</v>
      </c>
      <c r="BA472" s="21" t="s">
        <v>569</v>
      </c>
      <c r="BC472" s="28">
        <f t="shared" si="555"/>
        <v>0</v>
      </c>
      <c r="BD472" s="28">
        <f t="shared" si="556"/>
        <v>0</v>
      </c>
      <c r="BE472" s="28">
        <v>0</v>
      </c>
      <c r="BF472" s="28">
        <f>472</f>
        <v>472</v>
      </c>
      <c r="BH472" s="28">
        <f t="shared" si="557"/>
        <v>0</v>
      </c>
      <c r="BI472" s="28">
        <f t="shared" si="558"/>
        <v>0</v>
      </c>
      <c r="BJ472" s="28">
        <f t="shared" si="559"/>
        <v>0</v>
      </c>
      <c r="BK472" s="28"/>
      <c r="BL472" s="28">
        <v>722</v>
      </c>
      <c r="BW472" s="28">
        <v>21</v>
      </c>
    </row>
    <row r="473" spans="1:75" ht="13.5" customHeight="1">
      <c r="A473" s="38" t="s">
        <v>187</v>
      </c>
      <c r="B473" s="39" t="s">
        <v>557</v>
      </c>
      <c r="C473" s="39" t="s">
        <v>796</v>
      </c>
      <c r="D473" s="50" t="s">
        <v>1065</v>
      </c>
      <c r="E473" s="51"/>
      <c r="F473" s="39" t="s">
        <v>228</v>
      </c>
      <c r="G473" s="28">
        <v>1</v>
      </c>
      <c r="H473" s="120">
        <v>0</v>
      </c>
      <c r="I473" s="120">
        <f t="shared" si="540"/>
        <v>0</v>
      </c>
      <c r="K473" s="8"/>
      <c r="Z473" s="28">
        <f t="shared" si="541"/>
        <v>0</v>
      </c>
      <c r="AB473" s="28">
        <f t="shared" si="542"/>
        <v>0</v>
      </c>
      <c r="AC473" s="28">
        <f t="shared" si="543"/>
        <v>0</v>
      </c>
      <c r="AD473" s="28">
        <f t="shared" si="544"/>
        <v>0</v>
      </c>
      <c r="AE473" s="28">
        <f t="shared" si="545"/>
        <v>0</v>
      </c>
      <c r="AF473" s="28">
        <f t="shared" si="546"/>
        <v>0</v>
      </c>
      <c r="AG473" s="28">
        <f t="shared" si="547"/>
        <v>0</v>
      </c>
      <c r="AH473" s="28">
        <f t="shared" si="548"/>
        <v>0</v>
      </c>
      <c r="AI473" s="21" t="s">
        <v>557</v>
      </c>
      <c r="AJ473" s="28">
        <f t="shared" si="549"/>
        <v>0</v>
      </c>
      <c r="AK473" s="28">
        <f t="shared" si="550"/>
        <v>0</v>
      </c>
      <c r="AL473" s="28">
        <f t="shared" si="551"/>
        <v>0</v>
      </c>
      <c r="AN473" s="28">
        <v>21</v>
      </c>
      <c r="AO473" s="28">
        <f>H473*0.767894736842105</f>
        <v>0</v>
      </c>
      <c r="AP473" s="28">
        <f>H473*(1-0.767894736842105)</f>
        <v>0</v>
      </c>
      <c r="AQ473" s="30" t="s">
        <v>900</v>
      </c>
      <c r="AV473" s="28">
        <f t="shared" si="552"/>
        <v>0</v>
      </c>
      <c r="AW473" s="28">
        <f t="shared" si="553"/>
        <v>0</v>
      </c>
      <c r="AX473" s="28">
        <f t="shared" si="554"/>
        <v>0</v>
      </c>
      <c r="AY473" s="30" t="s">
        <v>562</v>
      </c>
      <c r="AZ473" s="30" t="s">
        <v>133</v>
      </c>
      <c r="BA473" s="21" t="s">
        <v>569</v>
      </c>
      <c r="BC473" s="28">
        <f t="shared" si="555"/>
        <v>0</v>
      </c>
      <c r="BD473" s="28">
        <f t="shared" si="556"/>
        <v>0</v>
      </c>
      <c r="BE473" s="28">
        <v>0</v>
      </c>
      <c r="BF473" s="28">
        <f>473</f>
        <v>473</v>
      </c>
      <c r="BH473" s="28">
        <f t="shared" si="557"/>
        <v>0</v>
      </c>
      <c r="BI473" s="28">
        <f t="shared" si="558"/>
        <v>0</v>
      </c>
      <c r="BJ473" s="28">
        <f t="shared" si="559"/>
        <v>0</v>
      </c>
      <c r="BK473" s="28"/>
      <c r="BL473" s="28">
        <v>722</v>
      </c>
      <c r="BW473" s="28">
        <v>21</v>
      </c>
    </row>
    <row r="474" spans="1:75" ht="13.5" customHeight="1">
      <c r="A474" s="38" t="s">
        <v>784</v>
      </c>
      <c r="B474" s="39" t="s">
        <v>557</v>
      </c>
      <c r="C474" s="39" t="s">
        <v>901</v>
      </c>
      <c r="D474" s="50" t="s">
        <v>1082</v>
      </c>
      <c r="E474" s="51"/>
      <c r="F474" s="39" t="s">
        <v>228</v>
      </c>
      <c r="G474" s="28">
        <v>1</v>
      </c>
      <c r="H474" s="120">
        <v>0</v>
      </c>
      <c r="I474" s="120">
        <f t="shared" si="540"/>
        <v>0</v>
      </c>
      <c r="K474" s="8"/>
      <c r="Z474" s="28">
        <f t="shared" si="541"/>
        <v>0</v>
      </c>
      <c r="AB474" s="28">
        <f t="shared" si="542"/>
        <v>0</v>
      </c>
      <c r="AC474" s="28">
        <f t="shared" si="543"/>
        <v>0</v>
      </c>
      <c r="AD474" s="28">
        <f t="shared" si="544"/>
        <v>0</v>
      </c>
      <c r="AE474" s="28">
        <f t="shared" si="545"/>
        <v>0</v>
      </c>
      <c r="AF474" s="28">
        <f t="shared" si="546"/>
        <v>0</v>
      </c>
      <c r="AG474" s="28">
        <f t="shared" si="547"/>
        <v>0</v>
      </c>
      <c r="AH474" s="28">
        <f t="shared" si="548"/>
        <v>0</v>
      </c>
      <c r="AI474" s="21" t="s">
        <v>557</v>
      </c>
      <c r="AJ474" s="28">
        <f t="shared" si="549"/>
        <v>0</v>
      </c>
      <c r="AK474" s="28">
        <f t="shared" si="550"/>
        <v>0</v>
      </c>
      <c r="AL474" s="28">
        <f t="shared" si="551"/>
        <v>0</v>
      </c>
      <c r="AN474" s="28">
        <v>21</v>
      </c>
      <c r="AO474" s="28">
        <f>H474*0.901698693312836</f>
        <v>0</v>
      </c>
      <c r="AP474" s="28">
        <f>H474*(1-0.901698693312836)</f>
        <v>0</v>
      </c>
      <c r="AQ474" s="30" t="s">
        <v>900</v>
      </c>
      <c r="AV474" s="28">
        <f t="shared" si="552"/>
        <v>0</v>
      </c>
      <c r="AW474" s="28">
        <f t="shared" si="553"/>
        <v>0</v>
      </c>
      <c r="AX474" s="28">
        <f t="shared" si="554"/>
        <v>0</v>
      </c>
      <c r="AY474" s="30" t="s">
        <v>562</v>
      </c>
      <c r="AZ474" s="30" t="s">
        <v>133</v>
      </c>
      <c r="BA474" s="21" t="s">
        <v>569</v>
      </c>
      <c r="BC474" s="28">
        <f t="shared" si="555"/>
        <v>0</v>
      </c>
      <c r="BD474" s="28">
        <f t="shared" si="556"/>
        <v>0</v>
      </c>
      <c r="BE474" s="28">
        <v>0</v>
      </c>
      <c r="BF474" s="28">
        <f>474</f>
        <v>474</v>
      </c>
      <c r="BH474" s="28">
        <f t="shared" si="557"/>
        <v>0</v>
      </c>
      <c r="BI474" s="28">
        <f t="shared" si="558"/>
        <v>0</v>
      </c>
      <c r="BJ474" s="28">
        <f t="shared" si="559"/>
        <v>0</v>
      </c>
      <c r="BK474" s="28"/>
      <c r="BL474" s="28">
        <v>722</v>
      </c>
      <c r="BW474" s="28">
        <v>21</v>
      </c>
    </row>
    <row r="475" spans="1:47" ht="15" customHeight="1">
      <c r="A475" s="3" t="s">
        <v>626</v>
      </c>
      <c r="B475" s="43" t="s">
        <v>557</v>
      </c>
      <c r="C475" s="43" t="s">
        <v>550</v>
      </c>
      <c r="D475" s="103" t="s">
        <v>995</v>
      </c>
      <c r="E475" s="104"/>
      <c r="F475" s="37" t="s">
        <v>836</v>
      </c>
      <c r="G475" s="37" t="s">
        <v>836</v>
      </c>
      <c r="H475" s="118" t="s">
        <v>836</v>
      </c>
      <c r="I475" s="119">
        <f>SUM(I476:I476)</f>
        <v>0</v>
      </c>
      <c r="K475" s="8"/>
      <c r="AI475" s="21" t="s">
        <v>557</v>
      </c>
      <c r="AS475" s="31">
        <f>SUM(AJ476:AJ476)</f>
        <v>0</v>
      </c>
      <c r="AT475" s="31">
        <f>SUM(AK476:AK476)</f>
        <v>0</v>
      </c>
      <c r="AU475" s="31">
        <f>SUM(AL476:AL476)</f>
        <v>0</v>
      </c>
    </row>
    <row r="476" spans="1:75" ht="13.5" customHeight="1">
      <c r="A476" s="38" t="s">
        <v>930</v>
      </c>
      <c r="B476" s="39" t="s">
        <v>557</v>
      </c>
      <c r="C476" s="39" t="s">
        <v>759</v>
      </c>
      <c r="D476" s="50" t="s">
        <v>780</v>
      </c>
      <c r="E476" s="51"/>
      <c r="F476" s="39" t="s">
        <v>311</v>
      </c>
      <c r="G476" s="28">
        <v>1</v>
      </c>
      <c r="H476" s="120">
        <v>0</v>
      </c>
      <c r="I476" s="120">
        <f>G476*H476</f>
        <v>0</v>
      </c>
      <c r="K476" s="8"/>
      <c r="Z476" s="28">
        <f>IF(AQ476="5",BJ476,0)</f>
        <v>0</v>
      </c>
      <c r="AB476" s="28">
        <f>IF(AQ476="1",BH476,0)</f>
        <v>0</v>
      </c>
      <c r="AC476" s="28">
        <f>IF(AQ476="1",BI476,0)</f>
        <v>0</v>
      </c>
      <c r="AD476" s="28">
        <f>IF(AQ476="7",BH476,0)</f>
        <v>0</v>
      </c>
      <c r="AE476" s="28">
        <f>IF(AQ476="7",BI476,0)</f>
        <v>0</v>
      </c>
      <c r="AF476" s="28">
        <f>IF(AQ476="2",BH476,0)</f>
        <v>0</v>
      </c>
      <c r="AG476" s="28">
        <f>IF(AQ476="2",BI476,0)</f>
        <v>0</v>
      </c>
      <c r="AH476" s="28">
        <f>IF(AQ476="0",BJ476,0)</f>
        <v>0</v>
      </c>
      <c r="AI476" s="21" t="s">
        <v>557</v>
      </c>
      <c r="AJ476" s="28">
        <f>IF(AN476=0,I476,0)</f>
        <v>0</v>
      </c>
      <c r="AK476" s="28">
        <f>IF(AN476=12,I476,0)</f>
        <v>0</v>
      </c>
      <c r="AL476" s="28">
        <f>IF(AN476=21,I476,0)</f>
        <v>0</v>
      </c>
      <c r="AN476" s="28">
        <v>21</v>
      </c>
      <c r="AO476" s="28">
        <f>H476*0.346020761245675</f>
        <v>0</v>
      </c>
      <c r="AP476" s="28">
        <f>H476*(1-0.346020761245675)</f>
        <v>0</v>
      </c>
      <c r="AQ476" s="30" t="s">
        <v>900</v>
      </c>
      <c r="AV476" s="28">
        <f>AW476+AX476</f>
        <v>0</v>
      </c>
      <c r="AW476" s="28">
        <f>G476*AO476</f>
        <v>0</v>
      </c>
      <c r="AX476" s="28">
        <f>G476*AP476</f>
        <v>0</v>
      </c>
      <c r="AY476" s="30" t="s">
        <v>817</v>
      </c>
      <c r="AZ476" s="30" t="s">
        <v>217</v>
      </c>
      <c r="BA476" s="21" t="s">
        <v>569</v>
      </c>
      <c r="BC476" s="28">
        <f>AW476+AX476</f>
        <v>0</v>
      </c>
      <c r="BD476" s="28">
        <f>H476/(100-BE476)*100</f>
        <v>0</v>
      </c>
      <c r="BE476" s="28">
        <v>0</v>
      </c>
      <c r="BF476" s="28">
        <f>476</f>
        <v>476</v>
      </c>
      <c r="BH476" s="28">
        <f>G476*AO476</f>
        <v>0</v>
      </c>
      <c r="BI476" s="28">
        <f>G476*AP476</f>
        <v>0</v>
      </c>
      <c r="BJ476" s="28">
        <f>G476*H476</f>
        <v>0</v>
      </c>
      <c r="BK476" s="28"/>
      <c r="BL476" s="28">
        <v>73</v>
      </c>
      <c r="BW476" s="28">
        <v>21</v>
      </c>
    </row>
    <row r="477" spans="1:47" ht="15" customHeight="1">
      <c r="A477" s="3" t="s">
        <v>626</v>
      </c>
      <c r="B477" s="43" t="s">
        <v>557</v>
      </c>
      <c r="C477" s="43" t="s">
        <v>595</v>
      </c>
      <c r="D477" s="103" t="s">
        <v>898</v>
      </c>
      <c r="E477" s="104"/>
      <c r="F477" s="37" t="s">
        <v>836</v>
      </c>
      <c r="G477" s="37" t="s">
        <v>836</v>
      </c>
      <c r="H477" s="118" t="s">
        <v>836</v>
      </c>
      <c r="I477" s="119">
        <f>SUM(I478:I484)</f>
        <v>0</v>
      </c>
      <c r="K477" s="8"/>
      <c r="AI477" s="21" t="s">
        <v>557</v>
      </c>
      <c r="AS477" s="31">
        <f>SUM(AJ478:AJ484)</f>
        <v>0</v>
      </c>
      <c r="AT477" s="31">
        <f>SUM(AK478:AK484)</f>
        <v>0</v>
      </c>
      <c r="AU477" s="31">
        <f>SUM(AL478:AL484)</f>
        <v>0</v>
      </c>
    </row>
    <row r="478" spans="1:75" ht="13.5" customHeight="1">
      <c r="A478" s="38" t="s">
        <v>729</v>
      </c>
      <c r="B478" s="39" t="s">
        <v>557</v>
      </c>
      <c r="C478" s="39" t="s">
        <v>118</v>
      </c>
      <c r="D478" s="50" t="s">
        <v>325</v>
      </c>
      <c r="E478" s="51"/>
      <c r="F478" s="39" t="s">
        <v>311</v>
      </c>
      <c r="G478" s="28">
        <v>11</v>
      </c>
      <c r="H478" s="120">
        <v>0</v>
      </c>
      <c r="I478" s="120">
        <f aca="true" t="shared" si="560" ref="I478:I484">G478*H478</f>
        <v>0</v>
      </c>
      <c r="K478" s="8"/>
      <c r="Z478" s="28">
        <f aca="true" t="shared" si="561" ref="Z478:Z484">IF(AQ478="5",BJ478,0)</f>
        <v>0</v>
      </c>
      <c r="AB478" s="28">
        <f aca="true" t="shared" si="562" ref="AB478:AB484">IF(AQ478="1",BH478,0)</f>
        <v>0</v>
      </c>
      <c r="AC478" s="28">
        <f aca="true" t="shared" si="563" ref="AC478:AC484">IF(AQ478="1",BI478,0)</f>
        <v>0</v>
      </c>
      <c r="AD478" s="28">
        <f aca="true" t="shared" si="564" ref="AD478:AD484">IF(AQ478="7",BH478,0)</f>
        <v>0</v>
      </c>
      <c r="AE478" s="28">
        <f aca="true" t="shared" si="565" ref="AE478:AE484">IF(AQ478="7",BI478,0)</f>
        <v>0</v>
      </c>
      <c r="AF478" s="28">
        <f aca="true" t="shared" si="566" ref="AF478:AF484">IF(AQ478="2",BH478,0)</f>
        <v>0</v>
      </c>
      <c r="AG478" s="28">
        <f aca="true" t="shared" si="567" ref="AG478:AG484">IF(AQ478="2",BI478,0)</f>
        <v>0</v>
      </c>
      <c r="AH478" s="28">
        <f aca="true" t="shared" si="568" ref="AH478:AH484">IF(AQ478="0",BJ478,0)</f>
        <v>0</v>
      </c>
      <c r="AI478" s="21" t="s">
        <v>557</v>
      </c>
      <c r="AJ478" s="28">
        <f aca="true" t="shared" si="569" ref="AJ478:AJ484">IF(AN478=0,I478,0)</f>
        <v>0</v>
      </c>
      <c r="AK478" s="28">
        <f aca="true" t="shared" si="570" ref="AK478:AK484">IF(AN478=12,I478,0)</f>
        <v>0</v>
      </c>
      <c r="AL478" s="28">
        <f aca="true" t="shared" si="571" ref="AL478:AL484">IF(AN478=21,I478,0)</f>
        <v>0</v>
      </c>
      <c r="AN478" s="28">
        <v>21</v>
      </c>
      <c r="AO478" s="28">
        <f>H478*0.658518518518519</f>
        <v>0</v>
      </c>
      <c r="AP478" s="28">
        <f>H478*(1-0.658518518518519)</f>
        <v>0</v>
      </c>
      <c r="AQ478" s="30" t="s">
        <v>900</v>
      </c>
      <c r="AV478" s="28">
        <f aca="true" t="shared" si="572" ref="AV478:AV484">AW478+AX478</f>
        <v>0</v>
      </c>
      <c r="AW478" s="28">
        <f aca="true" t="shared" si="573" ref="AW478:AW484">G478*AO478</f>
        <v>0</v>
      </c>
      <c r="AX478" s="28">
        <f aca="true" t="shared" si="574" ref="AX478:AX484">G478*AP478</f>
        <v>0</v>
      </c>
      <c r="AY478" s="30" t="s">
        <v>399</v>
      </c>
      <c r="AZ478" s="30" t="s">
        <v>217</v>
      </c>
      <c r="BA478" s="21" t="s">
        <v>569</v>
      </c>
      <c r="BC478" s="28">
        <f aca="true" t="shared" si="575" ref="BC478:BC484">AW478+AX478</f>
        <v>0</v>
      </c>
      <c r="BD478" s="28">
        <f aca="true" t="shared" si="576" ref="BD478:BD484">H478/(100-BE478)*100</f>
        <v>0</v>
      </c>
      <c r="BE478" s="28">
        <v>0</v>
      </c>
      <c r="BF478" s="28">
        <f>478</f>
        <v>478</v>
      </c>
      <c r="BH478" s="28">
        <f aca="true" t="shared" si="577" ref="BH478:BH484">G478*AO478</f>
        <v>0</v>
      </c>
      <c r="BI478" s="28">
        <f aca="true" t="shared" si="578" ref="BI478:BI484">G478*AP478</f>
        <v>0</v>
      </c>
      <c r="BJ478" s="28">
        <f aca="true" t="shared" si="579" ref="BJ478:BJ484">G478*H478</f>
        <v>0</v>
      </c>
      <c r="BK478" s="28"/>
      <c r="BL478" s="28">
        <v>732</v>
      </c>
      <c r="BW478" s="28">
        <v>21</v>
      </c>
    </row>
    <row r="479" spans="1:75" ht="13.5" customHeight="1">
      <c r="A479" s="38" t="s">
        <v>312</v>
      </c>
      <c r="B479" s="39" t="s">
        <v>557</v>
      </c>
      <c r="C479" s="39" t="s">
        <v>703</v>
      </c>
      <c r="D479" s="50" t="s">
        <v>666</v>
      </c>
      <c r="E479" s="51"/>
      <c r="F479" s="39" t="s">
        <v>741</v>
      </c>
      <c r="G479" s="28">
        <v>2</v>
      </c>
      <c r="H479" s="120">
        <v>0</v>
      </c>
      <c r="I479" s="120">
        <f t="shared" si="560"/>
        <v>0</v>
      </c>
      <c r="K479" s="8"/>
      <c r="Z479" s="28">
        <f t="shared" si="561"/>
        <v>0</v>
      </c>
      <c r="AB479" s="28">
        <f t="shared" si="562"/>
        <v>0</v>
      </c>
      <c r="AC479" s="28">
        <f t="shared" si="563"/>
        <v>0</v>
      </c>
      <c r="AD479" s="28">
        <f t="shared" si="564"/>
        <v>0</v>
      </c>
      <c r="AE479" s="28">
        <f t="shared" si="565"/>
        <v>0</v>
      </c>
      <c r="AF479" s="28">
        <f t="shared" si="566"/>
        <v>0</v>
      </c>
      <c r="AG479" s="28">
        <f t="shared" si="567"/>
        <v>0</v>
      </c>
      <c r="AH479" s="28">
        <f t="shared" si="568"/>
        <v>0</v>
      </c>
      <c r="AI479" s="21" t="s">
        <v>557</v>
      </c>
      <c r="AJ479" s="28">
        <f t="shared" si="569"/>
        <v>0</v>
      </c>
      <c r="AK479" s="28">
        <f t="shared" si="570"/>
        <v>0</v>
      </c>
      <c r="AL479" s="28">
        <f t="shared" si="571"/>
        <v>0</v>
      </c>
      <c r="AN479" s="28">
        <v>21</v>
      </c>
      <c r="AO479" s="28">
        <f>H479*0</f>
        <v>0</v>
      </c>
      <c r="AP479" s="28">
        <f>H479*(1-0)</f>
        <v>0</v>
      </c>
      <c r="AQ479" s="30" t="s">
        <v>900</v>
      </c>
      <c r="AV479" s="28">
        <f t="shared" si="572"/>
        <v>0</v>
      </c>
      <c r="AW479" s="28">
        <f t="shared" si="573"/>
        <v>0</v>
      </c>
      <c r="AX479" s="28">
        <f t="shared" si="574"/>
        <v>0</v>
      </c>
      <c r="AY479" s="30" t="s">
        <v>399</v>
      </c>
      <c r="AZ479" s="30" t="s">
        <v>217</v>
      </c>
      <c r="BA479" s="21" t="s">
        <v>569</v>
      </c>
      <c r="BC479" s="28">
        <f t="shared" si="575"/>
        <v>0</v>
      </c>
      <c r="BD479" s="28">
        <f t="shared" si="576"/>
        <v>0</v>
      </c>
      <c r="BE479" s="28">
        <v>0</v>
      </c>
      <c r="BF479" s="28">
        <f>479</f>
        <v>479</v>
      </c>
      <c r="BH479" s="28">
        <f t="shared" si="577"/>
        <v>0</v>
      </c>
      <c r="BI479" s="28">
        <f t="shared" si="578"/>
        <v>0</v>
      </c>
      <c r="BJ479" s="28">
        <f t="shared" si="579"/>
        <v>0</v>
      </c>
      <c r="BK479" s="28"/>
      <c r="BL479" s="28">
        <v>732</v>
      </c>
      <c r="BW479" s="28">
        <v>21</v>
      </c>
    </row>
    <row r="480" spans="1:75" ht="13.5" customHeight="1">
      <c r="A480" s="38" t="s">
        <v>842</v>
      </c>
      <c r="B480" s="39" t="s">
        <v>557</v>
      </c>
      <c r="C480" s="39" t="s">
        <v>117</v>
      </c>
      <c r="D480" s="50" t="s">
        <v>34</v>
      </c>
      <c r="E480" s="51"/>
      <c r="F480" s="39" t="s">
        <v>228</v>
      </c>
      <c r="G480" s="28">
        <v>1</v>
      </c>
      <c r="H480" s="120">
        <v>0</v>
      </c>
      <c r="I480" s="120">
        <f t="shared" si="560"/>
        <v>0</v>
      </c>
      <c r="K480" s="8"/>
      <c r="Z480" s="28">
        <f t="shared" si="561"/>
        <v>0</v>
      </c>
      <c r="AB480" s="28">
        <f t="shared" si="562"/>
        <v>0</v>
      </c>
      <c r="AC480" s="28">
        <f t="shared" si="563"/>
        <v>0</v>
      </c>
      <c r="AD480" s="28">
        <f t="shared" si="564"/>
        <v>0</v>
      </c>
      <c r="AE480" s="28">
        <f t="shared" si="565"/>
        <v>0</v>
      </c>
      <c r="AF480" s="28">
        <f t="shared" si="566"/>
        <v>0</v>
      </c>
      <c r="AG480" s="28">
        <f t="shared" si="567"/>
        <v>0</v>
      </c>
      <c r="AH480" s="28">
        <f t="shared" si="568"/>
        <v>0</v>
      </c>
      <c r="AI480" s="21" t="s">
        <v>557</v>
      </c>
      <c r="AJ480" s="28">
        <f t="shared" si="569"/>
        <v>0</v>
      </c>
      <c r="AK480" s="28">
        <f t="shared" si="570"/>
        <v>0</v>
      </c>
      <c r="AL480" s="28">
        <f t="shared" si="571"/>
        <v>0</v>
      </c>
      <c r="AN480" s="28">
        <v>21</v>
      </c>
      <c r="AO480" s="28">
        <f>H480*0.674383346425766</f>
        <v>0</v>
      </c>
      <c r="AP480" s="28">
        <f>H480*(1-0.674383346425766)</f>
        <v>0</v>
      </c>
      <c r="AQ480" s="30" t="s">
        <v>900</v>
      </c>
      <c r="AV480" s="28">
        <f t="shared" si="572"/>
        <v>0</v>
      </c>
      <c r="AW480" s="28">
        <f t="shared" si="573"/>
        <v>0</v>
      </c>
      <c r="AX480" s="28">
        <f t="shared" si="574"/>
        <v>0</v>
      </c>
      <c r="AY480" s="30" t="s">
        <v>399</v>
      </c>
      <c r="AZ480" s="30" t="s">
        <v>217</v>
      </c>
      <c r="BA480" s="21" t="s">
        <v>569</v>
      </c>
      <c r="BC480" s="28">
        <f t="shared" si="575"/>
        <v>0</v>
      </c>
      <c r="BD480" s="28">
        <f t="shared" si="576"/>
        <v>0</v>
      </c>
      <c r="BE480" s="28">
        <v>0</v>
      </c>
      <c r="BF480" s="28">
        <f>480</f>
        <v>480</v>
      </c>
      <c r="BH480" s="28">
        <f t="shared" si="577"/>
        <v>0</v>
      </c>
      <c r="BI480" s="28">
        <f t="shared" si="578"/>
        <v>0</v>
      </c>
      <c r="BJ480" s="28">
        <f t="shared" si="579"/>
        <v>0</v>
      </c>
      <c r="BK480" s="28"/>
      <c r="BL480" s="28">
        <v>732</v>
      </c>
      <c r="BW480" s="28">
        <v>21</v>
      </c>
    </row>
    <row r="481" spans="1:75" ht="13.5" customHeight="1">
      <c r="A481" s="38" t="s">
        <v>799</v>
      </c>
      <c r="B481" s="39" t="s">
        <v>557</v>
      </c>
      <c r="C481" s="39" t="s">
        <v>290</v>
      </c>
      <c r="D481" s="50" t="s">
        <v>886</v>
      </c>
      <c r="E481" s="51"/>
      <c r="F481" s="39" t="s">
        <v>228</v>
      </c>
      <c r="G481" s="28">
        <v>2</v>
      </c>
      <c r="H481" s="120">
        <v>0</v>
      </c>
      <c r="I481" s="120">
        <f t="shared" si="560"/>
        <v>0</v>
      </c>
      <c r="K481" s="8"/>
      <c r="Z481" s="28">
        <f t="shared" si="561"/>
        <v>0</v>
      </c>
      <c r="AB481" s="28">
        <f t="shared" si="562"/>
        <v>0</v>
      </c>
      <c r="AC481" s="28">
        <f t="shared" si="563"/>
        <v>0</v>
      </c>
      <c r="AD481" s="28">
        <f t="shared" si="564"/>
        <v>0</v>
      </c>
      <c r="AE481" s="28">
        <f t="shared" si="565"/>
        <v>0</v>
      </c>
      <c r="AF481" s="28">
        <f t="shared" si="566"/>
        <v>0</v>
      </c>
      <c r="AG481" s="28">
        <f t="shared" si="567"/>
        <v>0</v>
      </c>
      <c r="AH481" s="28">
        <f t="shared" si="568"/>
        <v>0</v>
      </c>
      <c r="AI481" s="21" t="s">
        <v>557</v>
      </c>
      <c r="AJ481" s="28">
        <f t="shared" si="569"/>
        <v>0</v>
      </c>
      <c r="AK481" s="28">
        <f t="shared" si="570"/>
        <v>0</v>
      </c>
      <c r="AL481" s="28">
        <f t="shared" si="571"/>
        <v>0</v>
      </c>
      <c r="AN481" s="28">
        <v>21</v>
      </c>
      <c r="AO481" s="28">
        <f>H481*0.532435331230284</f>
        <v>0</v>
      </c>
      <c r="AP481" s="28">
        <f>H481*(1-0.532435331230284)</f>
        <v>0</v>
      </c>
      <c r="AQ481" s="30" t="s">
        <v>900</v>
      </c>
      <c r="AV481" s="28">
        <f t="shared" si="572"/>
        <v>0</v>
      </c>
      <c r="AW481" s="28">
        <f t="shared" si="573"/>
        <v>0</v>
      </c>
      <c r="AX481" s="28">
        <f t="shared" si="574"/>
        <v>0</v>
      </c>
      <c r="AY481" s="30" t="s">
        <v>399</v>
      </c>
      <c r="AZ481" s="30" t="s">
        <v>217</v>
      </c>
      <c r="BA481" s="21" t="s">
        <v>569</v>
      </c>
      <c r="BC481" s="28">
        <f t="shared" si="575"/>
        <v>0</v>
      </c>
      <c r="BD481" s="28">
        <f t="shared" si="576"/>
        <v>0</v>
      </c>
      <c r="BE481" s="28">
        <v>0</v>
      </c>
      <c r="BF481" s="28">
        <f>481</f>
        <v>481</v>
      </c>
      <c r="BH481" s="28">
        <f t="shared" si="577"/>
        <v>0</v>
      </c>
      <c r="BI481" s="28">
        <f t="shared" si="578"/>
        <v>0</v>
      </c>
      <c r="BJ481" s="28">
        <f t="shared" si="579"/>
        <v>0</v>
      </c>
      <c r="BK481" s="28"/>
      <c r="BL481" s="28">
        <v>732</v>
      </c>
      <c r="BW481" s="28">
        <v>21</v>
      </c>
    </row>
    <row r="482" spans="1:75" ht="13.5" customHeight="1">
      <c r="A482" s="38" t="s">
        <v>306</v>
      </c>
      <c r="B482" s="39" t="s">
        <v>557</v>
      </c>
      <c r="C482" s="39" t="s">
        <v>949</v>
      </c>
      <c r="D482" s="50" t="s">
        <v>1049</v>
      </c>
      <c r="E482" s="51"/>
      <c r="F482" s="39" t="s">
        <v>626</v>
      </c>
      <c r="G482" s="28">
        <v>1</v>
      </c>
      <c r="H482" s="120">
        <v>0</v>
      </c>
      <c r="I482" s="120">
        <f t="shared" si="560"/>
        <v>0</v>
      </c>
      <c r="K482" s="8"/>
      <c r="Z482" s="28">
        <f t="shared" si="561"/>
        <v>0</v>
      </c>
      <c r="AB482" s="28">
        <f t="shared" si="562"/>
        <v>0</v>
      </c>
      <c r="AC482" s="28">
        <f t="shared" si="563"/>
        <v>0</v>
      </c>
      <c r="AD482" s="28">
        <f t="shared" si="564"/>
        <v>0</v>
      </c>
      <c r="AE482" s="28">
        <f t="shared" si="565"/>
        <v>0</v>
      </c>
      <c r="AF482" s="28">
        <f t="shared" si="566"/>
        <v>0</v>
      </c>
      <c r="AG482" s="28">
        <f t="shared" si="567"/>
        <v>0</v>
      </c>
      <c r="AH482" s="28">
        <f t="shared" si="568"/>
        <v>0</v>
      </c>
      <c r="AI482" s="21" t="s">
        <v>557</v>
      </c>
      <c r="AJ482" s="28">
        <f t="shared" si="569"/>
        <v>0</v>
      </c>
      <c r="AK482" s="28">
        <f t="shared" si="570"/>
        <v>0</v>
      </c>
      <c r="AL482" s="28">
        <f t="shared" si="571"/>
        <v>0</v>
      </c>
      <c r="AN482" s="28">
        <v>21</v>
      </c>
      <c r="AO482" s="28">
        <f>H482*0.974240082431736</f>
        <v>0</v>
      </c>
      <c r="AP482" s="28">
        <f>H482*(1-0.974240082431736)</f>
        <v>0</v>
      </c>
      <c r="AQ482" s="30" t="s">
        <v>900</v>
      </c>
      <c r="AV482" s="28">
        <f t="shared" si="572"/>
        <v>0</v>
      </c>
      <c r="AW482" s="28">
        <f t="shared" si="573"/>
        <v>0</v>
      </c>
      <c r="AX482" s="28">
        <f t="shared" si="574"/>
        <v>0</v>
      </c>
      <c r="AY482" s="30" t="s">
        <v>399</v>
      </c>
      <c r="AZ482" s="30" t="s">
        <v>217</v>
      </c>
      <c r="BA482" s="21" t="s">
        <v>569</v>
      </c>
      <c r="BC482" s="28">
        <f t="shared" si="575"/>
        <v>0</v>
      </c>
      <c r="BD482" s="28">
        <f t="shared" si="576"/>
        <v>0</v>
      </c>
      <c r="BE482" s="28">
        <v>0</v>
      </c>
      <c r="BF482" s="28">
        <f>482</f>
        <v>482</v>
      </c>
      <c r="BH482" s="28">
        <f t="shared" si="577"/>
        <v>0</v>
      </c>
      <c r="BI482" s="28">
        <f t="shared" si="578"/>
        <v>0</v>
      </c>
      <c r="BJ482" s="28">
        <f t="shared" si="579"/>
        <v>0</v>
      </c>
      <c r="BK482" s="28"/>
      <c r="BL482" s="28">
        <v>732</v>
      </c>
      <c r="BW482" s="28">
        <v>21</v>
      </c>
    </row>
    <row r="483" spans="1:75" ht="13.5" customHeight="1">
      <c r="A483" s="38" t="s">
        <v>758</v>
      </c>
      <c r="B483" s="39" t="s">
        <v>557</v>
      </c>
      <c r="C483" s="39" t="s">
        <v>491</v>
      </c>
      <c r="D483" s="50" t="s">
        <v>123</v>
      </c>
      <c r="E483" s="51"/>
      <c r="F483" s="39" t="s">
        <v>311</v>
      </c>
      <c r="G483" s="28">
        <v>1</v>
      </c>
      <c r="H483" s="120">
        <v>0</v>
      </c>
      <c r="I483" s="120">
        <f t="shared" si="560"/>
        <v>0</v>
      </c>
      <c r="K483" s="8"/>
      <c r="Z483" s="28">
        <f t="shared" si="561"/>
        <v>0</v>
      </c>
      <c r="AB483" s="28">
        <f t="shared" si="562"/>
        <v>0</v>
      </c>
      <c r="AC483" s="28">
        <f t="shared" si="563"/>
        <v>0</v>
      </c>
      <c r="AD483" s="28">
        <f t="shared" si="564"/>
        <v>0</v>
      </c>
      <c r="AE483" s="28">
        <f t="shared" si="565"/>
        <v>0</v>
      </c>
      <c r="AF483" s="28">
        <f t="shared" si="566"/>
        <v>0</v>
      </c>
      <c r="AG483" s="28">
        <f t="shared" si="567"/>
        <v>0</v>
      </c>
      <c r="AH483" s="28">
        <f t="shared" si="568"/>
        <v>0</v>
      </c>
      <c r="AI483" s="21" t="s">
        <v>557</v>
      </c>
      <c r="AJ483" s="28">
        <f t="shared" si="569"/>
        <v>0</v>
      </c>
      <c r="AK483" s="28">
        <f t="shared" si="570"/>
        <v>0</v>
      </c>
      <c r="AL483" s="28">
        <f t="shared" si="571"/>
        <v>0</v>
      </c>
      <c r="AN483" s="28">
        <v>21</v>
      </c>
      <c r="AO483" s="28">
        <f>H483*0.642985041792658</f>
        <v>0</v>
      </c>
      <c r="AP483" s="28">
        <f>H483*(1-0.642985041792658)</f>
        <v>0</v>
      </c>
      <c r="AQ483" s="30" t="s">
        <v>900</v>
      </c>
      <c r="AV483" s="28">
        <f t="shared" si="572"/>
        <v>0</v>
      </c>
      <c r="AW483" s="28">
        <f t="shared" si="573"/>
        <v>0</v>
      </c>
      <c r="AX483" s="28">
        <f t="shared" si="574"/>
        <v>0</v>
      </c>
      <c r="AY483" s="30" t="s">
        <v>399</v>
      </c>
      <c r="AZ483" s="30" t="s">
        <v>217</v>
      </c>
      <c r="BA483" s="21" t="s">
        <v>569</v>
      </c>
      <c r="BC483" s="28">
        <f t="shared" si="575"/>
        <v>0</v>
      </c>
      <c r="BD483" s="28">
        <f t="shared" si="576"/>
        <v>0</v>
      </c>
      <c r="BE483" s="28">
        <v>0</v>
      </c>
      <c r="BF483" s="28">
        <f>483</f>
        <v>483</v>
      </c>
      <c r="BH483" s="28">
        <f t="shared" si="577"/>
        <v>0</v>
      </c>
      <c r="BI483" s="28">
        <f t="shared" si="578"/>
        <v>0</v>
      </c>
      <c r="BJ483" s="28">
        <f t="shared" si="579"/>
        <v>0</v>
      </c>
      <c r="BK483" s="28"/>
      <c r="BL483" s="28">
        <v>732</v>
      </c>
      <c r="BW483" s="28">
        <v>21</v>
      </c>
    </row>
    <row r="484" spans="1:75" ht="13.5" customHeight="1">
      <c r="A484" s="38" t="s">
        <v>100</v>
      </c>
      <c r="B484" s="39" t="s">
        <v>557</v>
      </c>
      <c r="C484" s="39" t="s">
        <v>834</v>
      </c>
      <c r="D484" s="50" t="s">
        <v>608</v>
      </c>
      <c r="E484" s="51"/>
      <c r="F484" s="39" t="s">
        <v>228</v>
      </c>
      <c r="G484" s="28">
        <v>1</v>
      </c>
      <c r="H484" s="120">
        <v>0</v>
      </c>
      <c r="I484" s="120">
        <f t="shared" si="560"/>
        <v>0</v>
      </c>
      <c r="K484" s="8"/>
      <c r="Z484" s="28">
        <f t="shared" si="561"/>
        <v>0</v>
      </c>
      <c r="AB484" s="28">
        <f t="shared" si="562"/>
        <v>0</v>
      </c>
      <c r="AC484" s="28">
        <f t="shared" si="563"/>
        <v>0</v>
      </c>
      <c r="AD484" s="28">
        <f t="shared" si="564"/>
        <v>0</v>
      </c>
      <c r="AE484" s="28">
        <f t="shared" si="565"/>
        <v>0</v>
      </c>
      <c r="AF484" s="28">
        <f t="shared" si="566"/>
        <v>0</v>
      </c>
      <c r="AG484" s="28">
        <f t="shared" si="567"/>
        <v>0</v>
      </c>
      <c r="AH484" s="28">
        <f t="shared" si="568"/>
        <v>0</v>
      </c>
      <c r="AI484" s="21" t="s">
        <v>557</v>
      </c>
      <c r="AJ484" s="28">
        <f t="shared" si="569"/>
        <v>0</v>
      </c>
      <c r="AK484" s="28">
        <f t="shared" si="570"/>
        <v>0</v>
      </c>
      <c r="AL484" s="28">
        <f t="shared" si="571"/>
        <v>0</v>
      </c>
      <c r="AN484" s="28">
        <v>21</v>
      </c>
      <c r="AO484" s="28">
        <f>H484*1</f>
        <v>0</v>
      </c>
      <c r="AP484" s="28">
        <f>H484*(1-1)</f>
        <v>0</v>
      </c>
      <c r="AQ484" s="30" t="s">
        <v>900</v>
      </c>
      <c r="AV484" s="28">
        <f t="shared" si="572"/>
        <v>0</v>
      </c>
      <c r="AW484" s="28">
        <f t="shared" si="573"/>
        <v>0</v>
      </c>
      <c r="AX484" s="28">
        <f t="shared" si="574"/>
        <v>0</v>
      </c>
      <c r="AY484" s="30" t="s">
        <v>399</v>
      </c>
      <c r="AZ484" s="30" t="s">
        <v>217</v>
      </c>
      <c r="BA484" s="21" t="s">
        <v>569</v>
      </c>
      <c r="BC484" s="28">
        <f t="shared" si="575"/>
        <v>0</v>
      </c>
      <c r="BD484" s="28">
        <f t="shared" si="576"/>
        <v>0</v>
      </c>
      <c r="BE484" s="28">
        <v>0</v>
      </c>
      <c r="BF484" s="28">
        <f>484</f>
        <v>484</v>
      </c>
      <c r="BH484" s="28">
        <f t="shared" si="577"/>
        <v>0</v>
      </c>
      <c r="BI484" s="28">
        <f t="shared" si="578"/>
        <v>0</v>
      </c>
      <c r="BJ484" s="28">
        <f t="shared" si="579"/>
        <v>0</v>
      </c>
      <c r="BK484" s="28"/>
      <c r="BL484" s="28">
        <v>732</v>
      </c>
      <c r="BW484" s="28">
        <v>21</v>
      </c>
    </row>
    <row r="485" spans="1:47" ht="15" customHeight="1">
      <c r="A485" s="3" t="s">
        <v>626</v>
      </c>
      <c r="B485" s="43" t="s">
        <v>557</v>
      </c>
      <c r="C485" s="43" t="s">
        <v>922</v>
      </c>
      <c r="D485" s="103" t="s">
        <v>754</v>
      </c>
      <c r="E485" s="104"/>
      <c r="F485" s="37" t="s">
        <v>836</v>
      </c>
      <c r="G485" s="37" t="s">
        <v>836</v>
      </c>
      <c r="H485" s="118" t="s">
        <v>836</v>
      </c>
      <c r="I485" s="119">
        <f>SUM(I486:I496)</f>
        <v>0</v>
      </c>
      <c r="K485" s="8"/>
      <c r="AI485" s="21" t="s">
        <v>557</v>
      </c>
      <c r="AS485" s="31">
        <f>SUM(AJ486:AJ496)</f>
        <v>0</v>
      </c>
      <c r="AT485" s="31">
        <f>SUM(AK486:AK496)</f>
        <v>0</v>
      </c>
      <c r="AU485" s="31">
        <f>SUM(AL486:AL496)</f>
        <v>0</v>
      </c>
    </row>
    <row r="486" spans="1:75" ht="13.5" customHeight="1">
      <c r="A486" s="38" t="s">
        <v>270</v>
      </c>
      <c r="B486" s="39" t="s">
        <v>557</v>
      </c>
      <c r="C486" s="39" t="s">
        <v>919</v>
      </c>
      <c r="D486" s="50" t="s">
        <v>556</v>
      </c>
      <c r="E486" s="51"/>
      <c r="F486" s="39" t="s">
        <v>228</v>
      </c>
      <c r="G486" s="28">
        <v>4</v>
      </c>
      <c r="H486" s="120">
        <v>0</v>
      </c>
      <c r="I486" s="120">
        <f aca="true" t="shared" si="580" ref="I486:I496">G486*H486</f>
        <v>0</v>
      </c>
      <c r="K486" s="8"/>
      <c r="Z486" s="28">
        <f aca="true" t="shared" si="581" ref="Z486:Z496">IF(AQ486="5",BJ486,0)</f>
        <v>0</v>
      </c>
      <c r="AB486" s="28">
        <f aca="true" t="shared" si="582" ref="AB486:AB496">IF(AQ486="1",BH486,0)</f>
        <v>0</v>
      </c>
      <c r="AC486" s="28">
        <f aca="true" t="shared" si="583" ref="AC486:AC496">IF(AQ486="1",BI486,0)</f>
        <v>0</v>
      </c>
      <c r="AD486" s="28">
        <f aca="true" t="shared" si="584" ref="AD486:AD496">IF(AQ486="7",BH486,0)</f>
        <v>0</v>
      </c>
      <c r="AE486" s="28">
        <f aca="true" t="shared" si="585" ref="AE486:AE496">IF(AQ486="7",BI486,0)</f>
        <v>0</v>
      </c>
      <c r="AF486" s="28">
        <f aca="true" t="shared" si="586" ref="AF486:AF496">IF(AQ486="2",BH486,0)</f>
        <v>0</v>
      </c>
      <c r="AG486" s="28">
        <f aca="true" t="shared" si="587" ref="AG486:AG496">IF(AQ486="2",BI486,0)</f>
        <v>0</v>
      </c>
      <c r="AH486" s="28">
        <f aca="true" t="shared" si="588" ref="AH486:AH496">IF(AQ486="0",BJ486,0)</f>
        <v>0</v>
      </c>
      <c r="AI486" s="21" t="s">
        <v>557</v>
      </c>
      <c r="AJ486" s="28">
        <f aca="true" t="shared" si="589" ref="AJ486:AJ496">IF(AN486=0,I486,0)</f>
        <v>0</v>
      </c>
      <c r="AK486" s="28">
        <f aca="true" t="shared" si="590" ref="AK486:AK496">IF(AN486=12,I486,0)</f>
        <v>0</v>
      </c>
      <c r="AL486" s="28">
        <f aca="true" t="shared" si="591" ref="AL486:AL496">IF(AN486=21,I486,0)</f>
        <v>0</v>
      </c>
      <c r="AN486" s="28">
        <v>21</v>
      </c>
      <c r="AO486" s="28">
        <f>H486*0.620309050772627</f>
        <v>0</v>
      </c>
      <c r="AP486" s="28">
        <f>H486*(1-0.620309050772627)</f>
        <v>0</v>
      </c>
      <c r="AQ486" s="30" t="s">
        <v>900</v>
      </c>
      <c r="AV486" s="28">
        <f aca="true" t="shared" si="592" ref="AV486:AV496">AW486+AX486</f>
        <v>0</v>
      </c>
      <c r="AW486" s="28">
        <f aca="true" t="shared" si="593" ref="AW486:AW496">G486*AO486</f>
        <v>0</v>
      </c>
      <c r="AX486" s="28">
        <f aca="true" t="shared" si="594" ref="AX486:AX496">G486*AP486</f>
        <v>0</v>
      </c>
      <c r="AY486" s="30" t="s">
        <v>92</v>
      </c>
      <c r="AZ486" s="30" t="s">
        <v>217</v>
      </c>
      <c r="BA486" s="21" t="s">
        <v>569</v>
      </c>
      <c r="BC486" s="28">
        <f aca="true" t="shared" si="595" ref="BC486:BC496">AW486+AX486</f>
        <v>0</v>
      </c>
      <c r="BD486" s="28">
        <f aca="true" t="shared" si="596" ref="BD486:BD496">H486/(100-BE486)*100</f>
        <v>0</v>
      </c>
      <c r="BE486" s="28">
        <v>0</v>
      </c>
      <c r="BF486" s="28">
        <f>486</f>
        <v>486</v>
      </c>
      <c r="BH486" s="28">
        <f aca="true" t="shared" si="597" ref="BH486:BH496">G486*AO486</f>
        <v>0</v>
      </c>
      <c r="BI486" s="28">
        <f aca="true" t="shared" si="598" ref="BI486:BI496">G486*AP486</f>
        <v>0</v>
      </c>
      <c r="BJ486" s="28">
        <f aca="true" t="shared" si="599" ref="BJ486:BJ496">G486*H486</f>
        <v>0</v>
      </c>
      <c r="BK486" s="28"/>
      <c r="BL486" s="28">
        <v>733</v>
      </c>
      <c r="BW486" s="28">
        <v>21</v>
      </c>
    </row>
    <row r="487" spans="1:75" ht="13.5" customHeight="1">
      <c r="A487" s="38" t="s">
        <v>346</v>
      </c>
      <c r="B487" s="39" t="s">
        <v>557</v>
      </c>
      <c r="C487" s="39" t="s">
        <v>937</v>
      </c>
      <c r="D487" s="50" t="s">
        <v>101</v>
      </c>
      <c r="E487" s="51"/>
      <c r="F487" s="39" t="s">
        <v>228</v>
      </c>
      <c r="G487" s="28">
        <v>4</v>
      </c>
      <c r="H487" s="120">
        <v>0</v>
      </c>
      <c r="I487" s="120">
        <f t="shared" si="580"/>
        <v>0</v>
      </c>
      <c r="K487" s="8"/>
      <c r="Z487" s="28">
        <f t="shared" si="581"/>
        <v>0</v>
      </c>
      <c r="AB487" s="28">
        <f t="shared" si="582"/>
        <v>0</v>
      </c>
      <c r="AC487" s="28">
        <f t="shared" si="583"/>
        <v>0</v>
      </c>
      <c r="AD487" s="28">
        <f t="shared" si="584"/>
        <v>0</v>
      </c>
      <c r="AE487" s="28">
        <f t="shared" si="585"/>
        <v>0</v>
      </c>
      <c r="AF487" s="28">
        <f t="shared" si="586"/>
        <v>0</v>
      </c>
      <c r="AG487" s="28">
        <f t="shared" si="587"/>
        <v>0</v>
      </c>
      <c r="AH487" s="28">
        <f t="shared" si="588"/>
        <v>0</v>
      </c>
      <c r="AI487" s="21" t="s">
        <v>557</v>
      </c>
      <c r="AJ487" s="28">
        <f t="shared" si="589"/>
        <v>0</v>
      </c>
      <c r="AK487" s="28">
        <f t="shared" si="590"/>
        <v>0</v>
      </c>
      <c r="AL487" s="28">
        <f t="shared" si="591"/>
        <v>0</v>
      </c>
      <c r="AN487" s="28">
        <v>21</v>
      </c>
      <c r="AO487" s="28">
        <f>H487*0.259191290824261</f>
        <v>0</v>
      </c>
      <c r="AP487" s="28">
        <f>H487*(1-0.259191290824261)</f>
        <v>0</v>
      </c>
      <c r="AQ487" s="30" t="s">
        <v>900</v>
      </c>
      <c r="AV487" s="28">
        <f t="shared" si="592"/>
        <v>0</v>
      </c>
      <c r="AW487" s="28">
        <f t="shared" si="593"/>
        <v>0</v>
      </c>
      <c r="AX487" s="28">
        <f t="shared" si="594"/>
        <v>0</v>
      </c>
      <c r="AY487" s="30" t="s">
        <v>92</v>
      </c>
      <c r="AZ487" s="30" t="s">
        <v>217</v>
      </c>
      <c r="BA487" s="21" t="s">
        <v>569</v>
      </c>
      <c r="BC487" s="28">
        <f t="shared" si="595"/>
        <v>0</v>
      </c>
      <c r="BD487" s="28">
        <f t="shared" si="596"/>
        <v>0</v>
      </c>
      <c r="BE487" s="28">
        <v>0</v>
      </c>
      <c r="BF487" s="28">
        <f>487</f>
        <v>487</v>
      </c>
      <c r="BH487" s="28">
        <f t="shared" si="597"/>
        <v>0</v>
      </c>
      <c r="BI487" s="28">
        <f t="shared" si="598"/>
        <v>0</v>
      </c>
      <c r="BJ487" s="28">
        <f t="shared" si="599"/>
        <v>0</v>
      </c>
      <c r="BK487" s="28"/>
      <c r="BL487" s="28">
        <v>733</v>
      </c>
      <c r="BW487" s="28">
        <v>21</v>
      </c>
    </row>
    <row r="488" spans="1:75" ht="13.5" customHeight="1">
      <c r="A488" s="38" t="s">
        <v>458</v>
      </c>
      <c r="B488" s="39" t="s">
        <v>557</v>
      </c>
      <c r="C488" s="39" t="s">
        <v>237</v>
      </c>
      <c r="D488" s="50" t="s">
        <v>622</v>
      </c>
      <c r="E488" s="51"/>
      <c r="F488" s="39" t="s">
        <v>228</v>
      </c>
      <c r="G488" s="28">
        <v>4</v>
      </c>
      <c r="H488" s="120">
        <v>0</v>
      </c>
      <c r="I488" s="120">
        <f t="shared" si="580"/>
        <v>0</v>
      </c>
      <c r="K488" s="8"/>
      <c r="Z488" s="28">
        <f t="shared" si="581"/>
        <v>0</v>
      </c>
      <c r="AB488" s="28">
        <f t="shared" si="582"/>
        <v>0</v>
      </c>
      <c r="AC488" s="28">
        <f t="shared" si="583"/>
        <v>0</v>
      </c>
      <c r="AD488" s="28">
        <f t="shared" si="584"/>
        <v>0</v>
      </c>
      <c r="AE488" s="28">
        <f t="shared" si="585"/>
        <v>0</v>
      </c>
      <c r="AF488" s="28">
        <f t="shared" si="586"/>
        <v>0</v>
      </c>
      <c r="AG488" s="28">
        <f t="shared" si="587"/>
        <v>0</v>
      </c>
      <c r="AH488" s="28">
        <f t="shared" si="588"/>
        <v>0</v>
      </c>
      <c r="AI488" s="21" t="s">
        <v>557</v>
      </c>
      <c r="AJ488" s="28">
        <f t="shared" si="589"/>
        <v>0</v>
      </c>
      <c r="AK488" s="28">
        <f t="shared" si="590"/>
        <v>0</v>
      </c>
      <c r="AL488" s="28">
        <f t="shared" si="591"/>
        <v>0</v>
      </c>
      <c r="AN488" s="28">
        <v>21</v>
      </c>
      <c r="AO488" s="28">
        <f>H488*0.345851428571429</f>
        <v>0</v>
      </c>
      <c r="AP488" s="28">
        <f>H488*(1-0.345851428571429)</f>
        <v>0</v>
      </c>
      <c r="AQ488" s="30" t="s">
        <v>900</v>
      </c>
      <c r="AV488" s="28">
        <f t="shared" si="592"/>
        <v>0</v>
      </c>
      <c r="AW488" s="28">
        <f t="shared" si="593"/>
        <v>0</v>
      </c>
      <c r="AX488" s="28">
        <f t="shared" si="594"/>
        <v>0</v>
      </c>
      <c r="AY488" s="30" t="s">
        <v>92</v>
      </c>
      <c r="AZ488" s="30" t="s">
        <v>217</v>
      </c>
      <c r="BA488" s="21" t="s">
        <v>569</v>
      </c>
      <c r="BC488" s="28">
        <f t="shared" si="595"/>
        <v>0</v>
      </c>
      <c r="BD488" s="28">
        <f t="shared" si="596"/>
        <v>0</v>
      </c>
      <c r="BE488" s="28">
        <v>0</v>
      </c>
      <c r="BF488" s="28">
        <f>488</f>
        <v>488</v>
      </c>
      <c r="BH488" s="28">
        <f t="shared" si="597"/>
        <v>0</v>
      </c>
      <c r="BI488" s="28">
        <f t="shared" si="598"/>
        <v>0</v>
      </c>
      <c r="BJ488" s="28">
        <f t="shared" si="599"/>
        <v>0</v>
      </c>
      <c r="BK488" s="28"/>
      <c r="BL488" s="28">
        <v>733</v>
      </c>
      <c r="BW488" s="28">
        <v>21</v>
      </c>
    </row>
    <row r="489" spans="1:75" ht="13.5" customHeight="1">
      <c r="A489" s="38" t="s">
        <v>802</v>
      </c>
      <c r="B489" s="39" t="s">
        <v>557</v>
      </c>
      <c r="C489" s="39" t="s">
        <v>329</v>
      </c>
      <c r="D489" s="50" t="s">
        <v>575</v>
      </c>
      <c r="E489" s="51"/>
      <c r="F489" s="39" t="s">
        <v>741</v>
      </c>
      <c r="G489" s="28">
        <v>12</v>
      </c>
      <c r="H489" s="120">
        <v>0</v>
      </c>
      <c r="I489" s="120">
        <f t="shared" si="580"/>
        <v>0</v>
      </c>
      <c r="K489" s="8"/>
      <c r="Z489" s="28">
        <f t="shared" si="581"/>
        <v>0</v>
      </c>
      <c r="AB489" s="28">
        <f t="shared" si="582"/>
        <v>0</v>
      </c>
      <c r="AC489" s="28">
        <f t="shared" si="583"/>
        <v>0</v>
      </c>
      <c r="AD489" s="28">
        <f t="shared" si="584"/>
        <v>0</v>
      </c>
      <c r="AE489" s="28">
        <f t="shared" si="585"/>
        <v>0</v>
      </c>
      <c r="AF489" s="28">
        <f t="shared" si="586"/>
        <v>0</v>
      </c>
      <c r="AG489" s="28">
        <f t="shared" si="587"/>
        <v>0</v>
      </c>
      <c r="AH489" s="28">
        <f t="shared" si="588"/>
        <v>0</v>
      </c>
      <c r="AI489" s="21" t="s">
        <v>557</v>
      </c>
      <c r="AJ489" s="28">
        <f t="shared" si="589"/>
        <v>0</v>
      </c>
      <c r="AK489" s="28">
        <f t="shared" si="590"/>
        <v>0</v>
      </c>
      <c r="AL489" s="28">
        <f t="shared" si="591"/>
        <v>0</v>
      </c>
      <c r="AN489" s="28">
        <v>21</v>
      </c>
      <c r="AO489" s="28">
        <f>H489*0.212764227642276</f>
        <v>0</v>
      </c>
      <c r="AP489" s="28">
        <f>H489*(1-0.212764227642276)</f>
        <v>0</v>
      </c>
      <c r="AQ489" s="30" t="s">
        <v>900</v>
      </c>
      <c r="AV489" s="28">
        <f t="shared" si="592"/>
        <v>0</v>
      </c>
      <c r="AW489" s="28">
        <f t="shared" si="593"/>
        <v>0</v>
      </c>
      <c r="AX489" s="28">
        <f t="shared" si="594"/>
        <v>0</v>
      </c>
      <c r="AY489" s="30" t="s">
        <v>92</v>
      </c>
      <c r="AZ489" s="30" t="s">
        <v>217</v>
      </c>
      <c r="BA489" s="21" t="s">
        <v>569</v>
      </c>
      <c r="BC489" s="28">
        <f t="shared" si="595"/>
        <v>0</v>
      </c>
      <c r="BD489" s="28">
        <f t="shared" si="596"/>
        <v>0</v>
      </c>
      <c r="BE489" s="28">
        <v>0</v>
      </c>
      <c r="BF489" s="28">
        <f>489</f>
        <v>489</v>
      </c>
      <c r="BH489" s="28">
        <f t="shared" si="597"/>
        <v>0</v>
      </c>
      <c r="BI489" s="28">
        <f t="shared" si="598"/>
        <v>0</v>
      </c>
      <c r="BJ489" s="28">
        <f t="shared" si="599"/>
        <v>0</v>
      </c>
      <c r="BK489" s="28"/>
      <c r="BL489" s="28">
        <v>733</v>
      </c>
      <c r="BW489" s="28">
        <v>21</v>
      </c>
    </row>
    <row r="490" spans="1:75" ht="13.5" customHeight="1">
      <c r="A490" s="38" t="s">
        <v>336</v>
      </c>
      <c r="B490" s="39" t="s">
        <v>557</v>
      </c>
      <c r="C490" s="39" t="s">
        <v>859</v>
      </c>
      <c r="D490" s="50" t="s">
        <v>137</v>
      </c>
      <c r="E490" s="51"/>
      <c r="F490" s="39" t="s">
        <v>741</v>
      </c>
      <c r="G490" s="28">
        <v>6</v>
      </c>
      <c r="H490" s="120">
        <v>0</v>
      </c>
      <c r="I490" s="120">
        <f t="shared" si="580"/>
        <v>0</v>
      </c>
      <c r="K490" s="8"/>
      <c r="Z490" s="28">
        <f t="shared" si="581"/>
        <v>0</v>
      </c>
      <c r="AB490" s="28">
        <f t="shared" si="582"/>
        <v>0</v>
      </c>
      <c r="AC490" s="28">
        <f t="shared" si="583"/>
        <v>0</v>
      </c>
      <c r="AD490" s="28">
        <f t="shared" si="584"/>
        <v>0</v>
      </c>
      <c r="AE490" s="28">
        <f t="shared" si="585"/>
        <v>0</v>
      </c>
      <c r="AF490" s="28">
        <f t="shared" si="586"/>
        <v>0</v>
      </c>
      <c r="AG490" s="28">
        <f t="shared" si="587"/>
        <v>0</v>
      </c>
      <c r="AH490" s="28">
        <f t="shared" si="588"/>
        <v>0</v>
      </c>
      <c r="AI490" s="21" t="s">
        <v>557</v>
      </c>
      <c r="AJ490" s="28">
        <f t="shared" si="589"/>
        <v>0</v>
      </c>
      <c r="AK490" s="28">
        <f t="shared" si="590"/>
        <v>0</v>
      </c>
      <c r="AL490" s="28">
        <f t="shared" si="591"/>
        <v>0</v>
      </c>
      <c r="AN490" s="28">
        <v>21</v>
      </c>
      <c r="AO490" s="28">
        <f>H490*0.58344860710855</f>
        <v>0</v>
      </c>
      <c r="AP490" s="28">
        <f>H490*(1-0.58344860710855)</f>
        <v>0</v>
      </c>
      <c r="AQ490" s="30" t="s">
        <v>900</v>
      </c>
      <c r="AV490" s="28">
        <f t="shared" si="592"/>
        <v>0</v>
      </c>
      <c r="AW490" s="28">
        <f t="shared" si="593"/>
        <v>0</v>
      </c>
      <c r="AX490" s="28">
        <f t="shared" si="594"/>
        <v>0</v>
      </c>
      <c r="AY490" s="30" t="s">
        <v>92</v>
      </c>
      <c r="AZ490" s="30" t="s">
        <v>217</v>
      </c>
      <c r="BA490" s="21" t="s">
        <v>569</v>
      </c>
      <c r="BC490" s="28">
        <f t="shared" si="595"/>
        <v>0</v>
      </c>
      <c r="BD490" s="28">
        <f t="shared" si="596"/>
        <v>0</v>
      </c>
      <c r="BE490" s="28">
        <v>0</v>
      </c>
      <c r="BF490" s="28">
        <f>490</f>
        <v>490</v>
      </c>
      <c r="BH490" s="28">
        <f t="shared" si="597"/>
        <v>0</v>
      </c>
      <c r="BI490" s="28">
        <f t="shared" si="598"/>
        <v>0</v>
      </c>
      <c r="BJ490" s="28">
        <f t="shared" si="599"/>
        <v>0</v>
      </c>
      <c r="BK490" s="28"/>
      <c r="BL490" s="28">
        <v>733</v>
      </c>
      <c r="BW490" s="28">
        <v>21</v>
      </c>
    </row>
    <row r="491" spans="1:75" ht="13.5" customHeight="1">
      <c r="A491" s="38" t="s">
        <v>737</v>
      </c>
      <c r="B491" s="39" t="s">
        <v>557</v>
      </c>
      <c r="C491" s="39" t="s">
        <v>689</v>
      </c>
      <c r="D491" s="50" t="s">
        <v>770</v>
      </c>
      <c r="E491" s="51"/>
      <c r="F491" s="39" t="s">
        <v>741</v>
      </c>
      <c r="G491" s="28">
        <v>8</v>
      </c>
      <c r="H491" s="120">
        <v>0</v>
      </c>
      <c r="I491" s="120">
        <f t="shared" si="580"/>
        <v>0</v>
      </c>
      <c r="K491" s="8"/>
      <c r="Z491" s="28">
        <f t="shared" si="581"/>
        <v>0</v>
      </c>
      <c r="AB491" s="28">
        <f t="shared" si="582"/>
        <v>0</v>
      </c>
      <c r="AC491" s="28">
        <f t="shared" si="583"/>
        <v>0</v>
      </c>
      <c r="AD491" s="28">
        <f t="shared" si="584"/>
        <v>0</v>
      </c>
      <c r="AE491" s="28">
        <f t="shared" si="585"/>
        <v>0</v>
      </c>
      <c r="AF491" s="28">
        <f t="shared" si="586"/>
        <v>0</v>
      </c>
      <c r="AG491" s="28">
        <f t="shared" si="587"/>
        <v>0</v>
      </c>
      <c r="AH491" s="28">
        <f t="shared" si="588"/>
        <v>0</v>
      </c>
      <c r="AI491" s="21" t="s">
        <v>557</v>
      </c>
      <c r="AJ491" s="28">
        <f t="shared" si="589"/>
        <v>0</v>
      </c>
      <c r="AK491" s="28">
        <f t="shared" si="590"/>
        <v>0</v>
      </c>
      <c r="AL491" s="28">
        <f t="shared" si="591"/>
        <v>0</v>
      </c>
      <c r="AN491" s="28">
        <v>21</v>
      </c>
      <c r="AO491" s="28">
        <f>H491*0.144233333333333</f>
        <v>0</v>
      </c>
      <c r="AP491" s="28">
        <f>H491*(1-0.144233333333333)</f>
        <v>0</v>
      </c>
      <c r="AQ491" s="30" t="s">
        <v>900</v>
      </c>
      <c r="AV491" s="28">
        <f t="shared" si="592"/>
        <v>0</v>
      </c>
      <c r="AW491" s="28">
        <f t="shared" si="593"/>
        <v>0</v>
      </c>
      <c r="AX491" s="28">
        <f t="shared" si="594"/>
        <v>0</v>
      </c>
      <c r="AY491" s="30" t="s">
        <v>92</v>
      </c>
      <c r="AZ491" s="30" t="s">
        <v>217</v>
      </c>
      <c r="BA491" s="21" t="s">
        <v>569</v>
      </c>
      <c r="BC491" s="28">
        <f t="shared" si="595"/>
        <v>0</v>
      </c>
      <c r="BD491" s="28">
        <f t="shared" si="596"/>
        <v>0</v>
      </c>
      <c r="BE491" s="28">
        <v>0</v>
      </c>
      <c r="BF491" s="28">
        <f>491</f>
        <v>491</v>
      </c>
      <c r="BH491" s="28">
        <f t="shared" si="597"/>
        <v>0</v>
      </c>
      <c r="BI491" s="28">
        <f t="shared" si="598"/>
        <v>0</v>
      </c>
      <c r="BJ491" s="28">
        <f t="shared" si="599"/>
        <v>0</v>
      </c>
      <c r="BK491" s="28"/>
      <c r="BL491" s="28">
        <v>733</v>
      </c>
      <c r="BW491" s="28">
        <v>21</v>
      </c>
    </row>
    <row r="492" spans="1:75" ht="13.5" customHeight="1">
      <c r="A492" s="38" t="s">
        <v>749</v>
      </c>
      <c r="B492" s="39" t="s">
        <v>557</v>
      </c>
      <c r="C492" s="39" t="s">
        <v>843</v>
      </c>
      <c r="D492" s="50" t="s">
        <v>536</v>
      </c>
      <c r="E492" s="51"/>
      <c r="F492" s="39" t="s">
        <v>741</v>
      </c>
      <c r="G492" s="28">
        <v>0.5</v>
      </c>
      <c r="H492" s="120">
        <v>0</v>
      </c>
      <c r="I492" s="120">
        <f t="shared" si="580"/>
        <v>0</v>
      </c>
      <c r="K492" s="8"/>
      <c r="Z492" s="28">
        <f t="shared" si="581"/>
        <v>0</v>
      </c>
      <c r="AB492" s="28">
        <f t="shared" si="582"/>
        <v>0</v>
      </c>
      <c r="AC492" s="28">
        <f t="shared" si="583"/>
        <v>0</v>
      </c>
      <c r="AD492" s="28">
        <f t="shared" si="584"/>
        <v>0</v>
      </c>
      <c r="AE492" s="28">
        <f t="shared" si="585"/>
        <v>0</v>
      </c>
      <c r="AF492" s="28">
        <f t="shared" si="586"/>
        <v>0</v>
      </c>
      <c r="AG492" s="28">
        <f t="shared" si="587"/>
        <v>0</v>
      </c>
      <c r="AH492" s="28">
        <f t="shared" si="588"/>
        <v>0</v>
      </c>
      <c r="AI492" s="21" t="s">
        <v>557</v>
      </c>
      <c r="AJ492" s="28">
        <f t="shared" si="589"/>
        <v>0</v>
      </c>
      <c r="AK492" s="28">
        <f t="shared" si="590"/>
        <v>0</v>
      </c>
      <c r="AL492" s="28">
        <f t="shared" si="591"/>
        <v>0</v>
      </c>
      <c r="AN492" s="28">
        <v>21</v>
      </c>
      <c r="AO492" s="28">
        <f>H492*0.0775828460038986</f>
        <v>0</v>
      </c>
      <c r="AP492" s="28">
        <f>H492*(1-0.0775828460038986)</f>
        <v>0</v>
      </c>
      <c r="AQ492" s="30" t="s">
        <v>900</v>
      </c>
      <c r="AV492" s="28">
        <f t="shared" si="592"/>
        <v>0</v>
      </c>
      <c r="AW492" s="28">
        <f t="shared" si="593"/>
        <v>0</v>
      </c>
      <c r="AX492" s="28">
        <f t="shared" si="594"/>
        <v>0</v>
      </c>
      <c r="AY492" s="30" t="s">
        <v>92</v>
      </c>
      <c r="AZ492" s="30" t="s">
        <v>217</v>
      </c>
      <c r="BA492" s="21" t="s">
        <v>569</v>
      </c>
      <c r="BC492" s="28">
        <f t="shared" si="595"/>
        <v>0</v>
      </c>
      <c r="BD492" s="28">
        <f t="shared" si="596"/>
        <v>0</v>
      </c>
      <c r="BE492" s="28">
        <v>0</v>
      </c>
      <c r="BF492" s="28">
        <f>492</f>
        <v>492</v>
      </c>
      <c r="BH492" s="28">
        <f t="shared" si="597"/>
        <v>0</v>
      </c>
      <c r="BI492" s="28">
        <f t="shared" si="598"/>
        <v>0</v>
      </c>
      <c r="BJ492" s="28">
        <f t="shared" si="599"/>
        <v>0</v>
      </c>
      <c r="BK492" s="28"/>
      <c r="BL492" s="28">
        <v>733</v>
      </c>
      <c r="BW492" s="28">
        <v>21</v>
      </c>
    </row>
    <row r="493" spans="1:75" ht="13.5" customHeight="1">
      <c r="A493" s="38" t="s">
        <v>421</v>
      </c>
      <c r="B493" s="39" t="s">
        <v>557</v>
      </c>
      <c r="C493" s="39" t="s">
        <v>260</v>
      </c>
      <c r="D493" s="50" t="s">
        <v>287</v>
      </c>
      <c r="E493" s="51"/>
      <c r="F493" s="39" t="s">
        <v>741</v>
      </c>
      <c r="G493" s="28">
        <v>14.5</v>
      </c>
      <c r="H493" s="120">
        <v>0</v>
      </c>
      <c r="I493" s="120">
        <f t="shared" si="580"/>
        <v>0</v>
      </c>
      <c r="K493" s="8"/>
      <c r="Z493" s="28">
        <f t="shared" si="581"/>
        <v>0</v>
      </c>
      <c r="AB493" s="28">
        <f t="shared" si="582"/>
        <v>0</v>
      </c>
      <c r="AC493" s="28">
        <f t="shared" si="583"/>
        <v>0</v>
      </c>
      <c r="AD493" s="28">
        <f t="shared" si="584"/>
        <v>0</v>
      </c>
      <c r="AE493" s="28">
        <f t="shared" si="585"/>
        <v>0</v>
      </c>
      <c r="AF493" s="28">
        <f t="shared" si="586"/>
        <v>0</v>
      </c>
      <c r="AG493" s="28">
        <f t="shared" si="587"/>
        <v>0</v>
      </c>
      <c r="AH493" s="28">
        <f t="shared" si="588"/>
        <v>0</v>
      </c>
      <c r="AI493" s="21" t="s">
        <v>557</v>
      </c>
      <c r="AJ493" s="28">
        <f t="shared" si="589"/>
        <v>0</v>
      </c>
      <c r="AK493" s="28">
        <f t="shared" si="590"/>
        <v>0</v>
      </c>
      <c r="AL493" s="28">
        <f t="shared" si="591"/>
        <v>0</v>
      </c>
      <c r="AN493" s="28">
        <v>21</v>
      </c>
      <c r="AO493" s="28">
        <f>H493*0</f>
        <v>0</v>
      </c>
      <c r="AP493" s="28">
        <f>H493*(1-0)</f>
        <v>0</v>
      </c>
      <c r="AQ493" s="30" t="s">
        <v>900</v>
      </c>
      <c r="AV493" s="28">
        <f t="shared" si="592"/>
        <v>0</v>
      </c>
      <c r="AW493" s="28">
        <f t="shared" si="593"/>
        <v>0</v>
      </c>
      <c r="AX493" s="28">
        <f t="shared" si="594"/>
        <v>0</v>
      </c>
      <c r="AY493" s="30" t="s">
        <v>92</v>
      </c>
      <c r="AZ493" s="30" t="s">
        <v>217</v>
      </c>
      <c r="BA493" s="21" t="s">
        <v>569</v>
      </c>
      <c r="BC493" s="28">
        <f t="shared" si="595"/>
        <v>0</v>
      </c>
      <c r="BD493" s="28">
        <f t="shared" si="596"/>
        <v>0</v>
      </c>
      <c r="BE493" s="28">
        <v>0</v>
      </c>
      <c r="BF493" s="28">
        <f>493</f>
        <v>493</v>
      </c>
      <c r="BH493" s="28">
        <f t="shared" si="597"/>
        <v>0</v>
      </c>
      <c r="BI493" s="28">
        <f t="shared" si="598"/>
        <v>0</v>
      </c>
      <c r="BJ493" s="28">
        <f t="shared" si="599"/>
        <v>0</v>
      </c>
      <c r="BK493" s="28"/>
      <c r="BL493" s="28">
        <v>733</v>
      </c>
      <c r="BW493" s="28">
        <v>21</v>
      </c>
    </row>
    <row r="494" spans="1:75" ht="13.5" customHeight="1">
      <c r="A494" s="38" t="s">
        <v>935</v>
      </c>
      <c r="B494" s="39" t="s">
        <v>557</v>
      </c>
      <c r="C494" s="39" t="s">
        <v>278</v>
      </c>
      <c r="D494" s="50" t="s">
        <v>1068</v>
      </c>
      <c r="E494" s="51"/>
      <c r="F494" s="39" t="s">
        <v>741</v>
      </c>
      <c r="G494" s="28">
        <v>6</v>
      </c>
      <c r="H494" s="120">
        <v>0</v>
      </c>
      <c r="I494" s="120">
        <f t="shared" si="580"/>
        <v>0</v>
      </c>
      <c r="K494" s="8"/>
      <c r="Z494" s="28">
        <f t="shared" si="581"/>
        <v>0</v>
      </c>
      <c r="AB494" s="28">
        <f t="shared" si="582"/>
        <v>0</v>
      </c>
      <c r="AC494" s="28">
        <f t="shared" si="583"/>
        <v>0</v>
      </c>
      <c r="AD494" s="28">
        <f t="shared" si="584"/>
        <v>0</v>
      </c>
      <c r="AE494" s="28">
        <f t="shared" si="585"/>
        <v>0</v>
      </c>
      <c r="AF494" s="28">
        <f t="shared" si="586"/>
        <v>0</v>
      </c>
      <c r="AG494" s="28">
        <f t="shared" si="587"/>
        <v>0</v>
      </c>
      <c r="AH494" s="28">
        <f t="shared" si="588"/>
        <v>0</v>
      </c>
      <c r="AI494" s="21" t="s">
        <v>557</v>
      </c>
      <c r="AJ494" s="28">
        <f t="shared" si="589"/>
        <v>0</v>
      </c>
      <c r="AK494" s="28">
        <f t="shared" si="590"/>
        <v>0</v>
      </c>
      <c r="AL494" s="28">
        <f t="shared" si="591"/>
        <v>0</v>
      </c>
      <c r="AN494" s="28">
        <v>21</v>
      </c>
      <c r="AO494" s="28">
        <f>H494*1</f>
        <v>0</v>
      </c>
      <c r="AP494" s="28">
        <f>H494*(1-1)</f>
        <v>0</v>
      </c>
      <c r="AQ494" s="30" t="s">
        <v>900</v>
      </c>
      <c r="AV494" s="28">
        <f t="shared" si="592"/>
        <v>0</v>
      </c>
      <c r="AW494" s="28">
        <f t="shared" si="593"/>
        <v>0</v>
      </c>
      <c r="AX494" s="28">
        <f t="shared" si="594"/>
        <v>0</v>
      </c>
      <c r="AY494" s="30" t="s">
        <v>92</v>
      </c>
      <c r="AZ494" s="30" t="s">
        <v>217</v>
      </c>
      <c r="BA494" s="21" t="s">
        <v>569</v>
      </c>
      <c r="BC494" s="28">
        <f t="shared" si="595"/>
        <v>0</v>
      </c>
      <c r="BD494" s="28">
        <f t="shared" si="596"/>
        <v>0</v>
      </c>
      <c r="BE494" s="28">
        <v>0</v>
      </c>
      <c r="BF494" s="28">
        <f>494</f>
        <v>494</v>
      </c>
      <c r="BH494" s="28">
        <f t="shared" si="597"/>
        <v>0</v>
      </c>
      <c r="BI494" s="28">
        <f t="shared" si="598"/>
        <v>0</v>
      </c>
      <c r="BJ494" s="28">
        <f t="shared" si="599"/>
        <v>0</v>
      </c>
      <c r="BK494" s="28"/>
      <c r="BL494" s="28">
        <v>733</v>
      </c>
      <c r="BW494" s="28">
        <v>21</v>
      </c>
    </row>
    <row r="495" spans="1:75" ht="13.5" customHeight="1">
      <c r="A495" s="38" t="s">
        <v>376</v>
      </c>
      <c r="B495" s="39" t="s">
        <v>557</v>
      </c>
      <c r="C495" s="39" t="s">
        <v>825</v>
      </c>
      <c r="D495" s="50" t="s">
        <v>1069</v>
      </c>
      <c r="E495" s="51"/>
      <c r="F495" s="39" t="s">
        <v>741</v>
      </c>
      <c r="G495" s="28">
        <v>8</v>
      </c>
      <c r="H495" s="120">
        <v>0</v>
      </c>
      <c r="I495" s="120">
        <f t="shared" si="580"/>
        <v>0</v>
      </c>
      <c r="K495" s="8"/>
      <c r="Z495" s="28">
        <f t="shared" si="581"/>
        <v>0</v>
      </c>
      <c r="AB495" s="28">
        <f t="shared" si="582"/>
        <v>0</v>
      </c>
      <c r="AC495" s="28">
        <f t="shared" si="583"/>
        <v>0</v>
      </c>
      <c r="AD495" s="28">
        <f t="shared" si="584"/>
        <v>0</v>
      </c>
      <c r="AE495" s="28">
        <f t="shared" si="585"/>
        <v>0</v>
      </c>
      <c r="AF495" s="28">
        <f t="shared" si="586"/>
        <v>0</v>
      </c>
      <c r="AG495" s="28">
        <f t="shared" si="587"/>
        <v>0</v>
      </c>
      <c r="AH495" s="28">
        <f t="shared" si="588"/>
        <v>0</v>
      </c>
      <c r="AI495" s="21" t="s">
        <v>557</v>
      </c>
      <c r="AJ495" s="28">
        <f t="shared" si="589"/>
        <v>0</v>
      </c>
      <c r="AK495" s="28">
        <f t="shared" si="590"/>
        <v>0</v>
      </c>
      <c r="AL495" s="28">
        <f t="shared" si="591"/>
        <v>0</v>
      </c>
      <c r="AN495" s="28">
        <v>21</v>
      </c>
      <c r="AO495" s="28">
        <f>H495*1</f>
        <v>0</v>
      </c>
      <c r="AP495" s="28">
        <f>H495*(1-1)</f>
        <v>0</v>
      </c>
      <c r="AQ495" s="30" t="s">
        <v>900</v>
      </c>
      <c r="AV495" s="28">
        <f t="shared" si="592"/>
        <v>0</v>
      </c>
      <c r="AW495" s="28">
        <f t="shared" si="593"/>
        <v>0</v>
      </c>
      <c r="AX495" s="28">
        <f t="shared" si="594"/>
        <v>0</v>
      </c>
      <c r="AY495" s="30" t="s">
        <v>92</v>
      </c>
      <c r="AZ495" s="30" t="s">
        <v>217</v>
      </c>
      <c r="BA495" s="21" t="s">
        <v>569</v>
      </c>
      <c r="BC495" s="28">
        <f t="shared" si="595"/>
        <v>0</v>
      </c>
      <c r="BD495" s="28">
        <f t="shared" si="596"/>
        <v>0</v>
      </c>
      <c r="BE495" s="28">
        <v>0</v>
      </c>
      <c r="BF495" s="28">
        <f>495</f>
        <v>495</v>
      </c>
      <c r="BH495" s="28">
        <f t="shared" si="597"/>
        <v>0</v>
      </c>
      <c r="BI495" s="28">
        <f t="shared" si="598"/>
        <v>0</v>
      </c>
      <c r="BJ495" s="28">
        <f t="shared" si="599"/>
        <v>0</v>
      </c>
      <c r="BK495" s="28"/>
      <c r="BL495" s="28">
        <v>733</v>
      </c>
      <c r="BW495" s="28">
        <v>21</v>
      </c>
    </row>
    <row r="496" spans="1:75" ht="13.5" customHeight="1">
      <c r="A496" s="38" t="s">
        <v>592</v>
      </c>
      <c r="B496" s="39" t="s">
        <v>557</v>
      </c>
      <c r="C496" s="39" t="s">
        <v>587</v>
      </c>
      <c r="D496" s="50" t="s">
        <v>1070</v>
      </c>
      <c r="E496" s="51"/>
      <c r="F496" s="39" t="s">
        <v>741</v>
      </c>
      <c r="G496" s="28">
        <v>0.5</v>
      </c>
      <c r="H496" s="120">
        <v>0</v>
      </c>
      <c r="I496" s="120">
        <f t="shared" si="580"/>
        <v>0</v>
      </c>
      <c r="K496" s="8"/>
      <c r="Z496" s="28">
        <f t="shared" si="581"/>
        <v>0</v>
      </c>
      <c r="AB496" s="28">
        <f t="shared" si="582"/>
        <v>0</v>
      </c>
      <c r="AC496" s="28">
        <f t="shared" si="583"/>
        <v>0</v>
      </c>
      <c r="AD496" s="28">
        <f t="shared" si="584"/>
        <v>0</v>
      </c>
      <c r="AE496" s="28">
        <f t="shared" si="585"/>
        <v>0</v>
      </c>
      <c r="AF496" s="28">
        <f t="shared" si="586"/>
        <v>0</v>
      </c>
      <c r="AG496" s="28">
        <f t="shared" si="587"/>
        <v>0</v>
      </c>
      <c r="AH496" s="28">
        <f t="shared" si="588"/>
        <v>0</v>
      </c>
      <c r="AI496" s="21" t="s">
        <v>557</v>
      </c>
      <c r="AJ496" s="28">
        <f t="shared" si="589"/>
        <v>0</v>
      </c>
      <c r="AK496" s="28">
        <f t="shared" si="590"/>
        <v>0</v>
      </c>
      <c r="AL496" s="28">
        <f t="shared" si="591"/>
        <v>0</v>
      </c>
      <c r="AN496" s="28">
        <v>21</v>
      </c>
      <c r="AO496" s="28">
        <f>H496*1</f>
        <v>0</v>
      </c>
      <c r="AP496" s="28">
        <f>H496*(1-1)</f>
        <v>0</v>
      </c>
      <c r="AQ496" s="30" t="s">
        <v>900</v>
      </c>
      <c r="AV496" s="28">
        <f t="shared" si="592"/>
        <v>0</v>
      </c>
      <c r="AW496" s="28">
        <f t="shared" si="593"/>
        <v>0</v>
      </c>
      <c r="AX496" s="28">
        <f t="shared" si="594"/>
        <v>0</v>
      </c>
      <c r="AY496" s="30" t="s">
        <v>92</v>
      </c>
      <c r="AZ496" s="30" t="s">
        <v>217</v>
      </c>
      <c r="BA496" s="21" t="s">
        <v>569</v>
      </c>
      <c r="BC496" s="28">
        <f t="shared" si="595"/>
        <v>0</v>
      </c>
      <c r="BD496" s="28">
        <f t="shared" si="596"/>
        <v>0</v>
      </c>
      <c r="BE496" s="28">
        <v>0</v>
      </c>
      <c r="BF496" s="28">
        <f>496</f>
        <v>496</v>
      </c>
      <c r="BH496" s="28">
        <f t="shared" si="597"/>
        <v>0</v>
      </c>
      <c r="BI496" s="28">
        <f t="shared" si="598"/>
        <v>0</v>
      </c>
      <c r="BJ496" s="28">
        <f t="shared" si="599"/>
        <v>0</v>
      </c>
      <c r="BK496" s="28"/>
      <c r="BL496" s="28">
        <v>733</v>
      </c>
      <c r="BW496" s="28">
        <v>21</v>
      </c>
    </row>
    <row r="497" spans="1:47" ht="15" customHeight="1">
      <c r="A497" s="3" t="s">
        <v>626</v>
      </c>
      <c r="B497" s="43" t="s">
        <v>557</v>
      </c>
      <c r="C497" s="43" t="s">
        <v>761</v>
      </c>
      <c r="D497" s="103" t="s">
        <v>589</v>
      </c>
      <c r="E497" s="104"/>
      <c r="F497" s="37" t="s">
        <v>836</v>
      </c>
      <c r="G497" s="37" t="s">
        <v>836</v>
      </c>
      <c r="H497" s="118" t="s">
        <v>836</v>
      </c>
      <c r="I497" s="119">
        <f>SUM(I498:I512)</f>
        <v>0</v>
      </c>
      <c r="K497" s="8"/>
      <c r="AI497" s="21" t="s">
        <v>557</v>
      </c>
      <c r="AS497" s="31">
        <f>SUM(AJ498:AJ512)</f>
        <v>0</v>
      </c>
      <c r="AT497" s="31">
        <f>SUM(AK498:AK512)</f>
        <v>0</v>
      </c>
      <c r="AU497" s="31">
        <f>SUM(AL498:AL512)</f>
        <v>0</v>
      </c>
    </row>
    <row r="498" spans="1:75" ht="13.5" customHeight="1">
      <c r="A498" s="38" t="s">
        <v>854</v>
      </c>
      <c r="B498" s="39" t="s">
        <v>557</v>
      </c>
      <c r="C498" s="39" t="s">
        <v>582</v>
      </c>
      <c r="D498" s="50" t="s">
        <v>309</v>
      </c>
      <c r="E498" s="51"/>
      <c r="F498" s="39" t="s">
        <v>228</v>
      </c>
      <c r="G498" s="28">
        <v>6</v>
      </c>
      <c r="H498" s="120">
        <v>0</v>
      </c>
      <c r="I498" s="120">
        <f aca="true" t="shared" si="600" ref="I498:I512">G498*H498</f>
        <v>0</v>
      </c>
      <c r="K498" s="8"/>
      <c r="Z498" s="28">
        <f aca="true" t="shared" si="601" ref="Z498:Z512">IF(AQ498="5",BJ498,0)</f>
        <v>0</v>
      </c>
      <c r="AB498" s="28">
        <f aca="true" t="shared" si="602" ref="AB498:AB512">IF(AQ498="1",BH498,0)</f>
        <v>0</v>
      </c>
      <c r="AC498" s="28">
        <f aca="true" t="shared" si="603" ref="AC498:AC512">IF(AQ498="1",BI498,0)</f>
        <v>0</v>
      </c>
      <c r="AD498" s="28">
        <f aca="true" t="shared" si="604" ref="AD498:AD512">IF(AQ498="7",BH498,0)</f>
        <v>0</v>
      </c>
      <c r="AE498" s="28">
        <f aca="true" t="shared" si="605" ref="AE498:AE512">IF(AQ498="7",BI498,0)</f>
        <v>0</v>
      </c>
      <c r="AF498" s="28">
        <f aca="true" t="shared" si="606" ref="AF498:AF512">IF(AQ498="2",BH498,0)</f>
        <v>0</v>
      </c>
      <c r="AG498" s="28">
        <f aca="true" t="shared" si="607" ref="AG498:AG512">IF(AQ498="2",BI498,0)</f>
        <v>0</v>
      </c>
      <c r="AH498" s="28">
        <f aca="true" t="shared" si="608" ref="AH498:AH512">IF(AQ498="0",BJ498,0)</f>
        <v>0</v>
      </c>
      <c r="AI498" s="21" t="s">
        <v>557</v>
      </c>
      <c r="AJ498" s="28">
        <f aca="true" t="shared" si="609" ref="AJ498:AJ512">IF(AN498=0,I498,0)</f>
        <v>0</v>
      </c>
      <c r="AK498" s="28">
        <f aca="true" t="shared" si="610" ref="AK498:AK512">IF(AN498=12,I498,0)</f>
        <v>0</v>
      </c>
      <c r="AL498" s="28">
        <f aca="true" t="shared" si="611" ref="AL498:AL512">IF(AN498=21,I498,0)</f>
        <v>0</v>
      </c>
      <c r="AN498" s="28">
        <v>21</v>
      </c>
      <c r="AO498" s="28">
        <f>H498*0.289347179920003</f>
        <v>0</v>
      </c>
      <c r="AP498" s="28">
        <f>H498*(1-0.289347179920003)</f>
        <v>0</v>
      </c>
      <c r="AQ498" s="30" t="s">
        <v>900</v>
      </c>
      <c r="AV498" s="28">
        <f aca="true" t="shared" si="612" ref="AV498:AV512">AW498+AX498</f>
        <v>0</v>
      </c>
      <c r="AW498" s="28">
        <f aca="true" t="shared" si="613" ref="AW498:AW512">G498*AO498</f>
        <v>0</v>
      </c>
      <c r="AX498" s="28">
        <f aca="true" t="shared" si="614" ref="AX498:AX512">G498*AP498</f>
        <v>0</v>
      </c>
      <c r="AY498" s="30" t="s">
        <v>178</v>
      </c>
      <c r="AZ498" s="30" t="s">
        <v>217</v>
      </c>
      <c r="BA498" s="21" t="s">
        <v>569</v>
      </c>
      <c r="BC498" s="28">
        <f aca="true" t="shared" si="615" ref="BC498:BC512">AW498+AX498</f>
        <v>0</v>
      </c>
      <c r="BD498" s="28">
        <f aca="true" t="shared" si="616" ref="BD498:BD512">H498/(100-BE498)*100</f>
        <v>0</v>
      </c>
      <c r="BE498" s="28">
        <v>0</v>
      </c>
      <c r="BF498" s="28">
        <f>498</f>
        <v>498</v>
      </c>
      <c r="BH498" s="28">
        <f aca="true" t="shared" si="617" ref="BH498:BH512">G498*AO498</f>
        <v>0</v>
      </c>
      <c r="BI498" s="28">
        <f aca="true" t="shared" si="618" ref="BI498:BI512">G498*AP498</f>
        <v>0</v>
      </c>
      <c r="BJ498" s="28">
        <f aca="true" t="shared" si="619" ref="BJ498:BJ512">G498*H498</f>
        <v>0</v>
      </c>
      <c r="BK498" s="28"/>
      <c r="BL498" s="28">
        <v>734</v>
      </c>
      <c r="BW498" s="28">
        <v>21</v>
      </c>
    </row>
    <row r="499" spans="1:75" ht="13.5" customHeight="1">
      <c r="A499" s="38" t="s">
        <v>693</v>
      </c>
      <c r="B499" s="39" t="s">
        <v>557</v>
      </c>
      <c r="C499" s="39" t="s">
        <v>625</v>
      </c>
      <c r="D499" s="50" t="s">
        <v>634</v>
      </c>
      <c r="E499" s="51"/>
      <c r="F499" s="39" t="s">
        <v>228</v>
      </c>
      <c r="G499" s="28">
        <v>4</v>
      </c>
      <c r="H499" s="120">
        <v>0</v>
      </c>
      <c r="I499" s="120">
        <f t="shared" si="600"/>
        <v>0</v>
      </c>
      <c r="K499" s="8"/>
      <c r="Z499" s="28">
        <f t="shared" si="601"/>
        <v>0</v>
      </c>
      <c r="AB499" s="28">
        <f t="shared" si="602"/>
        <v>0</v>
      </c>
      <c r="AC499" s="28">
        <f t="shared" si="603"/>
        <v>0</v>
      </c>
      <c r="AD499" s="28">
        <f t="shared" si="604"/>
        <v>0</v>
      </c>
      <c r="AE499" s="28">
        <f t="shared" si="605"/>
        <v>0</v>
      </c>
      <c r="AF499" s="28">
        <f t="shared" si="606"/>
        <v>0</v>
      </c>
      <c r="AG499" s="28">
        <f t="shared" si="607"/>
        <v>0</v>
      </c>
      <c r="AH499" s="28">
        <f t="shared" si="608"/>
        <v>0</v>
      </c>
      <c r="AI499" s="21" t="s">
        <v>557</v>
      </c>
      <c r="AJ499" s="28">
        <f t="shared" si="609"/>
        <v>0</v>
      </c>
      <c r="AK499" s="28">
        <f t="shared" si="610"/>
        <v>0</v>
      </c>
      <c r="AL499" s="28">
        <f t="shared" si="611"/>
        <v>0</v>
      </c>
      <c r="AN499" s="28">
        <v>21</v>
      </c>
      <c r="AO499" s="28">
        <f>H499*0.0054421768707483</f>
        <v>0</v>
      </c>
      <c r="AP499" s="28">
        <f>H499*(1-0.0054421768707483)</f>
        <v>0</v>
      </c>
      <c r="AQ499" s="30" t="s">
        <v>900</v>
      </c>
      <c r="AV499" s="28">
        <f t="shared" si="612"/>
        <v>0</v>
      </c>
      <c r="AW499" s="28">
        <f t="shared" si="613"/>
        <v>0</v>
      </c>
      <c r="AX499" s="28">
        <f t="shared" si="614"/>
        <v>0</v>
      </c>
      <c r="AY499" s="30" t="s">
        <v>178</v>
      </c>
      <c r="AZ499" s="30" t="s">
        <v>217</v>
      </c>
      <c r="BA499" s="21" t="s">
        <v>569</v>
      </c>
      <c r="BC499" s="28">
        <f t="shared" si="615"/>
        <v>0</v>
      </c>
      <c r="BD499" s="28">
        <f t="shared" si="616"/>
        <v>0</v>
      </c>
      <c r="BE499" s="28">
        <v>0</v>
      </c>
      <c r="BF499" s="28">
        <f>499</f>
        <v>499</v>
      </c>
      <c r="BH499" s="28">
        <f t="shared" si="617"/>
        <v>0</v>
      </c>
      <c r="BI499" s="28">
        <f t="shared" si="618"/>
        <v>0</v>
      </c>
      <c r="BJ499" s="28">
        <f t="shared" si="619"/>
        <v>0</v>
      </c>
      <c r="BK499" s="28"/>
      <c r="BL499" s="28">
        <v>734</v>
      </c>
      <c r="BW499" s="28">
        <v>21</v>
      </c>
    </row>
    <row r="500" spans="1:75" ht="13.5" customHeight="1">
      <c r="A500" s="38" t="s">
        <v>417</v>
      </c>
      <c r="B500" s="39" t="s">
        <v>557</v>
      </c>
      <c r="C500" s="39" t="s">
        <v>292</v>
      </c>
      <c r="D500" s="50" t="s">
        <v>1071</v>
      </c>
      <c r="E500" s="51"/>
      <c r="F500" s="39" t="s">
        <v>228</v>
      </c>
      <c r="G500" s="28">
        <v>2</v>
      </c>
      <c r="H500" s="120">
        <v>0</v>
      </c>
      <c r="I500" s="120">
        <f t="shared" si="600"/>
        <v>0</v>
      </c>
      <c r="K500" s="8"/>
      <c r="Z500" s="28">
        <f t="shared" si="601"/>
        <v>0</v>
      </c>
      <c r="AB500" s="28">
        <f t="shared" si="602"/>
        <v>0</v>
      </c>
      <c r="AC500" s="28">
        <f t="shared" si="603"/>
        <v>0</v>
      </c>
      <c r="AD500" s="28">
        <f t="shared" si="604"/>
        <v>0</v>
      </c>
      <c r="AE500" s="28">
        <f t="shared" si="605"/>
        <v>0</v>
      </c>
      <c r="AF500" s="28">
        <f t="shared" si="606"/>
        <v>0</v>
      </c>
      <c r="AG500" s="28">
        <f t="shared" si="607"/>
        <v>0</v>
      </c>
      <c r="AH500" s="28">
        <f t="shared" si="608"/>
        <v>0</v>
      </c>
      <c r="AI500" s="21" t="s">
        <v>557</v>
      </c>
      <c r="AJ500" s="28">
        <f t="shared" si="609"/>
        <v>0</v>
      </c>
      <c r="AK500" s="28">
        <f t="shared" si="610"/>
        <v>0</v>
      </c>
      <c r="AL500" s="28">
        <f t="shared" si="611"/>
        <v>0</v>
      </c>
      <c r="AN500" s="28">
        <v>21</v>
      </c>
      <c r="AO500" s="28">
        <f>H500*0.925843353557639</f>
        <v>0</v>
      </c>
      <c r="AP500" s="28">
        <f>H500*(1-0.925843353557639)</f>
        <v>0</v>
      </c>
      <c r="AQ500" s="30" t="s">
        <v>900</v>
      </c>
      <c r="AV500" s="28">
        <f t="shared" si="612"/>
        <v>0</v>
      </c>
      <c r="AW500" s="28">
        <f t="shared" si="613"/>
        <v>0</v>
      </c>
      <c r="AX500" s="28">
        <f t="shared" si="614"/>
        <v>0</v>
      </c>
      <c r="AY500" s="30" t="s">
        <v>178</v>
      </c>
      <c r="AZ500" s="30" t="s">
        <v>217</v>
      </c>
      <c r="BA500" s="21" t="s">
        <v>569</v>
      </c>
      <c r="BC500" s="28">
        <f t="shared" si="615"/>
        <v>0</v>
      </c>
      <c r="BD500" s="28">
        <f t="shared" si="616"/>
        <v>0</v>
      </c>
      <c r="BE500" s="28">
        <v>0</v>
      </c>
      <c r="BF500" s="28">
        <f>500</f>
        <v>500</v>
      </c>
      <c r="BH500" s="28">
        <f t="shared" si="617"/>
        <v>0</v>
      </c>
      <c r="BI500" s="28">
        <f t="shared" si="618"/>
        <v>0</v>
      </c>
      <c r="BJ500" s="28">
        <f t="shared" si="619"/>
        <v>0</v>
      </c>
      <c r="BK500" s="28"/>
      <c r="BL500" s="28">
        <v>734</v>
      </c>
      <c r="BW500" s="28">
        <v>21</v>
      </c>
    </row>
    <row r="501" spans="1:75" ht="13.5" customHeight="1">
      <c r="A501" s="38" t="s">
        <v>633</v>
      </c>
      <c r="B501" s="39" t="s">
        <v>557</v>
      </c>
      <c r="C501" s="39" t="s">
        <v>623</v>
      </c>
      <c r="D501" s="50" t="s">
        <v>479</v>
      </c>
      <c r="E501" s="51"/>
      <c r="F501" s="39" t="s">
        <v>228</v>
      </c>
      <c r="G501" s="28">
        <v>6</v>
      </c>
      <c r="H501" s="120">
        <v>0</v>
      </c>
      <c r="I501" s="120">
        <f t="shared" si="600"/>
        <v>0</v>
      </c>
      <c r="K501" s="8"/>
      <c r="Z501" s="28">
        <f t="shared" si="601"/>
        <v>0</v>
      </c>
      <c r="AB501" s="28">
        <f t="shared" si="602"/>
        <v>0</v>
      </c>
      <c r="AC501" s="28">
        <f t="shared" si="603"/>
        <v>0</v>
      </c>
      <c r="AD501" s="28">
        <f t="shared" si="604"/>
        <v>0</v>
      </c>
      <c r="AE501" s="28">
        <f t="shared" si="605"/>
        <v>0</v>
      </c>
      <c r="AF501" s="28">
        <f t="shared" si="606"/>
        <v>0</v>
      </c>
      <c r="AG501" s="28">
        <f t="shared" si="607"/>
        <v>0</v>
      </c>
      <c r="AH501" s="28">
        <f t="shared" si="608"/>
        <v>0</v>
      </c>
      <c r="AI501" s="21" t="s">
        <v>557</v>
      </c>
      <c r="AJ501" s="28">
        <f t="shared" si="609"/>
        <v>0</v>
      </c>
      <c r="AK501" s="28">
        <f t="shared" si="610"/>
        <v>0</v>
      </c>
      <c r="AL501" s="28">
        <f t="shared" si="611"/>
        <v>0</v>
      </c>
      <c r="AN501" s="28">
        <v>21</v>
      </c>
      <c r="AO501" s="28">
        <f>H501*0.711852348993289</f>
        <v>0</v>
      </c>
      <c r="AP501" s="28">
        <f>H501*(1-0.711852348993289)</f>
        <v>0</v>
      </c>
      <c r="AQ501" s="30" t="s">
        <v>900</v>
      </c>
      <c r="AV501" s="28">
        <f t="shared" si="612"/>
        <v>0</v>
      </c>
      <c r="AW501" s="28">
        <f t="shared" si="613"/>
        <v>0</v>
      </c>
      <c r="AX501" s="28">
        <f t="shared" si="614"/>
        <v>0</v>
      </c>
      <c r="AY501" s="30" t="s">
        <v>178</v>
      </c>
      <c r="AZ501" s="30" t="s">
        <v>217</v>
      </c>
      <c r="BA501" s="21" t="s">
        <v>569</v>
      </c>
      <c r="BC501" s="28">
        <f t="shared" si="615"/>
        <v>0</v>
      </c>
      <c r="BD501" s="28">
        <f t="shared" si="616"/>
        <v>0</v>
      </c>
      <c r="BE501" s="28">
        <v>0</v>
      </c>
      <c r="BF501" s="28">
        <f>501</f>
        <v>501</v>
      </c>
      <c r="BH501" s="28">
        <f t="shared" si="617"/>
        <v>0</v>
      </c>
      <c r="BI501" s="28">
        <f t="shared" si="618"/>
        <v>0</v>
      </c>
      <c r="BJ501" s="28">
        <f t="shared" si="619"/>
        <v>0</v>
      </c>
      <c r="BK501" s="28"/>
      <c r="BL501" s="28">
        <v>734</v>
      </c>
      <c r="BW501" s="28">
        <v>21</v>
      </c>
    </row>
    <row r="502" spans="1:75" ht="13.5" customHeight="1">
      <c r="A502" s="38" t="s">
        <v>815</v>
      </c>
      <c r="B502" s="39" t="s">
        <v>557</v>
      </c>
      <c r="C502" s="39" t="s">
        <v>141</v>
      </c>
      <c r="D502" s="50" t="s">
        <v>716</v>
      </c>
      <c r="E502" s="51"/>
      <c r="F502" s="39" t="s">
        <v>228</v>
      </c>
      <c r="G502" s="28">
        <v>3</v>
      </c>
      <c r="H502" s="120">
        <v>0</v>
      </c>
      <c r="I502" s="120">
        <f t="shared" si="600"/>
        <v>0</v>
      </c>
      <c r="K502" s="8"/>
      <c r="Z502" s="28">
        <f t="shared" si="601"/>
        <v>0</v>
      </c>
      <c r="AB502" s="28">
        <f t="shared" si="602"/>
        <v>0</v>
      </c>
      <c r="AC502" s="28">
        <f t="shared" si="603"/>
        <v>0</v>
      </c>
      <c r="AD502" s="28">
        <f t="shared" si="604"/>
        <v>0</v>
      </c>
      <c r="AE502" s="28">
        <f t="shared" si="605"/>
        <v>0</v>
      </c>
      <c r="AF502" s="28">
        <f t="shared" si="606"/>
        <v>0</v>
      </c>
      <c r="AG502" s="28">
        <f t="shared" si="607"/>
        <v>0</v>
      </c>
      <c r="AH502" s="28">
        <f t="shared" si="608"/>
        <v>0</v>
      </c>
      <c r="AI502" s="21" t="s">
        <v>557</v>
      </c>
      <c r="AJ502" s="28">
        <f t="shared" si="609"/>
        <v>0</v>
      </c>
      <c r="AK502" s="28">
        <f t="shared" si="610"/>
        <v>0</v>
      </c>
      <c r="AL502" s="28">
        <f t="shared" si="611"/>
        <v>0</v>
      </c>
      <c r="AN502" s="28">
        <v>21</v>
      </c>
      <c r="AO502" s="28">
        <f>H502*0.893467248908297</f>
        <v>0</v>
      </c>
      <c r="AP502" s="28">
        <f>H502*(1-0.893467248908297)</f>
        <v>0</v>
      </c>
      <c r="AQ502" s="30" t="s">
        <v>900</v>
      </c>
      <c r="AV502" s="28">
        <f t="shared" si="612"/>
        <v>0</v>
      </c>
      <c r="AW502" s="28">
        <f t="shared" si="613"/>
        <v>0</v>
      </c>
      <c r="AX502" s="28">
        <f t="shared" si="614"/>
        <v>0</v>
      </c>
      <c r="AY502" s="30" t="s">
        <v>178</v>
      </c>
      <c r="AZ502" s="30" t="s">
        <v>217</v>
      </c>
      <c r="BA502" s="21" t="s">
        <v>569</v>
      </c>
      <c r="BC502" s="28">
        <f t="shared" si="615"/>
        <v>0</v>
      </c>
      <c r="BD502" s="28">
        <f t="shared" si="616"/>
        <v>0</v>
      </c>
      <c r="BE502" s="28">
        <v>0</v>
      </c>
      <c r="BF502" s="28">
        <f>502</f>
        <v>502</v>
      </c>
      <c r="BH502" s="28">
        <f t="shared" si="617"/>
        <v>0</v>
      </c>
      <c r="BI502" s="28">
        <f t="shared" si="618"/>
        <v>0</v>
      </c>
      <c r="BJ502" s="28">
        <f t="shared" si="619"/>
        <v>0</v>
      </c>
      <c r="BK502" s="28"/>
      <c r="BL502" s="28">
        <v>734</v>
      </c>
      <c r="BW502" s="28">
        <v>21</v>
      </c>
    </row>
    <row r="503" spans="1:75" ht="13.5" customHeight="1">
      <c r="A503" s="38" t="s">
        <v>163</v>
      </c>
      <c r="B503" s="39" t="s">
        <v>557</v>
      </c>
      <c r="C503" s="39" t="s">
        <v>720</v>
      </c>
      <c r="D503" s="50" t="s">
        <v>401</v>
      </c>
      <c r="E503" s="51"/>
      <c r="F503" s="39" t="s">
        <v>228</v>
      </c>
      <c r="G503" s="28">
        <v>1</v>
      </c>
      <c r="H503" s="120">
        <v>0</v>
      </c>
      <c r="I503" s="120">
        <f t="shared" si="600"/>
        <v>0</v>
      </c>
      <c r="K503" s="8"/>
      <c r="Z503" s="28">
        <f t="shared" si="601"/>
        <v>0</v>
      </c>
      <c r="AB503" s="28">
        <f t="shared" si="602"/>
        <v>0</v>
      </c>
      <c r="AC503" s="28">
        <f t="shared" si="603"/>
        <v>0</v>
      </c>
      <c r="AD503" s="28">
        <f t="shared" si="604"/>
        <v>0</v>
      </c>
      <c r="AE503" s="28">
        <f t="shared" si="605"/>
        <v>0</v>
      </c>
      <c r="AF503" s="28">
        <f t="shared" si="606"/>
        <v>0</v>
      </c>
      <c r="AG503" s="28">
        <f t="shared" si="607"/>
        <v>0</v>
      </c>
      <c r="AH503" s="28">
        <f t="shared" si="608"/>
        <v>0</v>
      </c>
      <c r="AI503" s="21" t="s">
        <v>557</v>
      </c>
      <c r="AJ503" s="28">
        <f t="shared" si="609"/>
        <v>0</v>
      </c>
      <c r="AK503" s="28">
        <f t="shared" si="610"/>
        <v>0</v>
      </c>
      <c r="AL503" s="28">
        <f t="shared" si="611"/>
        <v>0</v>
      </c>
      <c r="AN503" s="28">
        <v>21</v>
      </c>
      <c r="AO503" s="28">
        <f>H503*0.945546104928458</f>
        <v>0</v>
      </c>
      <c r="AP503" s="28">
        <f>H503*(1-0.945546104928458)</f>
        <v>0</v>
      </c>
      <c r="AQ503" s="30" t="s">
        <v>900</v>
      </c>
      <c r="AV503" s="28">
        <f t="shared" si="612"/>
        <v>0</v>
      </c>
      <c r="AW503" s="28">
        <f t="shared" si="613"/>
        <v>0</v>
      </c>
      <c r="AX503" s="28">
        <f t="shared" si="614"/>
        <v>0</v>
      </c>
      <c r="AY503" s="30" t="s">
        <v>178</v>
      </c>
      <c r="AZ503" s="30" t="s">
        <v>217</v>
      </c>
      <c r="BA503" s="21" t="s">
        <v>569</v>
      </c>
      <c r="BC503" s="28">
        <f t="shared" si="615"/>
        <v>0</v>
      </c>
      <c r="BD503" s="28">
        <f t="shared" si="616"/>
        <v>0</v>
      </c>
      <c r="BE503" s="28">
        <v>0</v>
      </c>
      <c r="BF503" s="28">
        <f>503</f>
        <v>503</v>
      </c>
      <c r="BH503" s="28">
        <f t="shared" si="617"/>
        <v>0</v>
      </c>
      <c r="BI503" s="28">
        <f t="shared" si="618"/>
        <v>0</v>
      </c>
      <c r="BJ503" s="28">
        <f t="shared" si="619"/>
        <v>0</v>
      </c>
      <c r="BK503" s="28"/>
      <c r="BL503" s="28">
        <v>734</v>
      </c>
      <c r="BW503" s="28">
        <v>21</v>
      </c>
    </row>
    <row r="504" spans="1:75" ht="13.5" customHeight="1">
      <c r="A504" s="38" t="s">
        <v>284</v>
      </c>
      <c r="B504" s="39" t="s">
        <v>557</v>
      </c>
      <c r="C504" s="39" t="s">
        <v>848</v>
      </c>
      <c r="D504" s="50" t="s">
        <v>440</v>
      </c>
      <c r="E504" s="51"/>
      <c r="F504" s="39" t="s">
        <v>228</v>
      </c>
      <c r="G504" s="28">
        <v>1</v>
      </c>
      <c r="H504" s="120">
        <v>0</v>
      </c>
      <c r="I504" s="120">
        <f t="shared" si="600"/>
        <v>0</v>
      </c>
      <c r="K504" s="8"/>
      <c r="Z504" s="28">
        <f t="shared" si="601"/>
        <v>0</v>
      </c>
      <c r="AB504" s="28">
        <f t="shared" si="602"/>
        <v>0</v>
      </c>
      <c r="AC504" s="28">
        <f t="shared" si="603"/>
        <v>0</v>
      </c>
      <c r="AD504" s="28">
        <f t="shared" si="604"/>
        <v>0</v>
      </c>
      <c r="AE504" s="28">
        <f t="shared" si="605"/>
        <v>0</v>
      </c>
      <c r="AF504" s="28">
        <f t="shared" si="606"/>
        <v>0</v>
      </c>
      <c r="AG504" s="28">
        <f t="shared" si="607"/>
        <v>0</v>
      </c>
      <c r="AH504" s="28">
        <f t="shared" si="608"/>
        <v>0</v>
      </c>
      <c r="AI504" s="21" t="s">
        <v>557</v>
      </c>
      <c r="AJ504" s="28">
        <f t="shared" si="609"/>
        <v>0</v>
      </c>
      <c r="AK504" s="28">
        <f t="shared" si="610"/>
        <v>0</v>
      </c>
      <c r="AL504" s="28">
        <f t="shared" si="611"/>
        <v>0</v>
      </c>
      <c r="AN504" s="28">
        <v>21</v>
      </c>
      <c r="AO504" s="28">
        <f>H504*0.913686165273909</f>
        <v>0</v>
      </c>
      <c r="AP504" s="28">
        <f>H504*(1-0.913686165273909)</f>
        <v>0</v>
      </c>
      <c r="AQ504" s="30" t="s">
        <v>900</v>
      </c>
      <c r="AV504" s="28">
        <f t="shared" si="612"/>
        <v>0</v>
      </c>
      <c r="AW504" s="28">
        <f t="shared" si="613"/>
        <v>0</v>
      </c>
      <c r="AX504" s="28">
        <f t="shared" si="614"/>
        <v>0</v>
      </c>
      <c r="AY504" s="30" t="s">
        <v>178</v>
      </c>
      <c r="AZ504" s="30" t="s">
        <v>217</v>
      </c>
      <c r="BA504" s="21" t="s">
        <v>569</v>
      </c>
      <c r="BC504" s="28">
        <f t="shared" si="615"/>
        <v>0</v>
      </c>
      <c r="BD504" s="28">
        <f t="shared" si="616"/>
        <v>0</v>
      </c>
      <c r="BE504" s="28">
        <v>0</v>
      </c>
      <c r="BF504" s="28">
        <f>504</f>
        <v>504</v>
      </c>
      <c r="BH504" s="28">
        <f t="shared" si="617"/>
        <v>0</v>
      </c>
      <c r="BI504" s="28">
        <f t="shared" si="618"/>
        <v>0</v>
      </c>
      <c r="BJ504" s="28">
        <f t="shared" si="619"/>
        <v>0</v>
      </c>
      <c r="BK504" s="28"/>
      <c r="BL504" s="28">
        <v>734</v>
      </c>
      <c r="BW504" s="28">
        <v>21</v>
      </c>
    </row>
    <row r="505" spans="1:75" ht="13.5" customHeight="1">
      <c r="A505" s="38" t="s">
        <v>552</v>
      </c>
      <c r="B505" s="39" t="s">
        <v>557</v>
      </c>
      <c r="C505" s="39" t="s">
        <v>471</v>
      </c>
      <c r="D505" s="50" t="s">
        <v>1086</v>
      </c>
      <c r="E505" s="51"/>
      <c r="F505" s="39" t="s">
        <v>228</v>
      </c>
      <c r="G505" s="28">
        <v>2</v>
      </c>
      <c r="H505" s="120">
        <v>0</v>
      </c>
      <c r="I505" s="120">
        <f t="shared" si="600"/>
        <v>0</v>
      </c>
      <c r="K505" s="8"/>
      <c r="Z505" s="28">
        <f t="shared" si="601"/>
        <v>0</v>
      </c>
      <c r="AB505" s="28">
        <f t="shared" si="602"/>
        <v>0</v>
      </c>
      <c r="AC505" s="28">
        <f t="shared" si="603"/>
        <v>0</v>
      </c>
      <c r="AD505" s="28">
        <f t="shared" si="604"/>
        <v>0</v>
      </c>
      <c r="AE505" s="28">
        <f t="shared" si="605"/>
        <v>0</v>
      </c>
      <c r="AF505" s="28">
        <f t="shared" si="606"/>
        <v>0</v>
      </c>
      <c r="AG505" s="28">
        <f t="shared" si="607"/>
        <v>0</v>
      </c>
      <c r="AH505" s="28">
        <f t="shared" si="608"/>
        <v>0</v>
      </c>
      <c r="AI505" s="21" t="s">
        <v>557</v>
      </c>
      <c r="AJ505" s="28">
        <f t="shared" si="609"/>
        <v>0</v>
      </c>
      <c r="AK505" s="28">
        <f t="shared" si="610"/>
        <v>0</v>
      </c>
      <c r="AL505" s="28">
        <f t="shared" si="611"/>
        <v>0</v>
      </c>
      <c r="AN505" s="28">
        <v>21</v>
      </c>
      <c r="AO505" s="28">
        <f>H505*0.869366700715015</f>
        <v>0</v>
      </c>
      <c r="AP505" s="28">
        <f>H505*(1-0.869366700715015)</f>
        <v>0</v>
      </c>
      <c r="AQ505" s="30" t="s">
        <v>900</v>
      </c>
      <c r="AV505" s="28">
        <f t="shared" si="612"/>
        <v>0</v>
      </c>
      <c r="AW505" s="28">
        <f t="shared" si="613"/>
        <v>0</v>
      </c>
      <c r="AX505" s="28">
        <f t="shared" si="614"/>
        <v>0</v>
      </c>
      <c r="AY505" s="30" t="s">
        <v>178</v>
      </c>
      <c r="AZ505" s="30" t="s">
        <v>217</v>
      </c>
      <c r="BA505" s="21" t="s">
        <v>569</v>
      </c>
      <c r="BC505" s="28">
        <f t="shared" si="615"/>
        <v>0</v>
      </c>
      <c r="BD505" s="28">
        <f t="shared" si="616"/>
        <v>0</v>
      </c>
      <c r="BE505" s="28">
        <v>0</v>
      </c>
      <c r="BF505" s="28">
        <f>505</f>
        <v>505</v>
      </c>
      <c r="BH505" s="28">
        <f t="shared" si="617"/>
        <v>0</v>
      </c>
      <c r="BI505" s="28">
        <f t="shared" si="618"/>
        <v>0</v>
      </c>
      <c r="BJ505" s="28">
        <f t="shared" si="619"/>
        <v>0</v>
      </c>
      <c r="BK505" s="28"/>
      <c r="BL505" s="28">
        <v>734</v>
      </c>
      <c r="BW505" s="28">
        <v>21</v>
      </c>
    </row>
    <row r="506" spans="1:75" ht="13.5" customHeight="1">
      <c r="A506" s="38" t="s">
        <v>875</v>
      </c>
      <c r="B506" s="39" t="s">
        <v>557</v>
      </c>
      <c r="C506" s="39" t="s">
        <v>923</v>
      </c>
      <c r="D506" s="50" t="s">
        <v>1073</v>
      </c>
      <c r="E506" s="51"/>
      <c r="F506" s="39" t="s">
        <v>228</v>
      </c>
      <c r="G506" s="28">
        <v>1</v>
      </c>
      <c r="H506" s="120">
        <v>0</v>
      </c>
      <c r="I506" s="120">
        <f t="shared" si="600"/>
        <v>0</v>
      </c>
      <c r="K506" s="8"/>
      <c r="Z506" s="28">
        <f t="shared" si="601"/>
        <v>0</v>
      </c>
      <c r="AB506" s="28">
        <f t="shared" si="602"/>
        <v>0</v>
      </c>
      <c r="AC506" s="28">
        <f t="shared" si="603"/>
        <v>0</v>
      </c>
      <c r="AD506" s="28">
        <f t="shared" si="604"/>
        <v>0</v>
      </c>
      <c r="AE506" s="28">
        <f t="shared" si="605"/>
        <v>0</v>
      </c>
      <c r="AF506" s="28">
        <f t="shared" si="606"/>
        <v>0</v>
      </c>
      <c r="AG506" s="28">
        <f t="shared" si="607"/>
        <v>0</v>
      </c>
      <c r="AH506" s="28">
        <f t="shared" si="608"/>
        <v>0</v>
      </c>
      <c r="AI506" s="21" t="s">
        <v>557</v>
      </c>
      <c r="AJ506" s="28">
        <f t="shared" si="609"/>
        <v>0</v>
      </c>
      <c r="AK506" s="28">
        <f t="shared" si="610"/>
        <v>0</v>
      </c>
      <c r="AL506" s="28">
        <f t="shared" si="611"/>
        <v>0</v>
      </c>
      <c r="AN506" s="28">
        <v>21</v>
      </c>
      <c r="AO506" s="28">
        <f>H506*0.929993168165776</f>
        <v>0</v>
      </c>
      <c r="AP506" s="28">
        <f>H506*(1-0.929993168165776)</f>
        <v>0</v>
      </c>
      <c r="AQ506" s="30" t="s">
        <v>900</v>
      </c>
      <c r="AV506" s="28">
        <f t="shared" si="612"/>
        <v>0</v>
      </c>
      <c r="AW506" s="28">
        <f t="shared" si="613"/>
        <v>0</v>
      </c>
      <c r="AX506" s="28">
        <f t="shared" si="614"/>
        <v>0</v>
      </c>
      <c r="AY506" s="30" t="s">
        <v>178</v>
      </c>
      <c r="AZ506" s="30" t="s">
        <v>217</v>
      </c>
      <c r="BA506" s="21" t="s">
        <v>569</v>
      </c>
      <c r="BC506" s="28">
        <f t="shared" si="615"/>
        <v>0</v>
      </c>
      <c r="BD506" s="28">
        <f t="shared" si="616"/>
        <v>0</v>
      </c>
      <c r="BE506" s="28">
        <v>0</v>
      </c>
      <c r="BF506" s="28">
        <f>506</f>
        <v>506</v>
      </c>
      <c r="BH506" s="28">
        <f t="shared" si="617"/>
        <v>0</v>
      </c>
      <c r="BI506" s="28">
        <f t="shared" si="618"/>
        <v>0</v>
      </c>
      <c r="BJ506" s="28">
        <f t="shared" si="619"/>
        <v>0</v>
      </c>
      <c r="BK506" s="28"/>
      <c r="BL506" s="28">
        <v>734</v>
      </c>
      <c r="BW506" s="28">
        <v>21</v>
      </c>
    </row>
    <row r="507" spans="1:75" ht="13.5" customHeight="1">
      <c r="A507" s="38" t="s">
        <v>10</v>
      </c>
      <c r="B507" s="39" t="s">
        <v>557</v>
      </c>
      <c r="C507" s="39" t="s">
        <v>502</v>
      </c>
      <c r="D507" s="50" t="s">
        <v>1074</v>
      </c>
      <c r="E507" s="51"/>
      <c r="F507" s="39" t="s">
        <v>228</v>
      </c>
      <c r="G507" s="28">
        <v>1</v>
      </c>
      <c r="H507" s="120">
        <v>0</v>
      </c>
      <c r="I507" s="120">
        <f t="shared" si="600"/>
        <v>0</v>
      </c>
      <c r="K507" s="8"/>
      <c r="Z507" s="28">
        <f t="shared" si="601"/>
        <v>0</v>
      </c>
      <c r="AB507" s="28">
        <f t="shared" si="602"/>
        <v>0</v>
      </c>
      <c r="AC507" s="28">
        <f t="shared" si="603"/>
        <v>0</v>
      </c>
      <c r="AD507" s="28">
        <f t="shared" si="604"/>
        <v>0</v>
      </c>
      <c r="AE507" s="28">
        <f t="shared" si="605"/>
        <v>0</v>
      </c>
      <c r="AF507" s="28">
        <f t="shared" si="606"/>
        <v>0</v>
      </c>
      <c r="AG507" s="28">
        <f t="shared" si="607"/>
        <v>0</v>
      </c>
      <c r="AH507" s="28">
        <f t="shared" si="608"/>
        <v>0</v>
      </c>
      <c r="AI507" s="21" t="s">
        <v>557</v>
      </c>
      <c r="AJ507" s="28">
        <f t="shared" si="609"/>
        <v>0</v>
      </c>
      <c r="AK507" s="28">
        <f t="shared" si="610"/>
        <v>0</v>
      </c>
      <c r="AL507" s="28">
        <f t="shared" si="611"/>
        <v>0</v>
      </c>
      <c r="AN507" s="28">
        <v>21</v>
      </c>
      <c r="AO507" s="28">
        <f>H507*0.76990099009901</f>
        <v>0</v>
      </c>
      <c r="AP507" s="28">
        <f>H507*(1-0.76990099009901)</f>
        <v>0</v>
      </c>
      <c r="AQ507" s="30" t="s">
        <v>900</v>
      </c>
      <c r="AV507" s="28">
        <f t="shared" si="612"/>
        <v>0</v>
      </c>
      <c r="AW507" s="28">
        <f t="shared" si="613"/>
        <v>0</v>
      </c>
      <c r="AX507" s="28">
        <f t="shared" si="614"/>
        <v>0</v>
      </c>
      <c r="AY507" s="30" t="s">
        <v>178</v>
      </c>
      <c r="AZ507" s="30" t="s">
        <v>217</v>
      </c>
      <c r="BA507" s="21" t="s">
        <v>569</v>
      </c>
      <c r="BC507" s="28">
        <f t="shared" si="615"/>
        <v>0</v>
      </c>
      <c r="BD507" s="28">
        <f t="shared" si="616"/>
        <v>0</v>
      </c>
      <c r="BE507" s="28">
        <v>0</v>
      </c>
      <c r="BF507" s="28">
        <f>507</f>
        <v>507</v>
      </c>
      <c r="BH507" s="28">
        <f t="shared" si="617"/>
        <v>0</v>
      </c>
      <c r="BI507" s="28">
        <f t="shared" si="618"/>
        <v>0</v>
      </c>
      <c r="BJ507" s="28">
        <f t="shared" si="619"/>
        <v>0</v>
      </c>
      <c r="BK507" s="28"/>
      <c r="BL507" s="28">
        <v>734</v>
      </c>
      <c r="BW507" s="28">
        <v>21</v>
      </c>
    </row>
    <row r="508" spans="1:75" ht="13.5" customHeight="1">
      <c r="A508" s="38" t="s">
        <v>102</v>
      </c>
      <c r="B508" s="39" t="s">
        <v>557</v>
      </c>
      <c r="C508" s="39" t="s">
        <v>203</v>
      </c>
      <c r="D508" s="50" t="s">
        <v>1079</v>
      </c>
      <c r="E508" s="51"/>
      <c r="F508" s="39" t="s">
        <v>228</v>
      </c>
      <c r="G508" s="28">
        <v>1</v>
      </c>
      <c r="H508" s="120">
        <v>0</v>
      </c>
      <c r="I508" s="120">
        <f t="shared" si="600"/>
        <v>0</v>
      </c>
      <c r="K508" s="8"/>
      <c r="Z508" s="28">
        <f t="shared" si="601"/>
        <v>0</v>
      </c>
      <c r="AB508" s="28">
        <f t="shared" si="602"/>
        <v>0</v>
      </c>
      <c r="AC508" s="28">
        <f t="shared" si="603"/>
        <v>0</v>
      </c>
      <c r="AD508" s="28">
        <f t="shared" si="604"/>
        <v>0</v>
      </c>
      <c r="AE508" s="28">
        <f t="shared" si="605"/>
        <v>0</v>
      </c>
      <c r="AF508" s="28">
        <f t="shared" si="606"/>
        <v>0</v>
      </c>
      <c r="AG508" s="28">
        <f t="shared" si="607"/>
        <v>0</v>
      </c>
      <c r="AH508" s="28">
        <f t="shared" si="608"/>
        <v>0</v>
      </c>
      <c r="AI508" s="21" t="s">
        <v>557</v>
      </c>
      <c r="AJ508" s="28">
        <f t="shared" si="609"/>
        <v>0</v>
      </c>
      <c r="AK508" s="28">
        <f t="shared" si="610"/>
        <v>0</v>
      </c>
      <c r="AL508" s="28">
        <f t="shared" si="611"/>
        <v>0</v>
      </c>
      <c r="AN508" s="28">
        <v>21</v>
      </c>
      <c r="AO508" s="28">
        <f>H508*0.872981818181818</f>
        <v>0</v>
      </c>
      <c r="AP508" s="28">
        <f>H508*(1-0.872981818181818)</f>
        <v>0</v>
      </c>
      <c r="AQ508" s="30" t="s">
        <v>900</v>
      </c>
      <c r="AV508" s="28">
        <f t="shared" si="612"/>
        <v>0</v>
      </c>
      <c r="AW508" s="28">
        <f t="shared" si="613"/>
        <v>0</v>
      </c>
      <c r="AX508" s="28">
        <f t="shared" si="614"/>
        <v>0</v>
      </c>
      <c r="AY508" s="30" t="s">
        <v>178</v>
      </c>
      <c r="AZ508" s="30" t="s">
        <v>217</v>
      </c>
      <c r="BA508" s="21" t="s">
        <v>569</v>
      </c>
      <c r="BC508" s="28">
        <f t="shared" si="615"/>
        <v>0</v>
      </c>
      <c r="BD508" s="28">
        <f t="shared" si="616"/>
        <v>0</v>
      </c>
      <c r="BE508" s="28">
        <v>0</v>
      </c>
      <c r="BF508" s="28">
        <f>508</f>
        <v>508</v>
      </c>
      <c r="BH508" s="28">
        <f t="shared" si="617"/>
        <v>0</v>
      </c>
      <c r="BI508" s="28">
        <f t="shared" si="618"/>
        <v>0</v>
      </c>
      <c r="BJ508" s="28">
        <f t="shared" si="619"/>
        <v>0</v>
      </c>
      <c r="BK508" s="28"/>
      <c r="BL508" s="28">
        <v>734</v>
      </c>
      <c r="BW508" s="28">
        <v>21</v>
      </c>
    </row>
    <row r="509" spans="1:75" ht="13.5" customHeight="1">
      <c r="A509" s="38" t="s">
        <v>947</v>
      </c>
      <c r="B509" s="39" t="s">
        <v>557</v>
      </c>
      <c r="C509" s="39" t="s">
        <v>365</v>
      </c>
      <c r="D509" s="50" t="s">
        <v>243</v>
      </c>
      <c r="E509" s="51"/>
      <c r="F509" s="39" t="s">
        <v>311</v>
      </c>
      <c r="G509" s="28">
        <v>1</v>
      </c>
      <c r="H509" s="120">
        <v>0</v>
      </c>
      <c r="I509" s="120">
        <f t="shared" si="600"/>
        <v>0</v>
      </c>
      <c r="K509" s="8"/>
      <c r="Z509" s="28">
        <f t="shared" si="601"/>
        <v>0</v>
      </c>
      <c r="AB509" s="28">
        <f t="shared" si="602"/>
        <v>0</v>
      </c>
      <c r="AC509" s="28">
        <f t="shared" si="603"/>
        <v>0</v>
      </c>
      <c r="AD509" s="28">
        <f t="shared" si="604"/>
        <v>0</v>
      </c>
      <c r="AE509" s="28">
        <f t="shared" si="605"/>
        <v>0</v>
      </c>
      <c r="AF509" s="28">
        <f t="shared" si="606"/>
        <v>0</v>
      </c>
      <c r="AG509" s="28">
        <f t="shared" si="607"/>
        <v>0</v>
      </c>
      <c r="AH509" s="28">
        <f t="shared" si="608"/>
        <v>0</v>
      </c>
      <c r="AI509" s="21" t="s">
        <v>557</v>
      </c>
      <c r="AJ509" s="28">
        <f t="shared" si="609"/>
        <v>0</v>
      </c>
      <c r="AK509" s="28">
        <f t="shared" si="610"/>
        <v>0</v>
      </c>
      <c r="AL509" s="28">
        <f t="shared" si="611"/>
        <v>0</v>
      </c>
      <c r="AN509" s="28">
        <v>21</v>
      </c>
      <c r="AO509" s="28">
        <f>H509*0.924761904761905</f>
        <v>0</v>
      </c>
      <c r="AP509" s="28">
        <f>H509*(1-0.924761904761905)</f>
        <v>0</v>
      </c>
      <c r="AQ509" s="30" t="s">
        <v>900</v>
      </c>
      <c r="AV509" s="28">
        <f t="shared" si="612"/>
        <v>0</v>
      </c>
      <c r="AW509" s="28">
        <f t="shared" si="613"/>
        <v>0</v>
      </c>
      <c r="AX509" s="28">
        <f t="shared" si="614"/>
        <v>0</v>
      </c>
      <c r="AY509" s="30" t="s">
        <v>178</v>
      </c>
      <c r="AZ509" s="30" t="s">
        <v>217</v>
      </c>
      <c r="BA509" s="21" t="s">
        <v>569</v>
      </c>
      <c r="BC509" s="28">
        <f t="shared" si="615"/>
        <v>0</v>
      </c>
      <c r="BD509" s="28">
        <f t="shared" si="616"/>
        <v>0</v>
      </c>
      <c r="BE509" s="28">
        <v>0</v>
      </c>
      <c r="BF509" s="28">
        <f>509</f>
        <v>509</v>
      </c>
      <c r="BH509" s="28">
        <f t="shared" si="617"/>
        <v>0</v>
      </c>
      <c r="BI509" s="28">
        <f t="shared" si="618"/>
        <v>0</v>
      </c>
      <c r="BJ509" s="28">
        <f t="shared" si="619"/>
        <v>0</v>
      </c>
      <c r="BK509" s="28"/>
      <c r="BL509" s="28">
        <v>734</v>
      </c>
      <c r="BW509" s="28">
        <v>21</v>
      </c>
    </row>
    <row r="510" spans="1:75" ht="13.5" customHeight="1">
      <c r="A510" s="38" t="s">
        <v>1020</v>
      </c>
      <c r="B510" s="39" t="s">
        <v>557</v>
      </c>
      <c r="C510" s="39" t="s">
        <v>501</v>
      </c>
      <c r="D510" s="50" t="s">
        <v>362</v>
      </c>
      <c r="E510" s="51"/>
      <c r="F510" s="39" t="s">
        <v>228</v>
      </c>
      <c r="G510" s="28">
        <v>1</v>
      </c>
      <c r="H510" s="120">
        <v>0</v>
      </c>
      <c r="I510" s="120">
        <f t="shared" si="600"/>
        <v>0</v>
      </c>
      <c r="K510" s="8"/>
      <c r="Z510" s="28">
        <f t="shared" si="601"/>
        <v>0</v>
      </c>
      <c r="AB510" s="28">
        <f t="shared" si="602"/>
        <v>0</v>
      </c>
      <c r="AC510" s="28">
        <f t="shared" si="603"/>
        <v>0</v>
      </c>
      <c r="AD510" s="28">
        <f t="shared" si="604"/>
        <v>0</v>
      </c>
      <c r="AE510" s="28">
        <f t="shared" si="605"/>
        <v>0</v>
      </c>
      <c r="AF510" s="28">
        <f t="shared" si="606"/>
        <v>0</v>
      </c>
      <c r="AG510" s="28">
        <f t="shared" si="607"/>
        <v>0</v>
      </c>
      <c r="AH510" s="28">
        <f t="shared" si="608"/>
        <v>0</v>
      </c>
      <c r="AI510" s="21" t="s">
        <v>557</v>
      </c>
      <c r="AJ510" s="28">
        <f t="shared" si="609"/>
        <v>0</v>
      </c>
      <c r="AK510" s="28">
        <f t="shared" si="610"/>
        <v>0</v>
      </c>
      <c r="AL510" s="28">
        <f t="shared" si="611"/>
        <v>0</v>
      </c>
      <c r="AN510" s="28">
        <v>21</v>
      </c>
      <c r="AO510" s="28">
        <f>H510*0.698084842146545</f>
        <v>0</v>
      </c>
      <c r="AP510" s="28">
        <f>H510*(1-0.698084842146545)</f>
        <v>0</v>
      </c>
      <c r="AQ510" s="30" t="s">
        <v>900</v>
      </c>
      <c r="AV510" s="28">
        <f t="shared" si="612"/>
        <v>0</v>
      </c>
      <c r="AW510" s="28">
        <f t="shared" si="613"/>
        <v>0</v>
      </c>
      <c r="AX510" s="28">
        <f t="shared" si="614"/>
        <v>0</v>
      </c>
      <c r="AY510" s="30" t="s">
        <v>178</v>
      </c>
      <c r="AZ510" s="30" t="s">
        <v>217</v>
      </c>
      <c r="BA510" s="21" t="s">
        <v>569</v>
      </c>
      <c r="BC510" s="28">
        <f t="shared" si="615"/>
        <v>0</v>
      </c>
      <c r="BD510" s="28">
        <f t="shared" si="616"/>
        <v>0</v>
      </c>
      <c r="BE510" s="28">
        <v>0</v>
      </c>
      <c r="BF510" s="28">
        <f>510</f>
        <v>510</v>
      </c>
      <c r="BH510" s="28">
        <f t="shared" si="617"/>
        <v>0</v>
      </c>
      <c r="BI510" s="28">
        <f t="shared" si="618"/>
        <v>0</v>
      </c>
      <c r="BJ510" s="28">
        <f t="shared" si="619"/>
        <v>0</v>
      </c>
      <c r="BK510" s="28"/>
      <c r="BL510" s="28">
        <v>734</v>
      </c>
      <c r="BW510" s="28">
        <v>21</v>
      </c>
    </row>
    <row r="511" spans="1:75" ht="13.5" customHeight="1">
      <c r="A511" s="38" t="s">
        <v>465</v>
      </c>
      <c r="B511" s="39" t="s">
        <v>557</v>
      </c>
      <c r="C511" s="39" t="s">
        <v>321</v>
      </c>
      <c r="D511" s="50" t="s">
        <v>1076</v>
      </c>
      <c r="E511" s="51"/>
      <c r="F511" s="39" t="s">
        <v>228</v>
      </c>
      <c r="G511" s="28">
        <v>1</v>
      </c>
      <c r="H511" s="120">
        <v>0</v>
      </c>
      <c r="I511" s="120">
        <f t="shared" si="600"/>
        <v>0</v>
      </c>
      <c r="K511" s="8"/>
      <c r="Z511" s="28">
        <f t="shared" si="601"/>
        <v>0</v>
      </c>
      <c r="AB511" s="28">
        <f t="shared" si="602"/>
        <v>0</v>
      </c>
      <c r="AC511" s="28">
        <f t="shared" si="603"/>
        <v>0</v>
      </c>
      <c r="AD511" s="28">
        <f t="shared" si="604"/>
        <v>0</v>
      </c>
      <c r="AE511" s="28">
        <f t="shared" si="605"/>
        <v>0</v>
      </c>
      <c r="AF511" s="28">
        <f t="shared" si="606"/>
        <v>0</v>
      </c>
      <c r="AG511" s="28">
        <f t="shared" si="607"/>
        <v>0</v>
      </c>
      <c r="AH511" s="28">
        <f t="shared" si="608"/>
        <v>0</v>
      </c>
      <c r="AI511" s="21" t="s">
        <v>557</v>
      </c>
      <c r="AJ511" s="28">
        <f t="shared" si="609"/>
        <v>0</v>
      </c>
      <c r="AK511" s="28">
        <f t="shared" si="610"/>
        <v>0</v>
      </c>
      <c r="AL511" s="28">
        <f t="shared" si="611"/>
        <v>0</v>
      </c>
      <c r="AN511" s="28">
        <v>21</v>
      </c>
      <c r="AO511" s="28">
        <f>H511*0.796243845047714</f>
        <v>0</v>
      </c>
      <c r="AP511" s="28">
        <f>H511*(1-0.796243845047714)</f>
        <v>0</v>
      </c>
      <c r="AQ511" s="30" t="s">
        <v>900</v>
      </c>
      <c r="AV511" s="28">
        <f t="shared" si="612"/>
        <v>0</v>
      </c>
      <c r="AW511" s="28">
        <f t="shared" si="613"/>
        <v>0</v>
      </c>
      <c r="AX511" s="28">
        <f t="shared" si="614"/>
        <v>0</v>
      </c>
      <c r="AY511" s="30" t="s">
        <v>178</v>
      </c>
      <c r="AZ511" s="30" t="s">
        <v>217</v>
      </c>
      <c r="BA511" s="21" t="s">
        <v>569</v>
      </c>
      <c r="BC511" s="28">
        <f t="shared" si="615"/>
        <v>0</v>
      </c>
      <c r="BD511" s="28">
        <f t="shared" si="616"/>
        <v>0</v>
      </c>
      <c r="BE511" s="28">
        <v>0</v>
      </c>
      <c r="BF511" s="28">
        <f>511</f>
        <v>511</v>
      </c>
      <c r="BH511" s="28">
        <f t="shared" si="617"/>
        <v>0</v>
      </c>
      <c r="BI511" s="28">
        <f t="shared" si="618"/>
        <v>0</v>
      </c>
      <c r="BJ511" s="28">
        <f t="shared" si="619"/>
        <v>0</v>
      </c>
      <c r="BK511" s="28"/>
      <c r="BL511" s="28">
        <v>734</v>
      </c>
      <c r="BW511" s="28">
        <v>21</v>
      </c>
    </row>
    <row r="512" spans="1:75" ht="13.5" customHeight="1">
      <c r="A512" s="38" t="s">
        <v>988</v>
      </c>
      <c r="B512" s="39" t="s">
        <v>557</v>
      </c>
      <c r="C512" s="39" t="s">
        <v>944</v>
      </c>
      <c r="D512" s="50" t="s">
        <v>1087</v>
      </c>
      <c r="E512" s="51"/>
      <c r="F512" s="39" t="s">
        <v>228</v>
      </c>
      <c r="G512" s="28">
        <v>0</v>
      </c>
      <c r="H512" s="120">
        <v>0</v>
      </c>
      <c r="I512" s="120">
        <f t="shared" si="600"/>
        <v>0</v>
      </c>
      <c r="K512" s="8"/>
      <c r="Z512" s="28">
        <f t="shared" si="601"/>
        <v>0</v>
      </c>
      <c r="AB512" s="28">
        <f t="shared" si="602"/>
        <v>0</v>
      </c>
      <c r="AC512" s="28">
        <f t="shared" si="603"/>
        <v>0</v>
      </c>
      <c r="AD512" s="28">
        <f t="shared" si="604"/>
        <v>0</v>
      </c>
      <c r="AE512" s="28">
        <f t="shared" si="605"/>
        <v>0</v>
      </c>
      <c r="AF512" s="28">
        <f t="shared" si="606"/>
        <v>0</v>
      </c>
      <c r="AG512" s="28">
        <f t="shared" si="607"/>
        <v>0</v>
      </c>
      <c r="AH512" s="28">
        <f t="shared" si="608"/>
        <v>0</v>
      </c>
      <c r="AI512" s="21" t="s">
        <v>557</v>
      </c>
      <c r="AJ512" s="28">
        <f t="shared" si="609"/>
        <v>0</v>
      </c>
      <c r="AK512" s="28">
        <f t="shared" si="610"/>
        <v>0</v>
      </c>
      <c r="AL512" s="28">
        <f t="shared" si="611"/>
        <v>0</v>
      </c>
      <c r="AN512" s="28">
        <v>21</v>
      </c>
      <c r="AO512" s="28">
        <f>H512*0</f>
        <v>0</v>
      </c>
      <c r="AP512" s="28">
        <f>H512*(1-0)</f>
        <v>0</v>
      </c>
      <c r="AQ512" s="30" t="s">
        <v>900</v>
      </c>
      <c r="AV512" s="28">
        <f t="shared" si="612"/>
        <v>0</v>
      </c>
      <c r="AW512" s="28">
        <f t="shared" si="613"/>
        <v>0</v>
      </c>
      <c r="AX512" s="28">
        <f t="shared" si="614"/>
        <v>0</v>
      </c>
      <c r="AY512" s="30" t="s">
        <v>178</v>
      </c>
      <c r="AZ512" s="30" t="s">
        <v>217</v>
      </c>
      <c r="BA512" s="21" t="s">
        <v>569</v>
      </c>
      <c r="BC512" s="28">
        <f t="shared" si="615"/>
        <v>0</v>
      </c>
      <c r="BD512" s="28">
        <f t="shared" si="616"/>
        <v>0</v>
      </c>
      <c r="BE512" s="28">
        <v>0</v>
      </c>
      <c r="BF512" s="28">
        <f>512</f>
        <v>512</v>
      </c>
      <c r="BH512" s="28">
        <f t="shared" si="617"/>
        <v>0</v>
      </c>
      <c r="BI512" s="28">
        <f t="shared" si="618"/>
        <v>0</v>
      </c>
      <c r="BJ512" s="28">
        <f t="shared" si="619"/>
        <v>0</v>
      </c>
      <c r="BK512" s="28"/>
      <c r="BL512" s="28">
        <v>734</v>
      </c>
      <c r="BW512" s="28">
        <v>21</v>
      </c>
    </row>
    <row r="513" spans="1:47" ht="15" customHeight="1">
      <c r="A513" s="3" t="s">
        <v>626</v>
      </c>
      <c r="B513" s="43" t="s">
        <v>557</v>
      </c>
      <c r="C513" s="43" t="s">
        <v>390</v>
      </c>
      <c r="D513" s="103" t="s">
        <v>274</v>
      </c>
      <c r="E513" s="104"/>
      <c r="F513" s="37" t="s">
        <v>836</v>
      </c>
      <c r="G513" s="37" t="s">
        <v>836</v>
      </c>
      <c r="H513" s="118" t="s">
        <v>836</v>
      </c>
      <c r="I513" s="119">
        <f>SUM(I514:I515)</f>
        <v>0</v>
      </c>
      <c r="K513" s="8"/>
      <c r="AI513" s="21" t="s">
        <v>557</v>
      </c>
      <c r="AS513" s="31">
        <f>SUM(AJ514:AJ515)</f>
        <v>0</v>
      </c>
      <c r="AT513" s="31">
        <f>SUM(AK514:AK515)</f>
        <v>0</v>
      </c>
      <c r="AU513" s="31">
        <f>SUM(AL514:AL515)</f>
        <v>0</v>
      </c>
    </row>
    <row r="514" spans="1:75" ht="13.5" customHeight="1">
      <c r="A514" s="38" t="s">
        <v>360</v>
      </c>
      <c r="B514" s="39" t="s">
        <v>557</v>
      </c>
      <c r="C514" s="39" t="s">
        <v>774</v>
      </c>
      <c r="D514" s="50" t="s">
        <v>1027</v>
      </c>
      <c r="E514" s="51"/>
      <c r="F514" s="39" t="s">
        <v>853</v>
      </c>
      <c r="G514" s="28">
        <v>50</v>
      </c>
      <c r="H514" s="120">
        <v>0</v>
      </c>
      <c r="I514" s="120">
        <f>G514*H514</f>
        <v>0</v>
      </c>
      <c r="K514" s="8"/>
      <c r="Z514" s="28">
        <f>IF(AQ514="5",BJ514,0)</f>
        <v>0</v>
      </c>
      <c r="AB514" s="28">
        <f>IF(AQ514="1",BH514,0)</f>
        <v>0</v>
      </c>
      <c r="AC514" s="28">
        <f>IF(AQ514="1",BI514,0)</f>
        <v>0</v>
      </c>
      <c r="AD514" s="28">
        <f>IF(AQ514="7",BH514,0)</f>
        <v>0</v>
      </c>
      <c r="AE514" s="28">
        <f>IF(AQ514="7",BI514,0)</f>
        <v>0</v>
      </c>
      <c r="AF514" s="28">
        <f>IF(AQ514="2",BH514,0)</f>
        <v>0</v>
      </c>
      <c r="AG514" s="28">
        <f>IF(AQ514="2",BI514,0)</f>
        <v>0</v>
      </c>
      <c r="AH514" s="28">
        <f>IF(AQ514="0",BJ514,0)</f>
        <v>0</v>
      </c>
      <c r="AI514" s="21" t="s">
        <v>557</v>
      </c>
      <c r="AJ514" s="28">
        <f>IF(AN514=0,I514,0)</f>
        <v>0</v>
      </c>
      <c r="AK514" s="28">
        <f>IF(AN514=12,I514,0)</f>
        <v>0</v>
      </c>
      <c r="AL514" s="28">
        <f>IF(AN514=21,I514,0)</f>
        <v>0</v>
      </c>
      <c r="AN514" s="28">
        <v>21</v>
      </c>
      <c r="AO514" s="28">
        <f>H514*0.166280991735537</f>
        <v>0</v>
      </c>
      <c r="AP514" s="28">
        <f>H514*(1-0.166280991735537)</f>
        <v>0</v>
      </c>
      <c r="AQ514" s="30" t="s">
        <v>900</v>
      </c>
      <c r="AV514" s="28">
        <f>AW514+AX514</f>
        <v>0</v>
      </c>
      <c r="AW514" s="28">
        <f>G514*AO514</f>
        <v>0</v>
      </c>
      <c r="AX514" s="28">
        <f>G514*AP514</f>
        <v>0</v>
      </c>
      <c r="AY514" s="30" t="s">
        <v>250</v>
      </c>
      <c r="AZ514" s="30" t="s">
        <v>17</v>
      </c>
      <c r="BA514" s="21" t="s">
        <v>569</v>
      </c>
      <c r="BC514" s="28">
        <f>AW514+AX514</f>
        <v>0</v>
      </c>
      <c r="BD514" s="28">
        <f>H514/(100-BE514)*100</f>
        <v>0</v>
      </c>
      <c r="BE514" s="28">
        <v>0</v>
      </c>
      <c r="BF514" s="28">
        <f>514</f>
        <v>514</v>
      </c>
      <c r="BH514" s="28">
        <f>G514*AO514</f>
        <v>0</v>
      </c>
      <c r="BI514" s="28">
        <f>G514*AP514</f>
        <v>0</v>
      </c>
      <c r="BJ514" s="28">
        <f>G514*H514</f>
        <v>0</v>
      </c>
      <c r="BK514" s="28"/>
      <c r="BL514" s="28">
        <v>767</v>
      </c>
      <c r="BW514" s="28">
        <v>21</v>
      </c>
    </row>
    <row r="515" spans="1:75" ht="13.5" customHeight="1">
      <c r="A515" s="38" t="s">
        <v>55</v>
      </c>
      <c r="B515" s="39" t="s">
        <v>557</v>
      </c>
      <c r="C515" s="39" t="s">
        <v>783</v>
      </c>
      <c r="D515" s="50" t="s">
        <v>39</v>
      </c>
      <c r="E515" s="51"/>
      <c r="F515" s="39" t="s">
        <v>853</v>
      </c>
      <c r="G515" s="28">
        <v>60</v>
      </c>
      <c r="H515" s="120">
        <v>0</v>
      </c>
      <c r="I515" s="120">
        <f>G515*H515</f>
        <v>0</v>
      </c>
      <c r="K515" s="8"/>
      <c r="Z515" s="28">
        <f>IF(AQ515="5",BJ515,0)</f>
        <v>0</v>
      </c>
      <c r="AB515" s="28">
        <f>IF(AQ515="1",BH515,0)</f>
        <v>0</v>
      </c>
      <c r="AC515" s="28">
        <f>IF(AQ515="1",BI515,0)</f>
        <v>0</v>
      </c>
      <c r="AD515" s="28">
        <f>IF(AQ515="7",BH515,0)</f>
        <v>0</v>
      </c>
      <c r="AE515" s="28">
        <f>IF(AQ515="7",BI515,0)</f>
        <v>0</v>
      </c>
      <c r="AF515" s="28">
        <f>IF(AQ515="2",BH515,0)</f>
        <v>0</v>
      </c>
      <c r="AG515" s="28">
        <f>IF(AQ515="2",BI515,0)</f>
        <v>0</v>
      </c>
      <c r="AH515" s="28">
        <f>IF(AQ515="0",BJ515,0)</f>
        <v>0</v>
      </c>
      <c r="AI515" s="21" t="s">
        <v>557</v>
      </c>
      <c r="AJ515" s="28">
        <f>IF(AN515=0,I515,0)</f>
        <v>0</v>
      </c>
      <c r="AK515" s="28">
        <f>IF(AN515=12,I515,0)</f>
        <v>0</v>
      </c>
      <c r="AL515" s="28">
        <f>IF(AN515=21,I515,0)</f>
        <v>0</v>
      </c>
      <c r="AN515" s="28">
        <v>21</v>
      </c>
      <c r="AO515" s="28">
        <f>H515*0.329041487839771</f>
        <v>0</v>
      </c>
      <c r="AP515" s="28">
        <f>H515*(1-0.329041487839771)</f>
        <v>0</v>
      </c>
      <c r="AQ515" s="30" t="s">
        <v>900</v>
      </c>
      <c r="AV515" s="28">
        <f>AW515+AX515</f>
        <v>0</v>
      </c>
      <c r="AW515" s="28">
        <f>G515*AO515</f>
        <v>0</v>
      </c>
      <c r="AX515" s="28">
        <f>G515*AP515</f>
        <v>0</v>
      </c>
      <c r="AY515" s="30" t="s">
        <v>250</v>
      </c>
      <c r="AZ515" s="30" t="s">
        <v>17</v>
      </c>
      <c r="BA515" s="21" t="s">
        <v>569</v>
      </c>
      <c r="BC515" s="28">
        <f>AW515+AX515</f>
        <v>0</v>
      </c>
      <c r="BD515" s="28">
        <f>H515/(100-BE515)*100</f>
        <v>0</v>
      </c>
      <c r="BE515" s="28">
        <v>0</v>
      </c>
      <c r="BF515" s="28">
        <f>515</f>
        <v>515</v>
      </c>
      <c r="BH515" s="28">
        <f>G515*AO515</f>
        <v>0</v>
      </c>
      <c r="BI515" s="28">
        <f>G515*AP515</f>
        <v>0</v>
      </c>
      <c r="BJ515" s="28">
        <f>G515*H515</f>
        <v>0</v>
      </c>
      <c r="BK515" s="28"/>
      <c r="BL515" s="28">
        <v>767</v>
      </c>
      <c r="BW515" s="28">
        <v>21</v>
      </c>
    </row>
    <row r="516" spans="1:35" ht="15" customHeight="1">
      <c r="A516" s="3" t="s">
        <v>626</v>
      </c>
      <c r="B516" s="43" t="s">
        <v>557</v>
      </c>
      <c r="C516" s="43" t="s">
        <v>626</v>
      </c>
      <c r="D516" s="103" t="s">
        <v>523</v>
      </c>
      <c r="E516" s="104"/>
      <c r="F516" s="37" t="s">
        <v>836</v>
      </c>
      <c r="G516" s="37" t="s">
        <v>836</v>
      </c>
      <c r="H516" s="118" t="s">
        <v>836</v>
      </c>
      <c r="I516" s="119">
        <f>I517</f>
        <v>0</v>
      </c>
      <c r="K516" s="8"/>
      <c r="AI516" s="21" t="s">
        <v>557</v>
      </c>
    </row>
    <row r="517" spans="1:47" ht="15" customHeight="1">
      <c r="A517" s="3" t="s">
        <v>626</v>
      </c>
      <c r="B517" s="43" t="s">
        <v>557</v>
      </c>
      <c r="C517" s="43" t="s">
        <v>79</v>
      </c>
      <c r="D517" s="103" t="s">
        <v>868</v>
      </c>
      <c r="E517" s="104"/>
      <c r="F517" s="37" t="s">
        <v>836</v>
      </c>
      <c r="G517" s="37" t="s">
        <v>836</v>
      </c>
      <c r="H517" s="118" t="s">
        <v>836</v>
      </c>
      <c r="I517" s="119">
        <f>SUM(I518:I518)</f>
        <v>0</v>
      </c>
      <c r="K517" s="8"/>
      <c r="AI517" s="21" t="s">
        <v>557</v>
      </c>
      <c r="AS517" s="31">
        <f>SUM(AJ518:AJ518)</f>
        <v>0</v>
      </c>
      <c r="AT517" s="31">
        <f>SUM(AK518:AK518)</f>
        <v>0</v>
      </c>
      <c r="AU517" s="31">
        <f>SUM(AL518:AL518)</f>
        <v>0</v>
      </c>
    </row>
    <row r="518" spans="1:75" ht="13.5" customHeight="1">
      <c r="A518" s="38" t="s">
        <v>496</v>
      </c>
      <c r="B518" s="39" t="s">
        <v>557</v>
      </c>
      <c r="C518" s="39" t="s">
        <v>617</v>
      </c>
      <c r="D518" s="50" t="s">
        <v>1016</v>
      </c>
      <c r="E518" s="51"/>
      <c r="F518" s="39" t="s">
        <v>603</v>
      </c>
      <c r="G518" s="28">
        <v>1</v>
      </c>
      <c r="H518" s="120">
        <v>0</v>
      </c>
      <c r="I518" s="120">
        <f>G518*H518</f>
        <v>0</v>
      </c>
      <c r="K518" s="8"/>
      <c r="Z518" s="28">
        <f>IF(AQ518="5",BJ518,0)</f>
        <v>0</v>
      </c>
      <c r="AB518" s="28">
        <f>IF(AQ518="1",BH518,0)</f>
        <v>0</v>
      </c>
      <c r="AC518" s="28">
        <f>IF(AQ518="1",BI518,0)</f>
        <v>0</v>
      </c>
      <c r="AD518" s="28">
        <f>IF(AQ518="7",BH518,0)</f>
        <v>0</v>
      </c>
      <c r="AE518" s="28">
        <f>IF(AQ518="7",BI518,0)</f>
        <v>0</v>
      </c>
      <c r="AF518" s="28">
        <f>IF(AQ518="2",BH518,0)</f>
        <v>0</v>
      </c>
      <c r="AG518" s="28">
        <f>IF(AQ518="2",BI518,0)</f>
        <v>0</v>
      </c>
      <c r="AH518" s="28">
        <f>IF(AQ518="0",BJ518,0)</f>
        <v>0</v>
      </c>
      <c r="AI518" s="21" t="s">
        <v>557</v>
      </c>
      <c r="AJ518" s="28">
        <f>IF(AN518=0,I518,0)</f>
        <v>0</v>
      </c>
      <c r="AK518" s="28">
        <f>IF(AN518=12,I518,0)</f>
        <v>0</v>
      </c>
      <c r="AL518" s="28">
        <f>IF(AN518=21,I518,0)</f>
        <v>0</v>
      </c>
      <c r="AN518" s="28">
        <v>21</v>
      </c>
      <c r="AO518" s="28">
        <f>H518*0</f>
        <v>0</v>
      </c>
      <c r="AP518" s="28">
        <f>H518*(1-0)</f>
        <v>0</v>
      </c>
      <c r="AQ518" s="30" t="s">
        <v>408</v>
      </c>
      <c r="AV518" s="28">
        <f>AW518+AX518</f>
        <v>0</v>
      </c>
      <c r="AW518" s="28">
        <f>G518*AO518</f>
        <v>0</v>
      </c>
      <c r="AX518" s="28">
        <f>G518*AP518</f>
        <v>0</v>
      </c>
      <c r="AY518" s="30" t="s">
        <v>462</v>
      </c>
      <c r="AZ518" s="30" t="s">
        <v>973</v>
      </c>
      <c r="BA518" s="21" t="s">
        <v>569</v>
      </c>
      <c r="BC518" s="28">
        <f>AW518+AX518</f>
        <v>0</v>
      </c>
      <c r="BD518" s="28">
        <f>H518/(100-BE518)*100</f>
        <v>0</v>
      </c>
      <c r="BE518" s="28">
        <v>0</v>
      </c>
      <c r="BF518" s="28">
        <f>518</f>
        <v>518</v>
      </c>
      <c r="BH518" s="28">
        <f>G518*AO518</f>
        <v>0</v>
      </c>
      <c r="BI518" s="28">
        <f>G518*AP518</f>
        <v>0</v>
      </c>
      <c r="BJ518" s="28">
        <f>G518*H518</f>
        <v>0</v>
      </c>
      <c r="BK518" s="28"/>
      <c r="BL518" s="28"/>
      <c r="BR518" s="28">
        <f>G518*H518</f>
        <v>0</v>
      </c>
      <c r="BW518" s="28">
        <v>21</v>
      </c>
    </row>
    <row r="519" spans="1:11" ht="15" customHeight="1">
      <c r="A519" s="3" t="s">
        <v>626</v>
      </c>
      <c r="B519" s="43" t="s">
        <v>564</v>
      </c>
      <c r="C519" s="43" t="s">
        <v>626</v>
      </c>
      <c r="D519" s="103" t="s">
        <v>519</v>
      </c>
      <c r="E519" s="104"/>
      <c r="F519" s="37" t="s">
        <v>836</v>
      </c>
      <c r="G519" s="37" t="s">
        <v>836</v>
      </c>
      <c r="H519" s="118" t="s">
        <v>836</v>
      </c>
      <c r="I519" s="119">
        <f>I520+I530+I532+I551+I553+I561+I573+I589</f>
        <v>0</v>
      </c>
      <c r="K519" s="8"/>
    </row>
    <row r="520" spans="1:47" ht="15" customHeight="1">
      <c r="A520" s="3" t="s">
        <v>626</v>
      </c>
      <c r="B520" s="43" t="s">
        <v>564</v>
      </c>
      <c r="C520" s="43" t="s">
        <v>451</v>
      </c>
      <c r="D520" s="103" t="s">
        <v>538</v>
      </c>
      <c r="E520" s="104"/>
      <c r="F520" s="37" t="s">
        <v>836</v>
      </c>
      <c r="G520" s="37" t="s">
        <v>836</v>
      </c>
      <c r="H520" s="118" t="s">
        <v>836</v>
      </c>
      <c r="I520" s="119">
        <f>SUM(I521:I529)</f>
        <v>0</v>
      </c>
      <c r="K520" s="8"/>
      <c r="AI520" s="21" t="s">
        <v>564</v>
      </c>
      <c r="AS520" s="31">
        <f>SUM(AJ521:AJ529)</f>
        <v>0</v>
      </c>
      <c r="AT520" s="31">
        <f>SUM(AK521:AK529)</f>
        <v>0</v>
      </c>
      <c r="AU520" s="31">
        <f>SUM(AL521:AL529)</f>
        <v>0</v>
      </c>
    </row>
    <row r="521" spans="1:75" ht="13.5" customHeight="1">
      <c r="A521" s="38" t="s">
        <v>444</v>
      </c>
      <c r="B521" s="39" t="s">
        <v>564</v>
      </c>
      <c r="C521" s="39" t="s">
        <v>840</v>
      </c>
      <c r="D521" s="50" t="s">
        <v>483</v>
      </c>
      <c r="E521" s="51"/>
      <c r="F521" s="39" t="s">
        <v>228</v>
      </c>
      <c r="G521" s="28">
        <v>1</v>
      </c>
      <c r="H521" s="120">
        <v>0</v>
      </c>
      <c r="I521" s="120">
        <f aca="true" t="shared" si="620" ref="I521:I529">G521*H521</f>
        <v>0</v>
      </c>
      <c r="K521" s="8"/>
      <c r="Z521" s="28">
        <f aca="true" t="shared" si="621" ref="Z521:Z529">IF(AQ521="5",BJ521,0)</f>
        <v>0</v>
      </c>
      <c r="AB521" s="28">
        <f aca="true" t="shared" si="622" ref="AB521:AB529">IF(AQ521="1",BH521,0)</f>
        <v>0</v>
      </c>
      <c r="AC521" s="28">
        <f aca="true" t="shared" si="623" ref="AC521:AC529">IF(AQ521="1",BI521,0)</f>
        <v>0</v>
      </c>
      <c r="AD521" s="28">
        <f aca="true" t="shared" si="624" ref="AD521:AD529">IF(AQ521="7",BH521,0)</f>
        <v>0</v>
      </c>
      <c r="AE521" s="28">
        <f aca="true" t="shared" si="625" ref="AE521:AE529">IF(AQ521="7",BI521,0)</f>
        <v>0</v>
      </c>
      <c r="AF521" s="28">
        <f aca="true" t="shared" si="626" ref="AF521:AF529">IF(AQ521="2",BH521,0)</f>
        <v>0</v>
      </c>
      <c r="AG521" s="28">
        <f aca="true" t="shared" si="627" ref="AG521:AG529">IF(AQ521="2",BI521,0)</f>
        <v>0</v>
      </c>
      <c r="AH521" s="28">
        <f aca="true" t="shared" si="628" ref="AH521:AH529">IF(AQ521="0",BJ521,0)</f>
        <v>0</v>
      </c>
      <c r="AI521" s="21" t="s">
        <v>564</v>
      </c>
      <c r="AJ521" s="28">
        <f aca="true" t="shared" si="629" ref="AJ521:AJ529">IF(AN521=0,I521,0)</f>
        <v>0</v>
      </c>
      <c r="AK521" s="28">
        <f aca="true" t="shared" si="630" ref="AK521:AK529">IF(AN521=12,I521,0)</f>
        <v>0</v>
      </c>
      <c r="AL521" s="28">
        <f aca="true" t="shared" si="631" ref="AL521:AL529">IF(AN521=21,I521,0)</f>
        <v>0</v>
      </c>
      <c r="AN521" s="28">
        <v>21</v>
      </c>
      <c r="AO521" s="28">
        <f>H521*0</f>
        <v>0</v>
      </c>
      <c r="AP521" s="28">
        <f>H521*(1-0)</f>
        <v>0</v>
      </c>
      <c r="AQ521" s="30" t="s">
        <v>893</v>
      </c>
      <c r="AV521" s="28">
        <f aca="true" t="shared" si="632" ref="AV521:AV529">AW521+AX521</f>
        <v>0</v>
      </c>
      <c r="AW521" s="28">
        <f aca="true" t="shared" si="633" ref="AW521:AW529">G521*AO521</f>
        <v>0</v>
      </c>
      <c r="AX521" s="28">
        <f aca="true" t="shared" si="634" ref="AX521:AX529">G521*AP521</f>
        <v>0</v>
      </c>
      <c r="AY521" s="30" t="s">
        <v>792</v>
      </c>
      <c r="AZ521" s="30" t="s">
        <v>200</v>
      </c>
      <c r="BA521" s="21" t="s">
        <v>268</v>
      </c>
      <c r="BC521" s="28">
        <f aca="true" t="shared" si="635" ref="BC521:BC529">AW521+AX521</f>
        <v>0</v>
      </c>
      <c r="BD521" s="28">
        <f aca="true" t="shared" si="636" ref="BD521:BD529">H521/(100-BE521)*100</f>
        <v>0</v>
      </c>
      <c r="BE521" s="28">
        <v>0</v>
      </c>
      <c r="BF521" s="28">
        <f>521</f>
        <v>521</v>
      </c>
      <c r="BH521" s="28">
        <f aca="true" t="shared" si="637" ref="BH521:BH529">G521*AO521</f>
        <v>0</v>
      </c>
      <c r="BI521" s="28">
        <f aca="true" t="shared" si="638" ref="BI521:BI529">G521*AP521</f>
        <v>0</v>
      </c>
      <c r="BJ521" s="28">
        <f aca="true" t="shared" si="639" ref="BJ521:BJ529">G521*H521</f>
        <v>0</v>
      </c>
      <c r="BK521" s="28"/>
      <c r="BL521" s="28">
        <v>0</v>
      </c>
      <c r="BW521" s="28">
        <v>21</v>
      </c>
    </row>
    <row r="522" spans="1:75" ht="13.5" customHeight="1">
      <c r="A522" s="38" t="s">
        <v>220</v>
      </c>
      <c r="B522" s="39" t="s">
        <v>564</v>
      </c>
      <c r="C522" s="39" t="s">
        <v>624</v>
      </c>
      <c r="D522" s="50" t="s">
        <v>763</v>
      </c>
      <c r="E522" s="51"/>
      <c r="F522" s="39" t="s">
        <v>473</v>
      </c>
      <c r="G522" s="28">
        <v>8</v>
      </c>
      <c r="H522" s="120">
        <v>0</v>
      </c>
      <c r="I522" s="120">
        <f t="shared" si="620"/>
        <v>0</v>
      </c>
      <c r="K522" s="8"/>
      <c r="Z522" s="28">
        <f t="shared" si="621"/>
        <v>0</v>
      </c>
      <c r="AB522" s="28">
        <f t="shared" si="622"/>
        <v>0</v>
      </c>
      <c r="AC522" s="28">
        <f t="shared" si="623"/>
        <v>0</v>
      </c>
      <c r="AD522" s="28">
        <f t="shared" si="624"/>
        <v>0</v>
      </c>
      <c r="AE522" s="28">
        <f t="shared" si="625"/>
        <v>0</v>
      </c>
      <c r="AF522" s="28">
        <f t="shared" si="626"/>
        <v>0</v>
      </c>
      <c r="AG522" s="28">
        <f t="shared" si="627"/>
        <v>0</v>
      </c>
      <c r="AH522" s="28">
        <f t="shared" si="628"/>
        <v>0</v>
      </c>
      <c r="AI522" s="21" t="s">
        <v>564</v>
      </c>
      <c r="AJ522" s="28">
        <f t="shared" si="629"/>
        <v>0</v>
      </c>
      <c r="AK522" s="28">
        <f t="shared" si="630"/>
        <v>0</v>
      </c>
      <c r="AL522" s="28">
        <f t="shared" si="631"/>
        <v>0</v>
      </c>
      <c r="AN522" s="28">
        <v>21</v>
      </c>
      <c r="AO522" s="28">
        <f>H522*0</f>
        <v>0</v>
      </c>
      <c r="AP522" s="28">
        <f>H522*(1-0)</f>
        <v>0</v>
      </c>
      <c r="AQ522" s="30" t="s">
        <v>893</v>
      </c>
      <c r="AV522" s="28">
        <f t="shared" si="632"/>
        <v>0</v>
      </c>
      <c r="AW522" s="28">
        <f t="shared" si="633"/>
        <v>0</v>
      </c>
      <c r="AX522" s="28">
        <f t="shared" si="634"/>
        <v>0</v>
      </c>
      <c r="AY522" s="30" t="s">
        <v>792</v>
      </c>
      <c r="AZ522" s="30" t="s">
        <v>200</v>
      </c>
      <c r="BA522" s="21" t="s">
        <v>268</v>
      </c>
      <c r="BC522" s="28">
        <f t="shared" si="635"/>
        <v>0</v>
      </c>
      <c r="BD522" s="28">
        <f t="shared" si="636"/>
        <v>0</v>
      </c>
      <c r="BE522" s="28">
        <v>0</v>
      </c>
      <c r="BF522" s="28">
        <f>522</f>
        <v>522</v>
      </c>
      <c r="BH522" s="28">
        <f t="shared" si="637"/>
        <v>0</v>
      </c>
      <c r="BI522" s="28">
        <f t="shared" si="638"/>
        <v>0</v>
      </c>
      <c r="BJ522" s="28">
        <f t="shared" si="639"/>
        <v>0</v>
      </c>
      <c r="BK522" s="28"/>
      <c r="BL522" s="28">
        <v>0</v>
      </c>
      <c r="BW522" s="28">
        <v>21</v>
      </c>
    </row>
    <row r="523" spans="1:75" ht="27" customHeight="1">
      <c r="A523" s="38" t="s">
        <v>528</v>
      </c>
      <c r="B523" s="39" t="s">
        <v>564</v>
      </c>
      <c r="C523" s="39" t="s">
        <v>618</v>
      </c>
      <c r="D523" s="50" t="s">
        <v>616</v>
      </c>
      <c r="E523" s="51"/>
      <c r="F523" s="39" t="s">
        <v>578</v>
      </c>
      <c r="G523" s="28">
        <v>8</v>
      </c>
      <c r="H523" s="120">
        <v>0</v>
      </c>
      <c r="I523" s="120">
        <f t="shared" si="620"/>
        <v>0</v>
      </c>
      <c r="K523" s="8"/>
      <c r="Z523" s="28">
        <f t="shared" si="621"/>
        <v>0</v>
      </c>
      <c r="AB523" s="28">
        <f t="shared" si="622"/>
        <v>0</v>
      </c>
      <c r="AC523" s="28">
        <f t="shared" si="623"/>
        <v>0</v>
      </c>
      <c r="AD523" s="28">
        <f t="shared" si="624"/>
        <v>0</v>
      </c>
      <c r="AE523" s="28">
        <f t="shared" si="625"/>
        <v>0</v>
      </c>
      <c r="AF523" s="28">
        <f t="shared" si="626"/>
        <v>0</v>
      </c>
      <c r="AG523" s="28">
        <f t="shared" si="627"/>
        <v>0</v>
      </c>
      <c r="AH523" s="28">
        <f t="shared" si="628"/>
        <v>0</v>
      </c>
      <c r="AI523" s="21" t="s">
        <v>564</v>
      </c>
      <c r="AJ523" s="28">
        <f t="shared" si="629"/>
        <v>0</v>
      </c>
      <c r="AK523" s="28">
        <f t="shared" si="630"/>
        <v>0</v>
      </c>
      <c r="AL523" s="28">
        <f t="shared" si="631"/>
        <v>0</v>
      </c>
      <c r="AN523" s="28">
        <v>21</v>
      </c>
      <c r="AO523" s="28">
        <f>H523*0.298352654057352</f>
        <v>0</v>
      </c>
      <c r="AP523" s="28">
        <f>H523*(1-0.298352654057352)</f>
        <v>0</v>
      </c>
      <c r="AQ523" s="30" t="s">
        <v>893</v>
      </c>
      <c r="AV523" s="28">
        <f t="shared" si="632"/>
        <v>0</v>
      </c>
      <c r="AW523" s="28">
        <f t="shared" si="633"/>
        <v>0</v>
      </c>
      <c r="AX523" s="28">
        <f t="shared" si="634"/>
        <v>0</v>
      </c>
      <c r="AY523" s="30" t="s">
        <v>792</v>
      </c>
      <c r="AZ523" s="30" t="s">
        <v>200</v>
      </c>
      <c r="BA523" s="21" t="s">
        <v>268</v>
      </c>
      <c r="BC523" s="28">
        <f t="shared" si="635"/>
        <v>0</v>
      </c>
      <c r="BD523" s="28">
        <f t="shared" si="636"/>
        <v>0</v>
      </c>
      <c r="BE523" s="28">
        <v>0</v>
      </c>
      <c r="BF523" s="28">
        <f>523</f>
        <v>523</v>
      </c>
      <c r="BH523" s="28">
        <f t="shared" si="637"/>
        <v>0</v>
      </c>
      <c r="BI523" s="28">
        <f t="shared" si="638"/>
        <v>0</v>
      </c>
      <c r="BJ523" s="28">
        <f t="shared" si="639"/>
        <v>0</v>
      </c>
      <c r="BK523" s="28"/>
      <c r="BL523" s="28">
        <v>0</v>
      </c>
      <c r="BW523" s="28">
        <v>21</v>
      </c>
    </row>
    <row r="524" spans="1:75" ht="13.5" customHeight="1">
      <c r="A524" s="38" t="s">
        <v>33</v>
      </c>
      <c r="B524" s="39" t="s">
        <v>564</v>
      </c>
      <c r="C524" s="39" t="s">
        <v>181</v>
      </c>
      <c r="D524" s="50" t="s">
        <v>28</v>
      </c>
      <c r="E524" s="51"/>
      <c r="F524" s="39" t="s">
        <v>311</v>
      </c>
      <c r="G524" s="28">
        <v>1</v>
      </c>
      <c r="H524" s="120">
        <v>0</v>
      </c>
      <c r="I524" s="120">
        <f t="shared" si="620"/>
        <v>0</v>
      </c>
      <c r="K524" s="8"/>
      <c r="Z524" s="28">
        <f t="shared" si="621"/>
        <v>0</v>
      </c>
      <c r="AB524" s="28">
        <f t="shared" si="622"/>
        <v>0</v>
      </c>
      <c r="AC524" s="28">
        <f t="shared" si="623"/>
        <v>0</v>
      </c>
      <c r="AD524" s="28">
        <f t="shared" si="624"/>
        <v>0</v>
      </c>
      <c r="AE524" s="28">
        <f t="shared" si="625"/>
        <v>0</v>
      </c>
      <c r="AF524" s="28">
        <f t="shared" si="626"/>
        <v>0</v>
      </c>
      <c r="AG524" s="28">
        <f t="shared" si="627"/>
        <v>0</v>
      </c>
      <c r="AH524" s="28">
        <f t="shared" si="628"/>
        <v>0</v>
      </c>
      <c r="AI524" s="21" t="s">
        <v>564</v>
      </c>
      <c r="AJ524" s="28">
        <f t="shared" si="629"/>
        <v>0</v>
      </c>
      <c r="AK524" s="28">
        <f t="shared" si="630"/>
        <v>0</v>
      </c>
      <c r="AL524" s="28">
        <f t="shared" si="631"/>
        <v>0</v>
      </c>
      <c r="AN524" s="28">
        <v>21</v>
      </c>
      <c r="AO524" s="28">
        <f>H524*0</f>
        <v>0</v>
      </c>
      <c r="AP524" s="28">
        <f>H524*(1-0)</f>
        <v>0</v>
      </c>
      <c r="AQ524" s="30" t="s">
        <v>893</v>
      </c>
      <c r="AV524" s="28">
        <f t="shared" si="632"/>
        <v>0</v>
      </c>
      <c r="AW524" s="28">
        <f t="shared" si="633"/>
        <v>0</v>
      </c>
      <c r="AX524" s="28">
        <f t="shared" si="634"/>
        <v>0</v>
      </c>
      <c r="AY524" s="30" t="s">
        <v>792</v>
      </c>
      <c r="AZ524" s="30" t="s">
        <v>200</v>
      </c>
      <c r="BA524" s="21" t="s">
        <v>268</v>
      </c>
      <c r="BC524" s="28">
        <f t="shared" si="635"/>
        <v>0</v>
      </c>
      <c r="BD524" s="28">
        <f t="shared" si="636"/>
        <v>0</v>
      </c>
      <c r="BE524" s="28">
        <v>0</v>
      </c>
      <c r="BF524" s="28">
        <f>524</f>
        <v>524</v>
      </c>
      <c r="BH524" s="28">
        <f t="shared" si="637"/>
        <v>0</v>
      </c>
      <c r="BI524" s="28">
        <f t="shared" si="638"/>
        <v>0</v>
      </c>
      <c r="BJ524" s="28">
        <f t="shared" si="639"/>
        <v>0</v>
      </c>
      <c r="BK524" s="28"/>
      <c r="BL524" s="28">
        <v>0</v>
      </c>
      <c r="BW524" s="28">
        <v>21</v>
      </c>
    </row>
    <row r="525" spans="1:75" ht="13.5" customHeight="1">
      <c r="A525" s="38" t="s">
        <v>998</v>
      </c>
      <c r="B525" s="39" t="s">
        <v>564</v>
      </c>
      <c r="C525" s="39" t="s">
        <v>370</v>
      </c>
      <c r="D525" s="50" t="s">
        <v>32</v>
      </c>
      <c r="E525" s="51"/>
      <c r="F525" s="39" t="s">
        <v>311</v>
      </c>
      <c r="G525" s="28">
        <v>1</v>
      </c>
      <c r="H525" s="120">
        <v>0</v>
      </c>
      <c r="I525" s="120">
        <f t="shared" si="620"/>
        <v>0</v>
      </c>
      <c r="K525" s="8"/>
      <c r="Z525" s="28">
        <f t="shared" si="621"/>
        <v>0</v>
      </c>
      <c r="AB525" s="28">
        <f t="shared" si="622"/>
        <v>0</v>
      </c>
      <c r="AC525" s="28">
        <f t="shared" si="623"/>
        <v>0</v>
      </c>
      <c r="AD525" s="28">
        <f t="shared" si="624"/>
        <v>0</v>
      </c>
      <c r="AE525" s="28">
        <f t="shared" si="625"/>
        <v>0</v>
      </c>
      <c r="AF525" s="28">
        <f t="shared" si="626"/>
        <v>0</v>
      </c>
      <c r="AG525" s="28">
        <f t="shared" si="627"/>
        <v>0</v>
      </c>
      <c r="AH525" s="28">
        <f t="shared" si="628"/>
        <v>0</v>
      </c>
      <c r="AI525" s="21" t="s">
        <v>564</v>
      </c>
      <c r="AJ525" s="28">
        <f t="shared" si="629"/>
        <v>0</v>
      </c>
      <c r="AK525" s="28">
        <f t="shared" si="630"/>
        <v>0</v>
      </c>
      <c r="AL525" s="28">
        <f t="shared" si="631"/>
        <v>0</v>
      </c>
      <c r="AN525" s="28">
        <v>21</v>
      </c>
      <c r="AO525" s="28">
        <f>H525*0</f>
        <v>0</v>
      </c>
      <c r="AP525" s="28">
        <f>H525*(1-0)</f>
        <v>0</v>
      </c>
      <c r="AQ525" s="30" t="s">
        <v>893</v>
      </c>
      <c r="AV525" s="28">
        <f t="shared" si="632"/>
        <v>0</v>
      </c>
      <c r="AW525" s="28">
        <f t="shared" si="633"/>
        <v>0</v>
      </c>
      <c r="AX525" s="28">
        <f t="shared" si="634"/>
        <v>0</v>
      </c>
      <c r="AY525" s="30" t="s">
        <v>792</v>
      </c>
      <c r="AZ525" s="30" t="s">
        <v>200</v>
      </c>
      <c r="BA525" s="21" t="s">
        <v>268</v>
      </c>
      <c r="BC525" s="28">
        <f t="shared" si="635"/>
        <v>0</v>
      </c>
      <c r="BD525" s="28">
        <f t="shared" si="636"/>
        <v>0</v>
      </c>
      <c r="BE525" s="28">
        <v>0</v>
      </c>
      <c r="BF525" s="28">
        <f>525</f>
        <v>525</v>
      </c>
      <c r="BH525" s="28">
        <f t="shared" si="637"/>
        <v>0</v>
      </c>
      <c r="BI525" s="28">
        <f t="shared" si="638"/>
        <v>0</v>
      </c>
      <c r="BJ525" s="28">
        <f t="shared" si="639"/>
        <v>0</v>
      </c>
      <c r="BK525" s="28"/>
      <c r="BL525" s="28">
        <v>0</v>
      </c>
      <c r="BW525" s="28">
        <v>21</v>
      </c>
    </row>
    <row r="526" spans="1:75" ht="13.5" customHeight="1">
      <c r="A526" s="38" t="s">
        <v>161</v>
      </c>
      <c r="B526" s="39" t="s">
        <v>564</v>
      </c>
      <c r="C526" s="39" t="s">
        <v>861</v>
      </c>
      <c r="D526" s="50" t="s">
        <v>11</v>
      </c>
      <c r="E526" s="51"/>
      <c r="F526" s="39" t="s">
        <v>311</v>
      </c>
      <c r="G526" s="28">
        <v>1</v>
      </c>
      <c r="H526" s="120">
        <v>0</v>
      </c>
      <c r="I526" s="120">
        <f t="shared" si="620"/>
        <v>0</v>
      </c>
      <c r="K526" s="8"/>
      <c r="Z526" s="28">
        <f t="shared" si="621"/>
        <v>0</v>
      </c>
      <c r="AB526" s="28">
        <f t="shared" si="622"/>
        <v>0</v>
      </c>
      <c r="AC526" s="28">
        <f t="shared" si="623"/>
        <v>0</v>
      </c>
      <c r="AD526" s="28">
        <f t="shared" si="624"/>
        <v>0</v>
      </c>
      <c r="AE526" s="28">
        <f t="shared" si="625"/>
        <v>0</v>
      </c>
      <c r="AF526" s="28">
        <f t="shared" si="626"/>
        <v>0</v>
      </c>
      <c r="AG526" s="28">
        <f t="shared" si="627"/>
        <v>0</v>
      </c>
      <c r="AH526" s="28">
        <f t="shared" si="628"/>
        <v>0</v>
      </c>
      <c r="AI526" s="21" t="s">
        <v>564</v>
      </c>
      <c r="AJ526" s="28">
        <f t="shared" si="629"/>
        <v>0</v>
      </c>
      <c r="AK526" s="28">
        <f t="shared" si="630"/>
        <v>0</v>
      </c>
      <c r="AL526" s="28">
        <f t="shared" si="631"/>
        <v>0</v>
      </c>
      <c r="AN526" s="28">
        <v>21</v>
      </c>
      <c r="AO526" s="28">
        <f>H526*0.632508123680949</f>
        <v>0</v>
      </c>
      <c r="AP526" s="28">
        <f>H526*(1-0.632508123680949)</f>
        <v>0</v>
      </c>
      <c r="AQ526" s="30" t="s">
        <v>893</v>
      </c>
      <c r="AV526" s="28">
        <f t="shared" si="632"/>
        <v>0</v>
      </c>
      <c r="AW526" s="28">
        <f t="shared" si="633"/>
        <v>0</v>
      </c>
      <c r="AX526" s="28">
        <f t="shared" si="634"/>
        <v>0</v>
      </c>
      <c r="AY526" s="30" t="s">
        <v>792</v>
      </c>
      <c r="AZ526" s="30" t="s">
        <v>200</v>
      </c>
      <c r="BA526" s="21" t="s">
        <v>268</v>
      </c>
      <c r="BC526" s="28">
        <f t="shared" si="635"/>
        <v>0</v>
      </c>
      <c r="BD526" s="28">
        <f t="shared" si="636"/>
        <v>0</v>
      </c>
      <c r="BE526" s="28">
        <v>0</v>
      </c>
      <c r="BF526" s="28">
        <f>526</f>
        <v>526</v>
      </c>
      <c r="BH526" s="28">
        <f t="shared" si="637"/>
        <v>0</v>
      </c>
      <c r="BI526" s="28">
        <f t="shared" si="638"/>
        <v>0</v>
      </c>
      <c r="BJ526" s="28">
        <f t="shared" si="639"/>
        <v>0</v>
      </c>
      <c r="BK526" s="28"/>
      <c r="BL526" s="28">
        <v>0</v>
      </c>
      <c r="BW526" s="28">
        <v>21</v>
      </c>
    </row>
    <row r="527" spans="1:75" ht="13.5" customHeight="1">
      <c r="A527" s="38" t="s">
        <v>518</v>
      </c>
      <c r="B527" s="39" t="s">
        <v>564</v>
      </c>
      <c r="C527" s="39" t="s">
        <v>526</v>
      </c>
      <c r="D527" s="50" t="s">
        <v>98</v>
      </c>
      <c r="E527" s="51"/>
      <c r="F527" s="39" t="s">
        <v>228</v>
      </c>
      <c r="G527" s="28">
        <v>1</v>
      </c>
      <c r="H527" s="120">
        <v>0</v>
      </c>
      <c r="I527" s="120">
        <f t="shared" si="620"/>
        <v>0</v>
      </c>
      <c r="K527" s="8"/>
      <c r="Z527" s="28">
        <f t="shared" si="621"/>
        <v>0</v>
      </c>
      <c r="AB527" s="28">
        <f t="shared" si="622"/>
        <v>0</v>
      </c>
      <c r="AC527" s="28">
        <f t="shared" si="623"/>
        <v>0</v>
      </c>
      <c r="AD527" s="28">
        <f t="shared" si="624"/>
        <v>0</v>
      </c>
      <c r="AE527" s="28">
        <f t="shared" si="625"/>
        <v>0</v>
      </c>
      <c r="AF527" s="28">
        <f t="shared" si="626"/>
        <v>0</v>
      </c>
      <c r="AG527" s="28">
        <f t="shared" si="627"/>
        <v>0</v>
      </c>
      <c r="AH527" s="28">
        <f t="shared" si="628"/>
        <v>0</v>
      </c>
      <c r="AI527" s="21" t="s">
        <v>564</v>
      </c>
      <c r="AJ527" s="28">
        <f t="shared" si="629"/>
        <v>0</v>
      </c>
      <c r="AK527" s="28">
        <f t="shared" si="630"/>
        <v>0</v>
      </c>
      <c r="AL527" s="28">
        <f t="shared" si="631"/>
        <v>0</v>
      </c>
      <c r="AN527" s="28">
        <v>21</v>
      </c>
      <c r="AO527" s="28">
        <f>H527*0</f>
        <v>0</v>
      </c>
      <c r="AP527" s="28">
        <f>H527*(1-0)</f>
        <v>0</v>
      </c>
      <c r="AQ527" s="30" t="s">
        <v>893</v>
      </c>
      <c r="AV527" s="28">
        <f t="shared" si="632"/>
        <v>0</v>
      </c>
      <c r="AW527" s="28">
        <f t="shared" si="633"/>
        <v>0</v>
      </c>
      <c r="AX527" s="28">
        <f t="shared" si="634"/>
        <v>0</v>
      </c>
      <c r="AY527" s="30" t="s">
        <v>792</v>
      </c>
      <c r="AZ527" s="30" t="s">
        <v>200</v>
      </c>
      <c r="BA527" s="21" t="s">
        <v>268</v>
      </c>
      <c r="BC527" s="28">
        <f t="shared" si="635"/>
        <v>0</v>
      </c>
      <c r="BD527" s="28">
        <f t="shared" si="636"/>
        <v>0</v>
      </c>
      <c r="BE527" s="28">
        <v>0</v>
      </c>
      <c r="BF527" s="28">
        <f>527</f>
        <v>527</v>
      </c>
      <c r="BH527" s="28">
        <f t="shared" si="637"/>
        <v>0</v>
      </c>
      <c r="BI527" s="28">
        <f t="shared" si="638"/>
        <v>0</v>
      </c>
      <c r="BJ527" s="28">
        <f t="shared" si="639"/>
        <v>0</v>
      </c>
      <c r="BK527" s="28"/>
      <c r="BL527" s="28">
        <v>0</v>
      </c>
      <c r="BW527" s="28">
        <v>21</v>
      </c>
    </row>
    <row r="528" spans="1:75" ht="13.5" customHeight="1">
      <c r="A528" s="38" t="s">
        <v>1018</v>
      </c>
      <c r="B528" s="39" t="s">
        <v>564</v>
      </c>
      <c r="C528" s="39" t="s">
        <v>476</v>
      </c>
      <c r="D528" s="50" t="s">
        <v>731</v>
      </c>
      <c r="E528" s="51"/>
      <c r="F528" s="39" t="s">
        <v>396</v>
      </c>
      <c r="G528" s="28">
        <v>1.07065</v>
      </c>
      <c r="H528" s="120">
        <v>0</v>
      </c>
      <c r="I528" s="120">
        <f t="shared" si="620"/>
        <v>0</v>
      </c>
      <c r="K528" s="8"/>
      <c r="Z528" s="28">
        <f t="shared" si="621"/>
        <v>0</v>
      </c>
      <c r="AB528" s="28">
        <f t="shared" si="622"/>
        <v>0</v>
      </c>
      <c r="AC528" s="28">
        <f t="shared" si="623"/>
        <v>0</v>
      </c>
      <c r="AD528" s="28">
        <f t="shared" si="624"/>
        <v>0</v>
      </c>
      <c r="AE528" s="28">
        <f t="shared" si="625"/>
        <v>0</v>
      </c>
      <c r="AF528" s="28">
        <f t="shared" si="626"/>
        <v>0</v>
      </c>
      <c r="AG528" s="28">
        <f t="shared" si="627"/>
        <v>0</v>
      </c>
      <c r="AH528" s="28">
        <f t="shared" si="628"/>
        <v>0</v>
      </c>
      <c r="AI528" s="21" t="s">
        <v>564</v>
      </c>
      <c r="AJ528" s="28">
        <f t="shared" si="629"/>
        <v>0</v>
      </c>
      <c r="AK528" s="28">
        <f t="shared" si="630"/>
        <v>0</v>
      </c>
      <c r="AL528" s="28">
        <f t="shared" si="631"/>
        <v>0</v>
      </c>
      <c r="AN528" s="28">
        <v>21</v>
      </c>
      <c r="AO528" s="28">
        <f>H528*0</f>
        <v>0</v>
      </c>
      <c r="AP528" s="28">
        <f>H528*(1-0)</f>
        <v>0</v>
      </c>
      <c r="AQ528" s="30" t="s">
        <v>455</v>
      </c>
      <c r="AV528" s="28">
        <f t="shared" si="632"/>
        <v>0</v>
      </c>
      <c r="AW528" s="28">
        <f t="shared" si="633"/>
        <v>0</v>
      </c>
      <c r="AX528" s="28">
        <f t="shared" si="634"/>
        <v>0</v>
      </c>
      <c r="AY528" s="30" t="s">
        <v>792</v>
      </c>
      <c r="AZ528" s="30" t="s">
        <v>200</v>
      </c>
      <c r="BA528" s="21" t="s">
        <v>268</v>
      </c>
      <c r="BC528" s="28">
        <f t="shared" si="635"/>
        <v>0</v>
      </c>
      <c r="BD528" s="28">
        <f t="shared" si="636"/>
        <v>0</v>
      </c>
      <c r="BE528" s="28">
        <v>0</v>
      </c>
      <c r="BF528" s="28">
        <f>528</f>
        <v>528</v>
      </c>
      <c r="BH528" s="28">
        <f t="shared" si="637"/>
        <v>0</v>
      </c>
      <c r="BI528" s="28">
        <f t="shared" si="638"/>
        <v>0</v>
      </c>
      <c r="BJ528" s="28">
        <f t="shared" si="639"/>
        <v>0</v>
      </c>
      <c r="BK528" s="28"/>
      <c r="BL528" s="28">
        <v>0</v>
      </c>
      <c r="BW528" s="28">
        <v>21</v>
      </c>
    </row>
    <row r="529" spans="1:75" ht="13.5" customHeight="1">
      <c r="A529" s="38" t="s">
        <v>397</v>
      </c>
      <c r="B529" s="39" t="s">
        <v>564</v>
      </c>
      <c r="C529" s="39" t="s">
        <v>169</v>
      </c>
      <c r="D529" s="50" t="s">
        <v>372</v>
      </c>
      <c r="E529" s="51"/>
      <c r="F529" s="39" t="s">
        <v>396</v>
      </c>
      <c r="G529" s="28">
        <v>1.07065</v>
      </c>
      <c r="H529" s="120">
        <v>0</v>
      </c>
      <c r="I529" s="120">
        <f t="shared" si="620"/>
        <v>0</v>
      </c>
      <c r="K529" s="8"/>
      <c r="Z529" s="28">
        <f t="shared" si="621"/>
        <v>0</v>
      </c>
      <c r="AB529" s="28">
        <f t="shared" si="622"/>
        <v>0</v>
      </c>
      <c r="AC529" s="28">
        <f t="shared" si="623"/>
        <v>0</v>
      </c>
      <c r="AD529" s="28">
        <f t="shared" si="624"/>
        <v>0</v>
      </c>
      <c r="AE529" s="28">
        <f t="shared" si="625"/>
        <v>0</v>
      </c>
      <c r="AF529" s="28">
        <f t="shared" si="626"/>
        <v>0</v>
      </c>
      <c r="AG529" s="28">
        <f t="shared" si="627"/>
        <v>0</v>
      </c>
      <c r="AH529" s="28">
        <f t="shared" si="628"/>
        <v>0</v>
      </c>
      <c r="AI529" s="21" t="s">
        <v>564</v>
      </c>
      <c r="AJ529" s="28">
        <f t="shared" si="629"/>
        <v>0</v>
      </c>
      <c r="AK529" s="28">
        <f t="shared" si="630"/>
        <v>0</v>
      </c>
      <c r="AL529" s="28">
        <f t="shared" si="631"/>
        <v>0</v>
      </c>
      <c r="AN529" s="28">
        <v>21</v>
      </c>
      <c r="AO529" s="28">
        <f>H529*0</f>
        <v>0</v>
      </c>
      <c r="AP529" s="28">
        <f>H529*(1-0)</f>
        <v>0</v>
      </c>
      <c r="AQ529" s="30" t="s">
        <v>455</v>
      </c>
      <c r="AV529" s="28">
        <f t="shared" si="632"/>
        <v>0</v>
      </c>
      <c r="AW529" s="28">
        <f t="shared" si="633"/>
        <v>0</v>
      </c>
      <c r="AX529" s="28">
        <f t="shared" si="634"/>
        <v>0</v>
      </c>
      <c r="AY529" s="30" t="s">
        <v>792</v>
      </c>
      <c r="AZ529" s="30" t="s">
        <v>200</v>
      </c>
      <c r="BA529" s="21" t="s">
        <v>268</v>
      </c>
      <c r="BC529" s="28">
        <f t="shared" si="635"/>
        <v>0</v>
      </c>
      <c r="BD529" s="28">
        <f t="shared" si="636"/>
        <v>0</v>
      </c>
      <c r="BE529" s="28">
        <v>0</v>
      </c>
      <c r="BF529" s="28">
        <f>529</f>
        <v>529</v>
      </c>
      <c r="BH529" s="28">
        <f t="shared" si="637"/>
        <v>0</v>
      </c>
      <c r="BI529" s="28">
        <f t="shared" si="638"/>
        <v>0</v>
      </c>
      <c r="BJ529" s="28">
        <f t="shared" si="639"/>
        <v>0</v>
      </c>
      <c r="BK529" s="28"/>
      <c r="BL529" s="28">
        <v>0</v>
      </c>
      <c r="BW529" s="28">
        <v>21</v>
      </c>
    </row>
    <row r="530" spans="1:47" ht="15" customHeight="1">
      <c r="A530" s="3" t="s">
        <v>626</v>
      </c>
      <c r="B530" s="43" t="s">
        <v>564</v>
      </c>
      <c r="C530" s="43" t="s">
        <v>724</v>
      </c>
      <c r="D530" s="103" t="s">
        <v>775</v>
      </c>
      <c r="E530" s="104"/>
      <c r="F530" s="37" t="s">
        <v>836</v>
      </c>
      <c r="G530" s="37" t="s">
        <v>836</v>
      </c>
      <c r="H530" s="118" t="s">
        <v>836</v>
      </c>
      <c r="I530" s="119">
        <f>SUM(I531:I531)</f>
        <v>0</v>
      </c>
      <c r="K530" s="8"/>
      <c r="AI530" s="21" t="s">
        <v>564</v>
      </c>
      <c r="AS530" s="31">
        <f>SUM(AJ531:AJ531)</f>
        <v>0</v>
      </c>
      <c r="AT530" s="31">
        <f>SUM(AK531:AK531)</f>
        <v>0</v>
      </c>
      <c r="AU530" s="31">
        <f>SUM(AL531:AL531)</f>
        <v>0</v>
      </c>
    </row>
    <row r="531" spans="1:75" ht="13.5" customHeight="1">
      <c r="A531" s="38" t="s">
        <v>539</v>
      </c>
      <c r="B531" s="39" t="s">
        <v>564</v>
      </c>
      <c r="C531" s="39" t="s">
        <v>431</v>
      </c>
      <c r="D531" s="50" t="s">
        <v>549</v>
      </c>
      <c r="E531" s="51"/>
      <c r="F531" s="39" t="s">
        <v>741</v>
      </c>
      <c r="G531" s="28">
        <v>20</v>
      </c>
      <c r="H531" s="120">
        <v>0</v>
      </c>
      <c r="I531" s="120">
        <f>G531*H531</f>
        <v>0</v>
      </c>
      <c r="K531" s="8"/>
      <c r="Z531" s="28">
        <f>IF(AQ531="5",BJ531,0)</f>
        <v>0</v>
      </c>
      <c r="AB531" s="28">
        <f>IF(AQ531="1",BH531,0)</f>
        <v>0</v>
      </c>
      <c r="AC531" s="28">
        <f>IF(AQ531="1",BI531,0)</f>
        <v>0</v>
      </c>
      <c r="AD531" s="28">
        <f>IF(AQ531="7",BH531,0)</f>
        <v>0</v>
      </c>
      <c r="AE531" s="28">
        <f>IF(AQ531="7",BI531,0)</f>
        <v>0</v>
      </c>
      <c r="AF531" s="28">
        <f>IF(AQ531="2",BH531,0)</f>
        <v>0</v>
      </c>
      <c r="AG531" s="28">
        <f>IF(AQ531="2",BI531,0)</f>
        <v>0</v>
      </c>
      <c r="AH531" s="28">
        <f>IF(AQ531="0",BJ531,0)</f>
        <v>0</v>
      </c>
      <c r="AI531" s="21" t="s">
        <v>564</v>
      </c>
      <c r="AJ531" s="28">
        <f>IF(AN531=0,I531,0)</f>
        <v>0</v>
      </c>
      <c r="AK531" s="28">
        <f>IF(AN531=12,I531,0)</f>
        <v>0</v>
      </c>
      <c r="AL531" s="28">
        <f>IF(AN531=21,I531,0)</f>
        <v>0</v>
      </c>
      <c r="AN531" s="28">
        <v>21</v>
      </c>
      <c r="AO531" s="28">
        <f>H531*0</f>
        <v>0</v>
      </c>
      <c r="AP531" s="28">
        <f>H531*(1-0)</f>
        <v>0</v>
      </c>
      <c r="AQ531" s="30" t="s">
        <v>900</v>
      </c>
      <c r="AV531" s="28">
        <f>AW531+AX531</f>
        <v>0</v>
      </c>
      <c r="AW531" s="28">
        <f>G531*AO531</f>
        <v>0</v>
      </c>
      <c r="AX531" s="28">
        <f>G531*AP531</f>
        <v>0</v>
      </c>
      <c r="AY531" s="30" t="s">
        <v>698</v>
      </c>
      <c r="AZ531" s="30" t="s">
        <v>503</v>
      </c>
      <c r="BA531" s="21" t="s">
        <v>268</v>
      </c>
      <c r="BC531" s="28">
        <f>AW531+AX531</f>
        <v>0</v>
      </c>
      <c r="BD531" s="28">
        <f>H531/(100-BE531)*100</f>
        <v>0</v>
      </c>
      <c r="BE531" s="28">
        <v>0</v>
      </c>
      <c r="BF531" s="28">
        <f>531</f>
        <v>531</v>
      </c>
      <c r="BH531" s="28">
        <f>G531*AO531</f>
        <v>0</v>
      </c>
      <c r="BI531" s="28">
        <f>G531*AP531</f>
        <v>0</v>
      </c>
      <c r="BJ531" s="28">
        <f>G531*H531</f>
        <v>0</v>
      </c>
      <c r="BK531" s="28"/>
      <c r="BL531" s="28">
        <v>713</v>
      </c>
      <c r="BW531" s="28">
        <v>21</v>
      </c>
    </row>
    <row r="532" spans="1:47" ht="15" customHeight="1">
      <c r="A532" s="3" t="s">
        <v>626</v>
      </c>
      <c r="B532" s="43" t="s">
        <v>564</v>
      </c>
      <c r="C532" s="43" t="s">
        <v>812</v>
      </c>
      <c r="D532" s="103" t="s">
        <v>547</v>
      </c>
      <c r="E532" s="104"/>
      <c r="F532" s="37" t="s">
        <v>836</v>
      </c>
      <c r="G532" s="37" t="s">
        <v>836</v>
      </c>
      <c r="H532" s="118" t="s">
        <v>836</v>
      </c>
      <c r="I532" s="119">
        <f>SUM(I533:I550)</f>
        <v>0</v>
      </c>
      <c r="K532" s="8"/>
      <c r="AI532" s="21" t="s">
        <v>564</v>
      </c>
      <c r="AS532" s="31">
        <f>SUM(AJ533:AJ550)</f>
        <v>0</v>
      </c>
      <c r="AT532" s="31">
        <f>SUM(AK533:AK550)</f>
        <v>0</v>
      </c>
      <c r="AU532" s="31">
        <f>SUM(AL533:AL550)</f>
        <v>0</v>
      </c>
    </row>
    <row r="533" spans="1:75" ht="13.5" customHeight="1">
      <c r="A533" s="38" t="s">
        <v>189</v>
      </c>
      <c r="B533" s="39" t="s">
        <v>564</v>
      </c>
      <c r="C533" s="39" t="s">
        <v>378</v>
      </c>
      <c r="D533" s="50" t="s">
        <v>847</v>
      </c>
      <c r="E533" s="51"/>
      <c r="F533" s="39" t="s">
        <v>228</v>
      </c>
      <c r="G533" s="28">
        <v>5</v>
      </c>
      <c r="H533" s="120">
        <v>0</v>
      </c>
      <c r="I533" s="120">
        <f aca="true" t="shared" si="640" ref="I533:I550">G533*H533</f>
        <v>0</v>
      </c>
      <c r="K533" s="8"/>
      <c r="Z533" s="28">
        <f aca="true" t="shared" si="641" ref="Z533:Z550">IF(AQ533="5",BJ533,0)</f>
        <v>0</v>
      </c>
      <c r="AB533" s="28">
        <f aca="true" t="shared" si="642" ref="AB533:AB550">IF(AQ533="1",BH533,0)</f>
        <v>0</v>
      </c>
      <c r="AC533" s="28">
        <f aca="true" t="shared" si="643" ref="AC533:AC550">IF(AQ533="1",BI533,0)</f>
        <v>0</v>
      </c>
      <c r="AD533" s="28">
        <f aca="true" t="shared" si="644" ref="AD533:AD550">IF(AQ533="7",BH533,0)</f>
        <v>0</v>
      </c>
      <c r="AE533" s="28">
        <f aca="true" t="shared" si="645" ref="AE533:AE550">IF(AQ533="7",BI533,0)</f>
        <v>0</v>
      </c>
      <c r="AF533" s="28">
        <f aca="true" t="shared" si="646" ref="AF533:AF550">IF(AQ533="2",BH533,0)</f>
        <v>0</v>
      </c>
      <c r="AG533" s="28">
        <f aca="true" t="shared" si="647" ref="AG533:AG550">IF(AQ533="2",BI533,0)</f>
        <v>0</v>
      </c>
      <c r="AH533" s="28">
        <f aca="true" t="shared" si="648" ref="AH533:AH550">IF(AQ533="0",BJ533,0)</f>
        <v>0</v>
      </c>
      <c r="AI533" s="21" t="s">
        <v>564</v>
      </c>
      <c r="AJ533" s="28">
        <f aca="true" t="shared" si="649" ref="AJ533:AJ550">IF(AN533=0,I533,0)</f>
        <v>0</v>
      </c>
      <c r="AK533" s="28">
        <f aca="true" t="shared" si="650" ref="AK533:AK550">IF(AN533=12,I533,0)</f>
        <v>0</v>
      </c>
      <c r="AL533" s="28">
        <f aca="true" t="shared" si="651" ref="AL533:AL550">IF(AN533=21,I533,0)</f>
        <v>0</v>
      </c>
      <c r="AN533" s="28">
        <v>21</v>
      </c>
      <c r="AO533" s="28">
        <f>H533*0</f>
        <v>0</v>
      </c>
      <c r="AP533" s="28">
        <f>H533*(1-0)</f>
        <v>0</v>
      </c>
      <c r="AQ533" s="30" t="s">
        <v>900</v>
      </c>
      <c r="AV533" s="28">
        <f aca="true" t="shared" si="652" ref="AV533:AV550">AW533+AX533</f>
        <v>0</v>
      </c>
      <c r="AW533" s="28">
        <f aca="true" t="shared" si="653" ref="AW533:AW550">G533*AO533</f>
        <v>0</v>
      </c>
      <c r="AX533" s="28">
        <f aca="true" t="shared" si="654" ref="AX533:AX550">G533*AP533</f>
        <v>0</v>
      </c>
      <c r="AY533" s="30" t="s">
        <v>562</v>
      </c>
      <c r="AZ533" s="30" t="s">
        <v>965</v>
      </c>
      <c r="BA533" s="21" t="s">
        <v>268</v>
      </c>
      <c r="BC533" s="28">
        <f aca="true" t="shared" si="655" ref="BC533:BC550">AW533+AX533</f>
        <v>0</v>
      </c>
      <c r="BD533" s="28">
        <f aca="true" t="shared" si="656" ref="BD533:BD550">H533/(100-BE533)*100</f>
        <v>0</v>
      </c>
      <c r="BE533" s="28">
        <v>0</v>
      </c>
      <c r="BF533" s="28">
        <f>533</f>
        <v>533</v>
      </c>
      <c r="BH533" s="28">
        <f aca="true" t="shared" si="657" ref="BH533:BH550">G533*AO533</f>
        <v>0</v>
      </c>
      <c r="BI533" s="28">
        <f aca="true" t="shared" si="658" ref="BI533:BI550">G533*AP533</f>
        <v>0</v>
      </c>
      <c r="BJ533" s="28">
        <f aca="true" t="shared" si="659" ref="BJ533:BJ550">G533*H533</f>
        <v>0</v>
      </c>
      <c r="BK533" s="28"/>
      <c r="BL533" s="28">
        <v>722</v>
      </c>
      <c r="BW533" s="28">
        <v>21</v>
      </c>
    </row>
    <row r="534" spans="1:75" ht="13.5" customHeight="1">
      <c r="A534" s="38" t="s">
        <v>1014</v>
      </c>
      <c r="B534" s="39" t="s">
        <v>564</v>
      </c>
      <c r="C534" s="39" t="s">
        <v>221</v>
      </c>
      <c r="D534" s="50" t="s">
        <v>892</v>
      </c>
      <c r="E534" s="51"/>
      <c r="F534" s="39" t="s">
        <v>741</v>
      </c>
      <c r="G534" s="28">
        <v>8</v>
      </c>
      <c r="H534" s="120">
        <v>0</v>
      </c>
      <c r="I534" s="120">
        <f t="shared" si="640"/>
        <v>0</v>
      </c>
      <c r="K534" s="8"/>
      <c r="Z534" s="28">
        <f t="shared" si="641"/>
        <v>0</v>
      </c>
      <c r="AB534" s="28">
        <f t="shared" si="642"/>
        <v>0</v>
      </c>
      <c r="AC534" s="28">
        <f t="shared" si="643"/>
        <v>0</v>
      </c>
      <c r="AD534" s="28">
        <f t="shared" si="644"/>
        <v>0</v>
      </c>
      <c r="AE534" s="28">
        <f t="shared" si="645"/>
        <v>0</v>
      </c>
      <c r="AF534" s="28">
        <f t="shared" si="646"/>
        <v>0</v>
      </c>
      <c r="AG534" s="28">
        <f t="shared" si="647"/>
        <v>0</v>
      </c>
      <c r="AH534" s="28">
        <f t="shared" si="648"/>
        <v>0</v>
      </c>
      <c r="AI534" s="21" t="s">
        <v>564</v>
      </c>
      <c r="AJ534" s="28">
        <f t="shared" si="649"/>
        <v>0</v>
      </c>
      <c r="AK534" s="28">
        <f t="shared" si="650"/>
        <v>0</v>
      </c>
      <c r="AL534" s="28">
        <f t="shared" si="651"/>
        <v>0</v>
      </c>
      <c r="AN534" s="28">
        <v>21</v>
      </c>
      <c r="AO534" s="28">
        <f>H534*0</f>
        <v>0</v>
      </c>
      <c r="AP534" s="28">
        <f>H534*(1-0)</f>
        <v>0</v>
      </c>
      <c r="AQ534" s="30" t="s">
        <v>900</v>
      </c>
      <c r="AV534" s="28">
        <f t="shared" si="652"/>
        <v>0</v>
      </c>
      <c r="AW534" s="28">
        <f t="shared" si="653"/>
        <v>0</v>
      </c>
      <c r="AX534" s="28">
        <f t="shared" si="654"/>
        <v>0</v>
      </c>
      <c r="AY534" s="30" t="s">
        <v>562</v>
      </c>
      <c r="AZ534" s="30" t="s">
        <v>965</v>
      </c>
      <c r="BA534" s="21" t="s">
        <v>268</v>
      </c>
      <c r="BC534" s="28">
        <f t="shared" si="655"/>
        <v>0</v>
      </c>
      <c r="BD534" s="28">
        <f t="shared" si="656"/>
        <v>0</v>
      </c>
      <c r="BE534" s="28">
        <v>0</v>
      </c>
      <c r="BF534" s="28">
        <f>534</f>
        <v>534</v>
      </c>
      <c r="BH534" s="28">
        <f t="shared" si="657"/>
        <v>0</v>
      </c>
      <c r="BI534" s="28">
        <f t="shared" si="658"/>
        <v>0</v>
      </c>
      <c r="BJ534" s="28">
        <f t="shared" si="659"/>
        <v>0</v>
      </c>
      <c r="BK534" s="28"/>
      <c r="BL534" s="28">
        <v>722</v>
      </c>
      <c r="BW534" s="28">
        <v>21</v>
      </c>
    </row>
    <row r="535" spans="1:75" ht="13.5" customHeight="1">
      <c r="A535" s="38" t="s">
        <v>581</v>
      </c>
      <c r="B535" s="39" t="s">
        <v>564</v>
      </c>
      <c r="C535" s="39" t="s">
        <v>132</v>
      </c>
      <c r="D535" s="50" t="s">
        <v>240</v>
      </c>
      <c r="E535" s="51"/>
      <c r="F535" s="39" t="s">
        <v>228</v>
      </c>
      <c r="G535" s="28">
        <v>3</v>
      </c>
      <c r="H535" s="120">
        <v>0</v>
      </c>
      <c r="I535" s="120">
        <f t="shared" si="640"/>
        <v>0</v>
      </c>
      <c r="K535" s="8"/>
      <c r="Z535" s="28">
        <f t="shared" si="641"/>
        <v>0</v>
      </c>
      <c r="AB535" s="28">
        <f t="shared" si="642"/>
        <v>0</v>
      </c>
      <c r="AC535" s="28">
        <f t="shared" si="643"/>
        <v>0</v>
      </c>
      <c r="AD535" s="28">
        <f t="shared" si="644"/>
        <v>0</v>
      </c>
      <c r="AE535" s="28">
        <f t="shared" si="645"/>
        <v>0</v>
      </c>
      <c r="AF535" s="28">
        <f t="shared" si="646"/>
        <v>0</v>
      </c>
      <c r="AG535" s="28">
        <f t="shared" si="647"/>
        <v>0</v>
      </c>
      <c r="AH535" s="28">
        <f t="shared" si="648"/>
        <v>0</v>
      </c>
      <c r="AI535" s="21" t="s">
        <v>564</v>
      </c>
      <c r="AJ535" s="28">
        <f t="shared" si="649"/>
        <v>0</v>
      </c>
      <c r="AK535" s="28">
        <f t="shared" si="650"/>
        <v>0</v>
      </c>
      <c r="AL535" s="28">
        <f t="shared" si="651"/>
        <v>0</v>
      </c>
      <c r="AN535" s="28">
        <v>21</v>
      </c>
      <c r="AO535" s="28">
        <f>H535*0.635584415584416</f>
        <v>0</v>
      </c>
      <c r="AP535" s="28">
        <f>H535*(1-0.635584415584416)</f>
        <v>0</v>
      </c>
      <c r="AQ535" s="30" t="s">
        <v>900</v>
      </c>
      <c r="AV535" s="28">
        <f t="shared" si="652"/>
        <v>0</v>
      </c>
      <c r="AW535" s="28">
        <f t="shared" si="653"/>
        <v>0</v>
      </c>
      <c r="AX535" s="28">
        <f t="shared" si="654"/>
        <v>0</v>
      </c>
      <c r="AY535" s="30" t="s">
        <v>562</v>
      </c>
      <c r="AZ535" s="30" t="s">
        <v>965</v>
      </c>
      <c r="BA535" s="21" t="s">
        <v>268</v>
      </c>
      <c r="BC535" s="28">
        <f t="shared" si="655"/>
        <v>0</v>
      </c>
      <c r="BD535" s="28">
        <f t="shared" si="656"/>
        <v>0</v>
      </c>
      <c r="BE535" s="28">
        <v>0</v>
      </c>
      <c r="BF535" s="28">
        <f>535</f>
        <v>535</v>
      </c>
      <c r="BH535" s="28">
        <f t="shared" si="657"/>
        <v>0</v>
      </c>
      <c r="BI535" s="28">
        <f t="shared" si="658"/>
        <v>0</v>
      </c>
      <c r="BJ535" s="28">
        <f t="shared" si="659"/>
        <v>0</v>
      </c>
      <c r="BK535" s="28"/>
      <c r="BL535" s="28">
        <v>722</v>
      </c>
      <c r="BW535" s="28">
        <v>21</v>
      </c>
    </row>
    <row r="536" spans="1:75" ht="13.5" customHeight="1">
      <c r="A536" s="38" t="s">
        <v>727</v>
      </c>
      <c r="B536" s="39" t="s">
        <v>564</v>
      </c>
      <c r="C536" s="39" t="s">
        <v>656</v>
      </c>
      <c r="D536" s="50" t="s">
        <v>1033</v>
      </c>
      <c r="E536" s="51"/>
      <c r="F536" s="39" t="s">
        <v>741</v>
      </c>
      <c r="G536" s="28">
        <v>10</v>
      </c>
      <c r="H536" s="120">
        <v>0</v>
      </c>
      <c r="I536" s="120">
        <f t="shared" si="640"/>
        <v>0</v>
      </c>
      <c r="K536" s="8"/>
      <c r="Z536" s="28">
        <f t="shared" si="641"/>
        <v>0</v>
      </c>
      <c r="AB536" s="28">
        <f t="shared" si="642"/>
        <v>0</v>
      </c>
      <c r="AC536" s="28">
        <f t="shared" si="643"/>
        <v>0</v>
      </c>
      <c r="AD536" s="28">
        <f t="shared" si="644"/>
        <v>0</v>
      </c>
      <c r="AE536" s="28">
        <f t="shared" si="645"/>
        <v>0</v>
      </c>
      <c r="AF536" s="28">
        <f t="shared" si="646"/>
        <v>0</v>
      </c>
      <c r="AG536" s="28">
        <f t="shared" si="647"/>
        <v>0</v>
      </c>
      <c r="AH536" s="28">
        <f t="shared" si="648"/>
        <v>0</v>
      </c>
      <c r="AI536" s="21" t="s">
        <v>564</v>
      </c>
      <c r="AJ536" s="28">
        <f t="shared" si="649"/>
        <v>0</v>
      </c>
      <c r="AK536" s="28">
        <f t="shared" si="650"/>
        <v>0</v>
      </c>
      <c r="AL536" s="28">
        <f t="shared" si="651"/>
        <v>0</v>
      </c>
      <c r="AN536" s="28">
        <v>21</v>
      </c>
      <c r="AO536" s="28">
        <f>H536*0.388270254929131</f>
        <v>0</v>
      </c>
      <c r="AP536" s="28">
        <f>H536*(1-0.388270254929131)</f>
        <v>0</v>
      </c>
      <c r="AQ536" s="30" t="s">
        <v>900</v>
      </c>
      <c r="AV536" s="28">
        <f t="shared" si="652"/>
        <v>0</v>
      </c>
      <c r="AW536" s="28">
        <f t="shared" si="653"/>
        <v>0</v>
      </c>
      <c r="AX536" s="28">
        <f t="shared" si="654"/>
        <v>0</v>
      </c>
      <c r="AY536" s="30" t="s">
        <v>562</v>
      </c>
      <c r="AZ536" s="30" t="s">
        <v>965</v>
      </c>
      <c r="BA536" s="21" t="s">
        <v>268</v>
      </c>
      <c r="BC536" s="28">
        <f t="shared" si="655"/>
        <v>0</v>
      </c>
      <c r="BD536" s="28">
        <f t="shared" si="656"/>
        <v>0</v>
      </c>
      <c r="BE536" s="28">
        <v>0</v>
      </c>
      <c r="BF536" s="28">
        <f>536</f>
        <v>536</v>
      </c>
      <c r="BH536" s="28">
        <f t="shared" si="657"/>
        <v>0</v>
      </c>
      <c r="BI536" s="28">
        <f t="shared" si="658"/>
        <v>0</v>
      </c>
      <c r="BJ536" s="28">
        <f t="shared" si="659"/>
        <v>0</v>
      </c>
      <c r="BK536" s="28"/>
      <c r="BL536" s="28">
        <v>722</v>
      </c>
      <c r="BW536" s="28">
        <v>21</v>
      </c>
    </row>
    <row r="537" spans="1:75" ht="13.5" customHeight="1">
      <c r="A537" s="38" t="s">
        <v>310</v>
      </c>
      <c r="B537" s="39" t="s">
        <v>564</v>
      </c>
      <c r="C537" s="39" t="s">
        <v>732</v>
      </c>
      <c r="D537" s="50" t="s">
        <v>1088</v>
      </c>
      <c r="E537" s="51"/>
      <c r="F537" s="39" t="s">
        <v>741</v>
      </c>
      <c r="G537" s="28">
        <v>5</v>
      </c>
      <c r="H537" s="120">
        <v>0</v>
      </c>
      <c r="I537" s="120">
        <f t="shared" si="640"/>
        <v>0</v>
      </c>
      <c r="K537" s="8"/>
      <c r="Z537" s="28">
        <f t="shared" si="641"/>
        <v>0</v>
      </c>
      <c r="AB537" s="28">
        <f t="shared" si="642"/>
        <v>0</v>
      </c>
      <c r="AC537" s="28">
        <f t="shared" si="643"/>
        <v>0</v>
      </c>
      <c r="AD537" s="28">
        <f t="shared" si="644"/>
        <v>0</v>
      </c>
      <c r="AE537" s="28">
        <f t="shared" si="645"/>
        <v>0</v>
      </c>
      <c r="AF537" s="28">
        <f t="shared" si="646"/>
        <v>0</v>
      </c>
      <c r="AG537" s="28">
        <f t="shared" si="647"/>
        <v>0</v>
      </c>
      <c r="AH537" s="28">
        <f t="shared" si="648"/>
        <v>0</v>
      </c>
      <c r="AI537" s="21" t="s">
        <v>564</v>
      </c>
      <c r="AJ537" s="28">
        <f t="shared" si="649"/>
        <v>0</v>
      </c>
      <c r="AK537" s="28">
        <f t="shared" si="650"/>
        <v>0</v>
      </c>
      <c r="AL537" s="28">
        <f t="shared" si="651"/>
        <v>0</v>
      </c>
      <c r="AN537" s="28">
        <v>21</v>
      </c>
      <c r="AO537" s="28">
        <f>H537*0.266073697585769</f>
        <v>0</v>
      </c>
      <c r="AP537" s="28">
        <f>H537*(1-0.266073697585769)</f>
        <v>0</v>
      </c>
      <c r="AQ537" s="30" t="s">
        <v>900</v>
      </c>
      <c r="AV537" s="28">
        <f t="shared" si="652"/>
        <v>0</v>
      </c>
      <c r="AW537" s="28">
        <f t="shared" si="653"/>
        <v>0</v>
      </c>
      <c r="AX537" s="28">
        <f t="shared" si="654"/>
        <v>0</v>
      </c>
      <c r="AY537" s="30" t="s">
        <v>562</v>
      </c>
      <c r="AZ537" s="30" t="s">
        <v>965</v>
      </c>
      <c r="BA537" s="21" t="s">
        <v>268</v>
      </c>
      <c r="BC537" s="28">
        <f t="shared" si="655"/>
        <v>0</v>
      </c>
      <c r="BD537" s="28">
        <f t="shared" si="656"/>
        <v>0</v>
      </c>
      <c r="BE537" s="28">
        <v>0</v>
      </c>
      <c r="BF537" s="28">
        <f>537</f>
        <v>537</v>
      </c>
      <c r="BH537" s="28">
        <f t="shared" si="657"/>
        <v>0</v>
      </c>
      <c r="BI537" s="28">
        <f t="shared" si="658"/>
        <v>0</v>
      </c>
      <c r="BJ537" s="28">
        <f t="shared" si="659"/>
        <v>0</v>
      </c>
      <c r="BK537" s="28"/>
      <c r="BL537" s="28">
        <v>722</v>
      </c>
      <c r="BW537" s="28">
        <v>21</v>
      </c>
    </row>
    <row r="538" spans="1:75" ht="13.5" customHeight="1">
      <c r="A538" s="38" t="s">
        <v>305</v>
      </c>
      <c r="B538" s="39" t="s">
        <v>564</v>
      </c>
      <c r="C538" s="39" t="s">
        <v>88</v>
      </c>
      <c r="D538" s="50" t="s">
        <v>1062</v>
      </c>
      <c r="E538" s="51"/>
      <c r="F538" s="39" t="s">
        <v>741</v>
      </c>
      <c r="G538" s="28">
        <v>5</v>
      </c>
      <c r="H538" s="120">
        <v>0</v>
      </c>
      <c r="I538" s="120">
        <f t="shared" si="640"/>
        <v>0</v>
      </c>
      <c r="K538" s="8"/>
      <c r="Z538" s="28">
        <f t="shared" si="641"/>
        <v>0</v>
      </c>
      <c r="AB538" s="28">
        <f t="shared" si="642"/>
        <v>0</v>
      </c>
      <c r="AC538" s="28">
        <f t="shared" si="643"/>
        <v>0</v>
      </c>
      <c r="AD538" s="28">
        <f t="shared" si="644"/>
        <v>0</v>
      </c>
      <c r="AE538" s="28">
        <f t="shared" si="645"/>
        <v>0</v>
      </c>
      <c r="AF538" s="28">
        <f t="shared" si="646"/>
        <v>0</v>
      </c>
      <c r="AG538" s="28">
        <f t="shared" si="647"/>
        <v>0</v>
      </c>
      <c r="AH538" s="28">
        <f t="shared" si="648"/>
        <v>0</v>
      </c>
      <c r="AI538" s="21" t="s">
        <v>564</v>
      </c>
      <c r="AJ538" s="28">
        <f t="shared" si="649"/>
        <v>0</v>
      </c>
      <c r="AK538" s="28">
        <f t="shared" si="650"/>
        <v>0</v>
      </c>
      <c r="AL538" s="28">
        <f t="shared" si="651"/>
        <v>0</v>
      </c>
      <c r="AN538" s="28">
        <v>21</v>
      </c>
      <c r="AO538" s="28">
        <f>H538*0.628405063291139</f>
        <v>0</v>
      </c>
      <c r="AP538" s="28">
        <f>H538*(1-0.628405063291139)</f>
        <v>0</v>
      </c>
      <c r="AQ538" s="30" t="s">
        <v>900</v>
      </c>
      <c r="AV538" s="28">
        <f t="shared" si="652"/>
        <v>0</v>
      </c>
      <c r="AW538" s="28">
        <f t="shared" si="653"/>
        <v>0</v>
      </c>
      <c r="AX538" s="28">
        <f t="shared" si="654"/>
        <v>0</v>
      </c>
      <c r="AY538" s="30" t="s">
        <v>562</v>
      </c>
      <c r="AZ538" s="30" t="s">
        <v>965</v>
      </c>
      <c r="BA538" s="21" t="s">
        <v>268</v>
      </c>
      <c r="BC538" s="28">
        <f t="shared" si="655"/>
        <v>0</v>
      </c>
      <c r="BD538" s="28">
        <f t="shared" si="656"/>
        <v>0</v>
      </c>
      <c r="BE538" s="28">
        <v>0</v>
      </c>
      <c r="BF538" s="28">
        <f>538</f>
        <v>538</v>
      </c>
      <c r="BH538" s="28">
        <f t="shared" si="657"/>
        <v>0</v>
      </c>
      <c r="BI538" s="28">
        <f t="shared" si="658"/>
        <v>0</v>
      </c>
      <c r="BJ538" s="28">
        <f t="shared" si="659"/>
        <v>0</v>
      </c>
      <c r="BK538" s="28"/>
      <c r="BL538" s="28">
        <v>722</v>
      </c>
      <c r="BW538" s="28">
        <v>21</v>
      </c>
    </row>
    <row r="539" spans="1:75" ht="13.5" customHeight="1">
      <c r="A539" s="38" t="s">
        <v>96</v>
      </c>
      <c r="B539" s="39" t="s">
        <v>564</v>
      </c>
      <c r="C539" s="39" t="s">
        <v>381</v>
      </c>
      <c r="D539" s="50" t="s">
        <v>1063</v>
      </c>
      <c r="E539" s="51"/>
      <c r="F539" s="39" t="s">
        <v>741</v>
      </c>
      <c r="G539" s="28">
        <v>5</v>
      </c>
      <c r="H539" s="120">
        <v>0</v>
      </c>
      <c r="I539" s="120">
        <f t="shared" si="640"/>
        <v>0</v>
      </c>
      <c r="K539" s="8"/>
      <c r="Z539" s="28">
        <f t="shared" si="641"/>
        <v>0</v>
      </c>
      <c r="AB539" s="28">
        <f t="shared" si="642"/>
        <v>0</v>
      </c>
      <c r="AC539" s="28">
        <f t="shared" si="643"/>
        <v>0</v>
      </c>
      <c r="AD539" s="28">
        <f t="shared" si="644"/>
        <v>0</v>
      </c>
      <c r="AE539" s="28">
        <f t="shared" si="645"/>
        <v>0</v>
      </c>
      <c r="AF539" s="28">
        <f t="shared" si="646"/>
        <v>0</v>
      </c>
      <c r="AG539" s="28">
        <f t="shared" si="647"/>
        <v>0</v>
      </c>
      <c r="AH539" s="28">
        <f t="shared" si="648"/>
        <v>0</v>
      </c>
      <c r="AI539" s="21" t="s">
        <v>564</v>
      </c>
      <c r="AJ539" s="28">
        <f t="shared" si="649"/>
        <v>0</v>
      </c>
      <c r="AK539" s="28">
        <f t="shared" si="650"/>
        <v>0</v>
      </c>
      <c r="AL539" s="28">
        <f t="shared" si="651"/>
        <v>0</v>
      </c>
      <c r="AN539" s="28">
        <v>21</v>
      </c>
      <c r="AO539" s="28">
        <f>H539*0.38327731092437</f>
        <v>0</v>
      </c>
      <c r="AP539" s="28">
        <f>H539*(1-0.38327731092437)</f>
        <v>0</v>
      </c>
      <c r="AQ539" s="30" t="s">
        <v>900</v>
      </c>
      <c r="AV539" s="28">
        <f t="shared" si="652"/>
        <v>0</v>
      </c>
      <c r="AW539" s="28">
        <f t="shared" si="653"/>
        <v>0</v>
      </c>
      <c r="AX539" s="28">
        <f t="shared" si="654"/>
        <v>0</v>
      </c>
      <c r="AY539" s="30" t="s">
        <v>562</v>
      </c>
      <c r="AZ539" s="30" t="s">
        <v>965</v>
      </c>
      <c r="BA539" s="21" t="s">
        <v>268</v>
      </c>
      <c r="BC539" s="28">
        <f t="shared" si="655"/>
        <v>0</v>
      </c>
      <c r="BD539" s="28">
        <f t="shared" si="656"/>
        <v>0</v>
      </c>
      <c r="BE539" s="28">
        <v>0</v>
      </c>
      <c r="BF539" s="28">
        <f>539</f>
        <v>539</v>
      </c>
      <c r="BH539" s="28">
        <f t="shared" si="657"/>
        <v>0</v>
      </c>
      <c r="BI539" s="28">
        <f t="shared" si="658"/>
        <v>0</v>
      </c>
      <c r="BJ539" s="28">
        <f t="shared" si="659"/>
        <v>0</v>
      </c>
      <c r="BK539" s="28"/>
      <c r="BL539" s="28">
        <v>722</v>
      </c>
      <c r="BW539" s="28">
        <v>21</v>
      </c>
    </row>
    <row r="540" spans="1:75" ht="13.5" customHeight="1">
      <c r="A540" s="38" t="s">
        <v>147</v>
      </c>
      <c r="B540" s="39" t="s">
        <v>564</v>
      </c>
      <c r="C540" s="39" t="s">
        <v>663</v>
      </c>
      <c r="D540" s="50" t="s">
        <v>1089</v>
      </c>
      <c r="E540" s="51"/>
      <c r="F540" s="39" t="s">
        <v>741</v>
      </c>
      <c r="G540" s="28">
        <v>5</v>
      </c>
      <c r="H540" s="120">
        <v>0</v>
      </c>
      <c r="I540" s="120">
        <f t="shared" si="640"/>
        <v>0</v>
      </c>
      <c r="K540" s="8"/>
      <c r="Z540" s="28">
        <f t="shared" si="641"/>
        <v>0</v>
      </c>
      <c r="AB540" s="28">
        <f t="shared" si="642"/>
        <v>0</v>
      </c>
      <c r="AC540" s="28">
        <f t="shared" si="643"/>
        <v>0</v>
      </c>
      <c r="AD540" s="28">
        <f t="shared" si="644"/>
        <v>0</v>
      </c>
      <c r="AE540" s="28">
        <f t="shared" si="645"/>
        <v>0</v>
      </c>
      <c r="AF540" s="28">
        <f t="shared" si="646"/>
        <v>0</v>
      </c>
      <c r="AG540" s="28">
        <f t="shared" si="647"/>
        <v>0</v>
      </c>
      <c r="AH540" s="28">
        <f t="shared" si="648"/>
        <v>0</v>
      </c>
      <c r="AI540" s="21" t="s">
        <v>564</v>
      </c>
      <c r="AJ540" s="28">
        <f t="shared" si="649"/>
        <v>0</v>
      </c>
      <c r="AK540" s="28">
        <f t="shared" si="650"/>
        <v>0</v>
      </c>
      <c r="AL540" s="28">
        <f t="shared" si="651"/>
        <v>0</v>
      </c>
      <c r="AN540" s="28">
        <v>21</v>
      </c>
      <c r="AO540" s="28">
        <f>H540*0.536981734842697</f>
        <v>0</v>
      </c>
      <c r="AP540" s="28">
        <f>H540*(1-0.536981734842697)</f>
        <v>0</v>
      </c>
      <c r="AQ540" s="30" t="s">
        <v>900</v>
      </c>
      <c r="AV540" s="28">
        <f t="shared" si="652"/>
        <v>0</v>
      </c>
      <c r="AW540" s="28">
        <f t="shared" si="653"/>
        <v>0</v>
      </c>
      <c r="AX540" s="28">
        <f t="shared" si="654"/>
        <v>0</v>
      </c>
      <c r="AY540" s="30" t="s">
        <v>562</v>
      </c>
      <c r="AZ540" s="30" t="s">
        <v>965</v>
      </c>
      <c r="BA540" s="21" t="s">
        <v>268</v>
      </c>
      <c r="BC540" s="28">
        <f t="shared" si="655"/>
        <v>0</v>
      </c>
      <c r="BD540" s="28">
        <f t="shared" si="656"/>
        <v>0</v>
      </c>
      <c r="BE540" s="28">
        <v>0</v>
      </c>
      <c r="BF540" s="28">
        <f>540</f>
        <v>540</v>
      </c>
      <c r="BH540" s="28">
        <f t="shared" si="657"/>
        <v>0</v>
      </c>
      <c r="BI540" s="28">
        <f t="shared" si="658"/>
        <v>0</v>
      </c>
      <c r="BJ540" s="28">
        <f t="shared" si="659"/>
        <v>0</v>
      </c>
      <c r="BK540" s="28"/>
      <c r="BL540" s="28">
        <v>722</v>
      </c>
      <c r="BW540" s="28">
        <v>21</v>
      </c>
    </row>
    <row r="541" spans="1:75" ht="13.5" customHeight="1">
      <c r="A541" s="38" t="s">
        <v>3</v>
      </c>
      <c r="B541" s="39" t="s">
        <v>564</v>
      </c>
      <c r="C541" s="39" t="s">
        <v>156</v>
      </c>
      <c r="D541" s="50" t="s">
        <v>330</v>
      </c>
      <c r="E541" s="51"/>
      <c r="F541" s="39" t="s">
        <v>228</v>
      </c>
      <c r="G541" s="28">
        <v>1</v>
      </c>
      <c r="H541" s="120">
        <v>0</v>
      </c>
      <c r="I541" s="120">
        <f t="shared" si="640"/>
        <v>0</v>
      </c>
      <c r="K541" s="8"/>
      <c r="Z541" s="28">
        <f t="shared" si="641"/>
        <v>0</v>
      </c>
      <c r="AB541" s="28">
        <f t="shared" si="642"/>
        <v>0</v>
      </c>
      <c r="AC541" s="28">
        <f t="shared" si="643"/>
        <v>0</v>
      </c>
      <c r="AD541" s="28">
        <f t="shared" si="644"/>
        <v>0</v>
      </c>
      <c r="AE541" s="28">
        <f t="shared" si="645"/>
        <v>0</v>
      </c>
      <c r="AF541" s="28">
        <f t="shared" si="646"/>
        <v>0</v>
      </c>
      <c r="AG541" s="28">
        <f t="shared" si="647"/>
        <v>0</v>
      </c>
      <c r="AH541" s="28">
        <f t="shared" si="648"/>
        <v>0</v>
      </c>
      <c r="AI541" s="21" t="s">
        <v>564</v>
      </c>
      <c r="AJ541" s="28">
        <f t="shared" si="649"/>
        <v>0</v>
      </c>
      <c r="AK541" s="28">
        <f t="shared" si="650"/>
        <v>0</v>
      </c>
      <c r="AL541" s="28">
        <f t="shared" si="651"/>
        <v>0</v>
      </c>
      <c r="AN541" s="28">
        <v>21</v>
      </c>
      <c r="AO541" s="28">
        <f>H541*0.945809322033898</f>
        <v>0</v>
      </c>
      <c r="AP541" s="28">
        <f>H541*(1-0.945809322033898)</f>
        <v>0</v>
      </c>
      <c r="AQ541" s="30" t="s">
        <v>900</v>
      </c>
      <c r="AV541" s="28">
        <f t="shared" si="652"/>
        <v>0</v>
      </c>
      <c r="AW541" s="28">
        <f t="shared" si="653"/>
        <v>0</v>
      </c>
      <c r="AX541" s="28">
        <f t="shared" si="654"/>
        <v>0</v>
      </c>
      <c r="AY541" s="30" t="s">
        <v>562</v>
      </c>
      <c r="AZ541" s="30" t="s">
        <v>965</v>
      </c>
      <c r="BA541" s="21" t="s">
        <v>268</v>
      </c>
      <c r="BC541" s="28">
        <f t="shared" si="655"/>
        <v>0</v>
      </c>
      <c r="BD541" s="28">
        <f t="shared" si="656"/>
        <v>0</v>
      </c>
      <c r="BE541" s="28">
        <v>0</v>
      </c>
      <c r="BF541" s="28">
        <f>541</f>
        <v>541</v>
      </c>
      <c r="BH541" s="28">
        <f t="shared" si="657"/>
        <v>0</v>
      </c>
      <c r="BI541" s="28">
        <f t="shared" si="658"/>
        <v>0</v>
      </c>
      <c r="BJ541" s="28">
        <f t="shared" si="659"/>
        <v>0</v>
      </c>
      <c r="BK541" s="28"/>
      <c r="BL541" s="28">
        <v>722</v>
      </c>
      <c r="BW541" s="28">
        <v>21</v>
      </c>
    </row>
    <row r="542" spans="1:75" ht="13.5" customHeight="1">
      <c r="A542" s="38" t="s">
        <v>195</v>
      </c>
      <c r="B542" s="39" t="s">
        <v>564</v>
      </c>
      <c r="C542" s="39" t="s">
        <v>735</v>
      </c>
      <c r="D542" s="50" t="s">
        <v>285</v>
      </c>
      <c r="E542" s="51"/>
      <c r="F542" s="39" t="s">
        <v>228</v>
      </c>
      <c r="G542" s="28">
        <v>1</v>
      </c>
      <c r="H542" s="120">
        <v>0</v>
      </c>
      <c r="I542" s="120">
        <f t="shared" si="640"/>
        <v>0</v>
      </c>
      <c r="K542" s="8"/>
      <c r="Z542" s="28">
        <f t="shared" si="641"/>
        <v>0</v>
      </c>
      <c r="AB542" s="28">
        <f t="shared" si="642"/>
        <v>0</v>
      </c>
      <c r="AC542" s="28">
        <f t="shared" si="643"/>
        <v>0</v>
      </c>
      <c r="AD542" s="28">
        <f t="shared" si="644"/>
        <v>0</v>
      </c>
      <c r="AE542" s="28">
        <f t="shared" si="645"/>
        <v>0</v>
      </c>
      <c r="AF542" s="28">
        <f t="shared" si="646"/>
        <v>0</v>
      </c>
      <c r="AG542" s="28">
        <f t="shared" si="647"/>
        <v>0</v>
      </c>
      <c r="AH542" s="28">
        <f t="shared" si="648"/>
        <v>0</v>
      </c>
      <c r="AI542" s="21" t="s">
        <v>564</v>
      </c>
      <c r="AJ542" s="28">
        <f t="shared" si="649"/>
        <v>0</v>
      </c>
      <c r="AK542" s="28">
        <f t="shared" si="650"/>
        <v>0</v>
      </c>
      <c r="AL542" s="28">
        <f t="shared" si="651"/>
        <v>0</v>
      </c>
      <c r="AN542" s="28">
        <v>21</v>
      </c>
      <c r="AO542" s="28">
        <f>H542*0.963329388560158</f>
        <v>0</v>
      </c>
      <c r="AP542" s="28">
        <f>H542*(1-0.963329388560158)</f>
        <v>0</v>
      </c>
      <c r="AQ542" s="30" t="s">
        <v>900</v>
      </c>
      <c r="AV542" s="28">
        <f t="shared" si="652"/>
        <v>0</v>
      </c>
      <c r="AW542" s="28">
        <f t="shared" si="653"/>
        <v>0</v>
      </c>
      <c r="AX542" s="28">
        <f t="shared" si="654"/>
        <v>0</v>
      </c>
      <c r="AY542" s="30" t="s">
        <v>562</v>
      </c>
      <c r="AZ542" s="30" t="s">
        <v>965</v>
      </c>
      <c r="BA542" s="21" t="s">
        <v>268</v>
      </c>
      <c r="BC542" s="28">
        <f t="shared" si="655"/>
        <v>0</v>
      </c>
      <c r="BD542" s="28">
        <f t="shared" si="656"/>
        <v>0</v>
      </c>
      <c r="BE542" s="28">
        <v>0</v>
      </c>
      <c r="BF542" s="28">
        <f>542</f>
        <v>542</v>
      </c>
      <c r="BH542" s="28">
        <f t="shared" si="657"/>
        <v>0</v>
      </c>
      <c r="BI542" s="28">
        <f t="shared" si="658"/>
        <v>0</v>
      </c>
      <c r="BJ542" s="28">
        <f t="shared" si="659"/>
        <v>0</v>
      </c>
      <c r="BK542" s="28"/>
      <c r="BL542" s="28">
        <v>722</v>
      </c>
      <c r="BW542" s="28">
        <v>21</v>
      </c>
    </row>
    <row r="543" spans="1:75" ht="13.5" customHeight="1">
      <c r="A543" s="38" t="s">
        <v>839</v>
      </c>
      <c r="B543" s="39" t="s">
        <v>564</v>
      </c>
      <c r="C543" s="39" t="s">
        <v>119</v>
      </c>
      <c r="D543" s="50" t="s">
        <v>1039</v>
      </c>
      <c r="E543" s="51"/>
      <c r="F543" s="39" t="s">
        <v>228</v>
      </c>
      <c r="G543" s="28">
        <v>4</v>
      </c>
      <c r="H543" s="120">
        <v>0</v>
      </c>
      <c r="I543" s="120">
        <f t="shared" si="640"/>
        <v>0</v>
      </c>
      <c r="K543" s="8"/>
      <c r="Z543" s="28">
        <f t="shared" si="641"/>
        <v>0</v>
      </c>
      <c r="AB543" s="28">
        <f t="shared" si="642"/>
        <v>0</v>
      </c>
      <c r="AC543" s="28">
        <f t="shared" si="643"/>
        <v>0</v>
      </c>
      <c r="AD543" s="28">
        <f t="shared" si="644"/>
        <v>0</v>
      </c>
      <c r="AE543" s="28">
        <f t="shared" si="645"/>
        <v>0</v>
      </c>
      <c r="AF543" s="28">
        <f t="shared" si="646"/>
        <v>0</v>
      </c>
      <c r="AG543" s="28">
        <f t="shared" si="647"/>
        <v>0</v>
      </c>
      <c r="AH543" s="28">
        <f t="shared" si="648"/>
        <v>0</v>
      </c>
      <c r="AI543" s="21" t="s">
        <v>564</v>
      </c>
      <c r="AJ543" s="28">
        <f t="shared" si="649"/>
        <v>0</v>
      </c>
      <c r="AK543" s="28">
        <f t="shared" si="650"/>
        <v>0</v>
      </c>
      <c r="AL543" s="28">
        <f t="shared" si="651"/>
        <v>0</v>
      </c>
      <c r="AN543" s="28">
        <v>21</v>
      </c>
      <c r="AO543" s="28">
        <f>H543*0.767472727272727</f>
        <v>0</v>
      </c>
      <c r="AP543" s="28">
        <f>H543*(1-0.767472727272727)</f>
        <v>0</v>
      </c>
      <c r="AQ543" s="30" t="s">
        <v>900</v>
      </c>
      <c r="AV543" s="28">
        <f t="shared" si="652"/>
        <v>0</v>
      </c>
      <c r="AW543" s="28">
        <f t="shared" si="653"/>
        <v>0</v>
      </c>
      <c r="AX543" s="28">
        <f t="shared" si="654"/>
        <v>0</v>
      </c>
      <c r="AY543" s="30" t="s">
        <v>562</v>
      </c>
      <c r="AZ543" s="30" t="s">
        <v>965</v>
      </c>
      <c r="BA543" s="21" t="s">
        <v>268</v>
      </c>
      <c r="BC543" s="28">
        <f t="shared" si="655"/>
        <v>0</v>
      </c>
      <c r="BD543" s="28">
        <f t="shared" si="656"/>
        <v>0</v>
      </c>
      <c r="BE543" s="28">
        <v>0</v>
      </c>
      <c r="BF543" s="28">
        <f>543</f>
        <v>543</v>
      </c>
      <c r="BH543" s="28">
        <f t="shared" si="657"/>
        <v>0</v>
      </c>
      <c r="BI543" s="28">
        <f t="shared" si="658"/>
        <v>0</v>
      </c>
      <c r="BJ543" s="28">
        <f t="shared" si="659"/>
        <v>0</v>
      </c>
      <c r="BK543" s="28"/>
      <c r="BL543" s="28">
        <v>722</v>
      </c>
      <c r="BW543" s="28">
        <v>21</v>
      </c>
    </row>
    <row r="544" spans="1:75" ht="13.5" customHeight="1">
      <c r="A544" s="38" t="s">
        <v>535</v>
      </c>
      <c r="B544" s="39" t="s">
        <v>564</v>
      </c>
      <c r="C544" s="39" t="s">
        <v>545</v>
      </c>
      <c r="D544" s="50" t="s">
        <v>1064</v>
      </c>
      <c r="E544" s="51"/>
      <c r="F544" s="39" t="s">
        <v>228</v>
      </c>
      <c r="G544" s="28">
        <v>1</v>
      </c>
      <c r="H544" s="120">
        <v>0</v>
      </c>
      <c r="I544" s="120">
        <f t="shared" si="640"/>
        <v>0</v>
      </c>
      <c r="K544" s="8"/>
      <c r="Z544" s="28">
        <f t="shared" si="641"/>
        <v>0</v>
      </c>
      <c r="AB544" s="28">
        <f t="shared" si="642"/>
        <v>0</v>
      </c>
      <c r="AC544" s="28">
        <f t="shared" si="643"/>
        <v>0</v>
      </c>
      <c r="AD544" s="28">
        <f t="shared" si="644"/>
        <v>0</v>
      </c>
      <c r="AE544" s="28">
        <f t="shared" si="645"/>
        <v>0</v>
      </c>
      <c r="AF544" s="28">
        <f t="shared" si="646"/>
        <v>0</v>
      </c>
      <c r="AG544" s="28">
        <f t="shared" si="647"/>
        <v>0</v>
      </c>
      <c r="AH544" s="28">
        <f t="shared" si="648"/>
        <v>0</v>
      </c>
      <c r="AI544" s="21" t="s">
        <v>564</v>
      </c>
      <c r="AJ544" s="28">
        <f t="shared" si="649"/>
        <v>0</v>
      </c>
      <c r="AK544" s="28">
        <f t="shared" si="650"/>
        <v>0</v>
      </c>
      <c r="AL544" s="28">
        <f t="shared" si="651"/>
        <v>0</v>
      </c>
      <c r="AN544" s="28">
        <v>21</v>
      </c>
      <c r="AO544" s="28">
        <f>H544*0.869366700715015</f>
        <v>0</v>
      </c>
      <c r="AP544" s="28">
        <f>H544*(1-0.869366700715015)</f>
        <v>0</v>
      </c>
      <c r="AQ544" s="30" t="s">
        <v>900</v>
      </c>
      <c r="AV544" s="28">
        <f t="shared" si="652"/>
        <v>0</v>
      </c>
      <c r="AW544" s="28">
        <f t="shared" si="653"/>
        <v>0</v>
      </c>
      <c r="AX544" s="28">
        <f t="shared" si="654"/>
        <v>0</v>
      </c>
      <c r="AY544" s="30" t="s">
        <v>562</v>
      </c>
      <c r="AZ544" s="30" t="s">
        <v>965</v>
      </c>
      <c r="BA544" s="21" t="s">
        <v>268</v>
      </c>
      <c r="BC544" s="28">
        <f t="shared" si="655"/>
        <v>0</v>
      </c>
      <c r="BD544" s="28">
        <f t="shared" si="656"/>
        <v>0</v>
      </c>
      <c r="BE544" s="28">
        <v>0</v>
      </c>
      <c r="BF544" s="28">
        <f>544</f>
        <v>544</v>
      </c>
      <c r="BH544" s="28">
        <f t="shared" si="657"/>
        <v>0</v>
      </c>
      <c r="BI544" s="28">
        <f t="shared" si="658"/>
        <v>0</v>
      </c>
      <c r="BJ544" s="28">
        <f t="shared" si="659"/>
        <v>0</v>
      </c>
      <c r="BK544" s="28"/>
      <c r="BL544" s="28">
        <v>722</v>
      </c>
      <c r="BW544" s="28">
        <v>21</v>
      </c>
    </row>
    <row r="545" spans="1:75" ht="13.5" customHeight="1">
      <c r="A545" s="38" t="s">
        <v>980</v>
      </c>
      <c r="B545" s="39" t="s">
        <v>564</v>
      </c>
      <c r="C545" s="39" t="s">
        <v>796</v>
      </c>
      <c r="D545" s="50" t="s">
        <v>1065</v>
      </c>
      <c r="E545" s="51"/>
      <c r="F545" s="39" t="s">
        <v>228</v>
      </c>
      <c r="G545" s="28">
        <v>1</v>
      </c>
      <c r="H545" s="120">
        <v>0</v>
      </c>
      <c r="I545" s="120">
        <f t="shared" si="640"/>
        <v>0</v>
      </c>
      <c r="K545" s="8"/>
      <c r="Z545" s="28">
        <f t="shared" si="641"/>
        <v>0</v>
      </c>
      <c r="AB545" s="28">
        <f t="shared" si="642"/>
        <v>0</v>
      </c>
      <c r="AC545" s="28">
        <f t="shared" si="643"/>
        <v>0</v>
      </c>
      <c r="AD545" s="28">
        <f t="shared" si="644"/>
        <v>0</v>
      </c>
      <c r="AE545" s="28">
        <f t="shared" si="645"/>
        <v>0</v>
      </c>
      <c r="AF545" s="28">
        <f t="shared" si="646"/>
        <v>0</v>
      </c>
      <c r="AG545" s="28">
        <f t="shared" si="647"/>
        <v>0</v>
      </c>
      <c r="AH545" s="28">
        <f t="shared" si="648"/>
        <v>0</v>
      </c>
      <c r="AI545" s="21" t="s">
        <v>564</v>
      </c>
      <c r="AJ545" s="28">
        <f t="shared" si="649"/>
        <v>0</v>
      </c>
      <c r="AK545" s="28">
        <f t="shared" si="650"/>
        <v>0</v>
      </c>
      <c r="AL545" s="28">
        <f t="shared" si="651"/>
        <v>0</v>
      </c>
      <c r="AN545" s="28">
        <v>21</v>
      </c>
      <c r="AO545" s="28">
        <f>H545*0.767894736842105</f>
        <v>0</v>
      </c>
      <c r="AP545" s="28">
        <f>H545*(1-0.767894736842105)</f>
        <v>0</v>
      </c>
      <c r="AQ545" s="30" t="s">
        <v>900</v>
      </c>
      <c r="AV545" s="28">
        <f t="shared" si="652"/>
        <v>0</v>
      </c>
      <c r="AW545" s="28">
        <f t="shared" si="653"/>
        <v>0</v>
      </c>
      <c r="AX545" s="28">
        <f t="shared" si="654"/>
        <v>0</v>
      </c>
      <c r="AY545" s="30" t="s">
        <v>562</v>
      </c>
      <c r="AZ545" s="30" t="s">
        <v>965</v>
      </c>
      <c r="BA545" s="21" t="s">
        <v>268</v>
      </c>
      <c r="BC545" s="28">
        <f t="shared" si="655"/>
        <v>0</v>
      </c>
      <c r="BD545" s="28">
        <f t="shared" si="656"/>
        <v>0</v>
      </c>
      <c r="BE545" s="28">
        <v>0</v>
      </c>
      <c r="BF545" s="28">
        <f>545</f>
        <v>545</v>
      </c>
      <c r="BH545" s="28">
        <f t="shared" si="657"/>
        <v>0</v>
      </c>
      <c r="BI545" s="28">
        <f t="shared" si="658"/>
        <v>0</v>
      </c>
      <c r="BJ545" s="28">
        <f t="shared" si="659"/>
        <v>0</v>
      </c>
      <c r="BK545" s="28"/>
      <c r="BL545" s="28">
        <v>722</v>
      </c>
      <c r="BW545" s="28">
        <v>21</v>
      </c>
    </row>
    <row r="546" spans="1:75" ht="13.5" customHeight="1">
      <c r="A546" s="38" t="s">
        <v>443</v>
      </c>
      <c r="B546" s="39" t="s">
        <v>564</v>
      </c>
      <c r="C546" s="39" t="s">
        <v>901</v>
      </c>
      <c r="D546" s="50" t="s">
        <v>1066</v>
      </c>
      <c r="E546" s="51"/>
      <c r="F546" s="39" t="s">
        <v>228</v>
      </c>
      <c r="G546" s="28">
        <v>1</v>
      </c>
      <c r="H546" s="120">
        <v>0</v>
      </c>
      <c r="I546" s="120">
        <f t="shared" si="640"/>
        <v>0</v>
      </c>
      <c r="K546" s="8"/>
      <c r="Z546" s="28">
        <f t="shared" si="641"/>
        <v>0</v>
      </c>
      <c r="AB546" s="28">
        <f t="shared" si="642"/>
        <v>0</v>
      </c>
      <c r="AC546" s="28">
        <f t="shared" si="643"/>
        <v>0</v>
      </c>
      <c r="AD546" s="28">
        <f t="shared" si="644"/>
        <v>0</v>
      </c>
      <c r="AE546" s="28">
        <f t="shared" si="645"/>
        <v>0</v>
      </c>
      <c r="AF546" s="28">
        <f t="shared" si="646"/>
        <v>0</v>
      </c>
      <c r="AG546" s="28">
        <f t="shared" si="647"/>
        <v>0</v>
      </c>
      <c r="AH546" s="28">
        <f t="shared" si="648"/>
        <v>0</v>
      </c>
      <c r="AI546" s="21" t="s">
        <v>564</v>
      </c>
      <c r="AJ546" s="28">
        <f t="shared" si="649"/>
        <v>0</v>
      </c>
      <c r="AK546" s="28">
        <f t="shared" si="650"/>
        <v>0</v>
      </c>
      <c r="AL546" s="28">
        <f t="shared" si="651"/>
        <v>0</v>
      </c>
      <c r="AN546" s="28">
        <v>21</v>
      </c>
      <c r="AO546" s="28">
        <f>H546*0.901698693312836</f>
        <v>0</v>
      </c>
      <c r="AP546" s="28">
        <f>H546*(1-0.901698693312836)</f>
        <v>0</v>
      </c>
      <c r="AQ546" s="30" t="s">
        <v>900</v>
      </c>
      <c r="AV546" s="28">
        <f t="shared" si="652"/>
        <v>0</v>
      </c>
      <c r="AW546" s="28">
        <f t="shared" si="653"/>
        <v>0</v>
      </c>
      <c r="AX546" s="28">
        <f t="shared" si="654"/>
        <v>0</v>
      </c>
      <c r="AY546" s="30" t="s">
        <v>562</v>
      </c>
      <c r="AZ546" s="30" t="s">
        <v>965</v>
      </c>
      <c r="BA546" s="21" t="s">
        <v>268</v>
      </c>
      <c r="BC546" s="28">
        <f t="shared" si="655"/>
        <v>0</v>
      </c>
      <c r="BD546" s="28">
        <f t="shared" si="656"/>
        <v>0</v>
      </c>
      <c r="BE546" s="28">
        <v>0</v>
      </c>
      <c r="BF546" s="28">
        <f>546</f>
        <v>546</v>
      </c>
      <c r="BH546" s="28">
        <f t="shared" si="657"/>
        <v>0</v>
      </c>
      <c r="BI546" s="28">
        <f t="shared" si="658"/>
        <v>0</v>
      </c>
      <c r="BJ546" s="28">
        <f t="shared" si="659"/>
        <v>0</v>
      </c>
      <c r="BK546" s="28"/>
      <c r="BL546" s="28">
        <v>722</v>
      </c>
      <c r="BW546" s="28">
        <v>21</v>
      </c>
    </row>
    <row r="547" spans="1:75" ht="13.5" customHeight="1">
      <c r="A547" s="38" t="s">
        <v>641</v>
      </c>
      <c r="B547" s="39" t="s">
        <v>564</v>
      </c>
      <c r="C547" s="39" t="s">
        <v>576</v>
      </c>
      <c r="D547" s="50" t="s">
        <v>1095</v>
      </c>
      <c r="E547" s="51"/>
      <c r="F547" s="39" t="s">
        <v>228</v>
      </c>
      <c r="G547" s="28">
        <v>1</v>
      </c>
      <c r="H547" s="120">
        <v>0</v>
      </c>
      <c r="I547" s="120">
        <f t="shared" si="640"/>
        <v>0</v>
      </c>
      <c r="K547" s="8"/>
      <c r="Z547" s="28">
        <f t="shared" si="641"/>
        <v>0</v>
      </c>
      <c r="AB547" s="28">
        <f t="shared" si="642"/>
        <v>0</v>
      </c>
      <c r="AC547" s="28">
        <f t="shared" si="643"/>
        <v>0</v>
      </c>
      <c r="AD547" s="28">
        <f t="shared" si="644"/>
        <v>0</v>
      </c>
      <c r="AE547" s="28">
        <f t="shared" si="645"/>
        <v>0</v>
      </c>
      <c r="AF547" s="28">
        <f t="shared" si="646"/>
        <v>0</v>
      </c>
      <c r="AG547" s="28">
        <f t="shared" si="647"/>
        <v>0</v>
      </c>
      <c r="AH547" s="28">
        <f t="shared" si="648"/>
        <v>0</v>
      </c>
      <c r="AI547" s="21" t="s">
        <v>564</v>
      </c>
      <c r="AJ547" s="28">
        <f t="shared" si="649"/>
        <v>0</v>
      </c>
      <c r="AK547" s="28">
        <f t="shared" si="650"/>
        <v>0</v>
      </c>
      <c r="AL547" s="28">
        <f t="shared" si="651"/>
        <v>0</v>
      </c>
      <c r="AN547" s="28">
        <v>21</v>
      </c>
      <c r="AO547" s="28">
        <f>H547*0.904977375565611</f>
        <v>0</v>
      </c>
      <c r="AP547" s="28">
        <f>H547*(1-0.904977375565611)</f>
        <v>0</v>
      </c>
      <c r="AQ547" s="30" t="s">
        <v>900</v>
      </c>
      <c r="AV547" s="28">
        <f t="shared" si="652"/>
        <v>0</v>
      </c>
      <c r="AW547" s="28">
        <f t="shared" si="653"/>
        <v>0</v>
      </c>
      <c r="AX547" s="28">
        <f t="shared" si="654"/>
        <v>0</v>
      </c>
      <c r="AY547" s="30" t="s">
        <v>562</v>
      </c>
      <c r="AZ547" s="30" t="s">
        <v>965</v>
      </c>
      <c r="BA547" s="21" t="s">
        <v>268</v>
      </c>
      <c r="BC547" s="28">
        <f t="shared" si="655"/>
        <v>0</v>
      </c>
      <c r="BD547" s="28">
        <f t="shared" si="656"/>
        <v>0</v>
      </c>
      <c r="BE547" s="28">
        <v>0</v>
      </c>
      <c r="BF547" s="28">
        <f>547</f>
        <v>547</v>
      </c>
      <c r="BH547" s="28">
        <f t="shared" si="657"/>
        <v>0</v>
      </c>
      <c r="BI547" s="28">
        <f t="shared" si="658"/>
        <v>0</v>
      </c>
      <c r="BJ547" s="28">
        <f t="shared" si="659"/>
        <v>0</v>
      </c>
      <c r="BK547" s="28"/>
      <c r="BL547" s="28">
        <v>722</v>
      </c>
      <c r="BW547" s="28">
        <v>21</v>
      </c>
    </row>
    <row r="548" spans="1:75" ht="13.5" customHeight="1">
      <c r="A548" s="38" t="s">
        <v>84</v>
      </c>
      <c r="B548" s="39" t="s">
        <v>564</v>
      </c>
      <c r="C548" s="39" t="s">
        <v>679</v>
      </c>
      <c r="D548" s="50" t="s">
        <v>1090</v>
      </c>
      <c r="E548" s="51"/>
      <c r="F548" s="39" t="s">
        <v>228</v>
      </c>
      <c r="G548" s="28">
        <v>2</v>
      </c>
      <c r="H548" s="120">
        <v>0</v>
      </c>
      <c r="I548" s="120">
        <f t="shared" si="640"/>
        <v>0</v>
      </c>
      <c r="K548" s="8"/>
      <c r="Z548" s="28">
        <f t="shared" si="641"/>
        <v>0</v>
      </c>
      <c r="AB548" s="28">
        <f t="shared" si="642"/>
        <v>0</v>
      </c>
      <c r="AC548" s="28">
        <f t="shared" si="643"/>
        <v>0</v>
      </c>
      <c r="AD548" s="28">
        <f t="shared" si="644"/>
        <v>0</v>
      </c>
      <c r="AE548" s="28">
        <f t="shared" si="645"/>
        <v>0</v>
      </c>
      <c r="AF548" s="28">
        <f t="shared" si="646"/>
        <v>0</v>
      </c>
      <c r="AG548" s="28">
        <f t="shared" si="647"/>
        <v>0</v>
      </c>
      <c r="AH548" s="28">
        <f t="shared" si="648"/>
        <v>0</v>
      </c>
      <c r="AI548" s="21" t="s">
        <v>564</v>
      </c>
      <c r="AJ548" s="28">
        <f t="shared" si="649"/>
        <v>0</v>
      </c>
      <c r="AK548" s="28">
        <f t="shared" si="650"/>
        <v>0</v>
      </c>
      <c r="AL548" s="28">
        <f t="shared" si="651"/>
        <v>0</v>
      </c>
      <c r="AN548" s="28">
        <v>21</v>
      </c>
      <c r="AO548" s="28">
        <f>H548*0.657605893186004</f>
        <v>0</v>
      </c>
      <c r="AP548" s="28">
        <f>H548*(1-0.657605893186004)</f>
        <v>0</v>
      </c>
      <c r="AQ548" s="30" t="s">
        <v>900</v>
      </c>
      <c r="AV548" s="28">
        <f t="shared" si="652"/>
        <v>0</v>
      </c>
      <c r="AW548" s="28">
        <f t="shared" si="653"/>
        <v>0</v>
      </c>
      <c r="AX548" s="28">
        <f t="shared" si="654"/>
        <v>0</v>
      </c>
      <c r="AY548" s="30" t="s">
        <v>562</v>
      </c>
      <c r="AZ548" s="30" t="s">
        <v>965</v>
      </c>
      <c r="BA548" s="21" t="s">
        <v>268</v>
      </c>
      <c r="BC548" s="28">
        <f t="shared" si="655"/>
        <v>0</v>
      </c>
      <c r="BD548" s="28">
        <f t="shared" si="656"/>
        <v>0</v>
      </c>
      <c r="BE548" s="28">
        <v>0</v>
      </c>
      <c r="BF548" s="28">
        <f>548</f>
        <v>548</v>
      </c>
      <c r="BH548" s="28">
        <f t="shared" si="657"/>
        <v>0</v>
      </c>
      <c r="BI548" s="28">
        <f t="shared" si="658"/>
        <v>0</v>
      </c>
      <c r="BJ548" s="28">
        <f t="shared" si="659"/>
        <v>0</v>
      </c>
      <c r="BK548" s="28"/>
      <c r="BL548" s="28">
        <v>722</v>
      </c>
      <c r="BW548" s="28">
        <v>21</v>
      </c>
    </row>
    <row r="549" spans="1:75" ht="13.5" customHeight="1">
      <c r="A549" s="38" t="s">
        <v>963</v>
      </c>
      <c r="B549" s="39" t="s">
        <v>564</v>
      </c>
      <c r="C549" s="39" t="s">
        <v>38</v>
      </c>
      <c r="D549" s="50" t="s">
        <v>1091</v>
      </c>
      <c r="E549" s="51"/>
      <c r="F549" s="39" t="s">
        <v>228</v>
      </c>
      <c r="G549" s="28">
        <v>1</v>
      </c>
      <c r="H549" s="120">
        <v>0</v>
      </c>
      <c r="I549" s="120">
        <f t="shared" si="640"/>
        <v>0</v>
      </c>
      <c r="K549" s="8"/>
      <c r="Z549" s="28">
        <f t="shared" si="641"/>
        <v>0</v>
      </c>
      <c r="AB549" s="28">
        <f t="shared" si="642"/>
        <v>0</v>
      </c>
      <c r="AC549" s="28">
        <f t="shared" si="643"/>
        <v>0</v>
      </c>
      <c r="AD549" s="28">
        <f t="shared" si="644"/>
        <v>0</v>
      </c>
      <c r="AE549" s="28">
        <f t="shared" si="645"/>
        <v>0</v>
      </c>
      <c r="AF549" s="28">
        <f t="shared" si="646"/>
        <v>0</v>
      </c>
      <c r="AG549" s="28">
        <f t="shared" si="647"/>
        <v>0</v>
      </c>
      <c r="AH549" s="28">
        <f t="shared" si="648"/>
        <v>0</v>
      </c>
      <c r="AI549" s="21" t="s">
        <v>564</v>
      </c>
      <c r="AJ549" s="28">
        <f t="shared" si="649"/>
        <v>0</v>
      </c>
      <c r="AK549" s="28">
        <f t="shared" si="650"/>
        <v>0</v>
      </c>
      <c r="AL549" s="28">
        <f t="shared" si="651"/>
        <v>0</v>
      </c>
      <c r="AN549" s="28">
        <v>21</v>
      </c>
      <c r="AO549" s="28">
        <f>H549*0.67609756097561</f>
        <v>0</v>
      </c>
      <c r="AP549" s="28">
        <f>H549*(1-0.67609756097561)</f>
        <v>0</v>
      </c>
      <c r="AQ549" s="30" t="s">
        <v>900</v>
      </c>
      <c r="AV549" s="28">
        <f t="shared" si="652"/>
        <v>0</v>
      </c>
      <c r="AW549" s="28">
        <f t="shared" si="653"/>
        <v>0</v>
      </c>
      <c r="AX549" s="28">
        <f t="shared" si="654"/>
        <v>0</v>
      </c>
      <c r="AY549" s="30" t="s">
        <v>562</v>
      </c>
      <c r="AZ549" s="30" t="s">
        <v>965</v>
      </c>
      <c r="BA549" s="21" t="s">
        <v>268</v>
      </c>
      <c r="BC549" s="28">
        <f t="shared" si="655"/>
        <v>0</v>
      </c>
      <c r="BD549" s="28">
        <f t="shared" si="656"/>
        <v>0</v>
      </c>
      <c r="BE549" s="28">
        <v>0</v>
      </c>
      <c r="BF549" s="28">
        <f>549</f>
        <v>549</v>
      </c>
      <c r="BH549" s="28">
        <f t="shared" si="657"/>
        <v>0</v>
      </c>
      <c r="BI549" s="28">
        <f t="shared" si="658"/>
        <v>0</v>
      </c>
      <c r="BJ549" s="28">
        <f t="shared" si="659"/>
        <v>0</v>
      </c>
      <c r="BK549" s="28"/>
      <c r="BL549" s="28">
        <v>722</v>
      </c>
      <c r="BW549" s="28">
        <v>21</v>
      </c>
    </row>
    <row r="550" spans="1:75" ht="13.5" customHeight="1">
      <c r="A550" s="38" t="s">
        <v>59</v>
      </c>
      <c r="B550" s="39" t="s">
        <v>564</v>
      </c>
      <c r="C550" s="39" t="s">
        <v>777</v>
      </c>
      <c r="D550" s="50" t="s">
        <v>1092</v>
      </c>
      <c r="E550" s="51"/>
      <c r="F550" s="39" t="s">
        <v>228</v>
      </c>
      <c r="G550" s="28">
        <v>1</v>
      </c>
      <c r="H550" s="120">
        <v>0</v>
      </c>
      <c r="I550" s="120">
        <f t="shared" si="640"/>
        <v>0</v>
      </c>
      <c r="K550" s="8"/>
      <c r="Z550" s="28">
        <f t="shared" si="641"/>
        <v>0</v>
      </c>
      <c r="AB550" s="28">
        <f t="shared" si="642"/>
        <v>0</v>
      </c>
      <c r="AC550" s="28">
        <f t="shared" si="643"/>
        <v>0</v>
      </c>
      <c r="AD550" s="28">
        <f t="shared" si="644"/>
        <v>0</v>
      </c>
      <c r="AE550" s="28">
        <f t="shared" si="645"/>
        <v>0</v>
      </c>
      <c r="AF550" s="28">
        <f t="shared" si="646"/>
        <v>0</v>
      </c>
      <c r="AG550" s="28">
        <f t="shared" si="647"/>
        <v>0</v>
      </c>
      <c r="AH550" s="28">
        <f t="shared" si="648"/>
        <v>0</v>
      </c>
      <c r="AI550" s="21" t="s">
        <v>564</v>
      </c>
      <c r="AJ550" s="28">
        <f t="shared" si="649"/>
        <v>0</v>
      </c>
      <c r="AK550" s="28">
        <f t="shared" si="650"/>
        <v>0</v>
      </c>
      <c r="AL550" s="28">
        <f t="shared" si="651"/>
        <v>0</v>
      </c>
      <c r="AN550" s="28">
        <v>21</v>
      </c>
      <c r="AO550" s="28">
        <f>H550*0.737401129943503</f>
        <v>0</v>
      </c>
      <c r="AP550" s="28">
        <f>H550*(1-0.737401129943503)</f>
        <v>0</v>
      </c>
      <c r="AQ550" s="30" t="s">
        <v>900</v>
      </c>
      <c r="AV550" s="28">
        <f t="shared" si="652"/>
        <v>0</v>
      </c>
      <c r="AW550" s="28">
        <f t="shared" si="653"/>
        <v>0</v>
      </c>
      <c r="AX550" s="28">
        <f t="shared" si="654"/>
        <v>0</v>
      </c>
      <c r="AY550" s="30" t="s">
        <v>562</v>
      </c>
      <c r="AZ550" s="30" t="s">
        <v>965</v>
      </c>
      <c r="BA550" s="21" t="s">
        <v>268</v>
      </c>
      <c r="BC550" s="28">
        <f t="shared" si="655"/>
        <v>0</v>
      </c>
      <c r="BD550" s="28">
        <f t="shared" si="656"/>
        <v>0</v>
      </c>
      <c r="BE550" s="28">
        <v>0</v>
      </c>
      <c r="BF550" s="28">
        <f>550</f>
        <v>550</v>
      </c>
      <c r="BH550" s="28">
        <f t="shared" si="657"/>
        <v>0</v>
      </c>
      <c r="BI550" s="28">
        <f t="shared" si="658"/>
        <v>0</v>
      </c>
      <c r="BJ550" s="28">
        <f t="shared" si="659"/>
        <v>0</v>
      </c>
      <c r="BK550" s="28"/>
      <c r="BL550" s="28">
        <v>722</v>
      </c>
      <c r="BW550" s="28">
        <v>21</v>
      </c>
    </row>
    <row r="551" spans="1:47" ht="15" customHeight="1">
      <c r="A551" s="3" t="s">
        <v>626</v>
      </c>
      <c r="B551" s="43" t="s">
        <v>564</v>
      </c>
      <c r="C551" s="43" t="s">
        <v>550</v>
      </c>
      <c r="D551" s="103" t="s">
        <v>995</v>
      </c>
      <c r="E551" s="104"/>
      <c r="F551" s="37" t="s">
        <v>836</v>
      </c>
      <c r="G551" s="37" t="s">
        <v>836</v>
      </c>
      <c r="H551" s="118" t="s">
        <v>836</v>
      </c>
      <c r="I551" s="119">
        <f>SUM(I552:I552)</f>
        <v>0</v>
      </c>
      <c r="K551" s="8"/>
      <c r="AI551" s="21" t="s">
        <v>564</v>
      </c>
      <c r="AS551" s="31">
        <f>SUM(AJ552:AJ552)</f>
        <v>0</v>
      </c>
      <c r="AT551" s="31">
        <f>SUM(AK552:AK552)</f>
        <v>0</v>
      </c>
      <c r="AU551" s="31">
        <f>SUM(AL552:AL552)</f>
        <v>0</v>
      </c>
    </row>
    <row r="552" spans="1:75" ht="13.5" customHeight="1">
      <c r="A552" s="38" t="s">
        <v>905</v>
      </c>
      <c r="B552" s="39" t="s">
        <v>564</v>
      </c>
      <c r="C552" s="39" t="s">
        <v>759</v>
      </c>
      <c r="D552" s="50" t="s">
        <v>780</v>
      </c>
      <c r="E552" s="51"/>
      <c r="F552" s="39" t="s">
        <v>311</v>
      </c>
      <c r="G552" s="28">
        <v>1</v>
      </c>
      <c r="H552" s="120">
        <v>0</v>
      </c>
      <c r="I552" s="120">
        <f>G552*H552</f>
        <v>0</v>
      </c>
      <c r="K552" s="8"/>
      <c r="Z552" s="28">
        <f>IF(AQ552="5",BJ552,0)</f>
        <v>0</v>
      </c>
      <c r="AB552" s="28">
        <f>IF(AQ552="1",BH552,0)</f>
        <v>0</v>
      </c>
      <c r="AC552" s="28">
        <f>IF(AQ552="1",BI552,0)</f>
        <v>0</v>
      </c>
      <c r="AD552" s="28">
        <f>IF(AQ552="7",BH552,0)</f>
        <v>0</v>
      </c>
      <c r="AE552" s="28">
        <f>IF(AQ552="7",BI552,0)</f>
        <v>0</v>
      </c>
      <c r="AF552" s="28">
        <f>IF(AQ552="2",BH552,0)</f>
        <v>0</v>
      </c>
      <c r="AG552" s="28">
        <f>IF(AQ552="2",BI552,0)</f>
        <v>0</v>
      </c>
      <c r="AH552" s="28">
        <f>IF(AQ552="0",BJ552,0)</f>
        <v>0</v>
      </c>
      <c r="AI552" s="21" t="s">
        <v>564</v>
      </c>
      <c r="AJ552" s="28">
        <f>IF(AN552=0,I552,0)</f>
        <v>0</v>
      </c>
      <c r="AK552" s="28">
        <f>IF(AN552=12,I552,0)</f>
        <v>0</v>
      </c>
      <c r="AL552" s="28">
        <f>IF(AN552=21,I552,0)</f>
        <v>0</v>
      </c>
      <c r="AN552" s="28">
        <v>21</v>
      </c>
      <c r="AO552" s="28">
        <f>H552*0.346020761245675</f>
        <v>0</v>
      </c>
      <c r="AP552" s="28">
        <f>H552*(1-0.346020761245675)</f>
        <v>0</v>
      </c>
      <c r="AQ552" s="30" t="s">
        <v>900</v>
      </c>
      <c r="AV552" s="28">
        <f>AW552+AX552</f>
        <v>0</v>
      </c>
      <c r="AW552" s="28">
        <f>G552*AO552</f>
        <v>0</v>
      </c>
      <c r="AX552" s="28">
        <f>G552*AP552</f>
        <v>0</v>
      </c>
      <c r="AY552" s="30" t="s">
        <v>817</v>
      </c>
      <c r="AZ552" s="30" t="s">
        <v>470</v>
      </c>
      <c r="BA552" s="21" t="s">
        <v>268</v>
      </c>
      <c r="BC552" s="28">
        <f>AW552+AX552</f>
        <v>0</v>
      </c>
      <c r="BD552" s="28">
        <f>H552/(100-BE552)*100</f>
        <v>0</v>
      </c>
      <c r="BE552" s="28">
        <v>0</v>
      </c>
      <c r="BF552" s="28">
        <f>552</f>
        <v>552</v>
      </c>
      <c r="BH552" s="28">
        <f>G552*AO552</f>
        <v>0</v>
      </c>
      <c r="BI552" s="28">
        <f>G552*AP552</f>
        <v>0</v>
      </c>
      <c r="BJ552" s="28">
        <f>G552*H552</f>
        <v>0</v>
      </c>
      <c r="BK552" s="28"/>
      <c r="BL552" s="28">
        <v>73</v>
      </c>
      <c r="BW552" s="28">
        <v>21</v>
      </c>
    </row>
    <row r="553" spans="1:47" ht="15" customHeight="1">
      <c r="A553" s="3" t="s">
        <v>626</v>
      </c>
      <c r="B553" s="43" t="s">
        <v>564</v>
      </c>
      <c r="C553" s="43" t="s">
        <v>595</v>
      </c>
      <c r="D553" s="103" t="s">
        <v>898</v>
      </c>
      <c r="E553" s="104"/>
      <c r="F553" s="37" t="s">
        <v>836</v>
      </c>
      <c r="G553" s="37" t="s">
        <v>836</v>
      </c>
      <c r="H553" s="118" t="s">
        <v>836</v>
      </c>
      <c r="I553" s="119">
        <f>SUM(I554:I560)</f>
        <v>0</v>
      </c>
      <c r="K553" s="8"/>
      <c r="AI553" s="21" t="s">
        <v>564</v>
      </c>
      <c r="AS553" s="31">
        <f>SUM(AJ554:AJ560)</f>
        <v>0</v>
      </c>
      <c r="AT553" s="31">
        <f>SUM(AK554:AK560)</f>
        <v>0</v>
      </c>
      <c r="AU553" s="31">
        <f>SUM(AL554:AL560)</f>
        <v>0</v>
      </c>
    </row>
    <row r="554" spans="1:75" ht="13.5" customHeight="1">
      <c r="A554" s="38" t="s">
        <v>299</v>
      </c>
      <c r="B554" s="39" t="s">
        <v>564</v>
      </c>
      <c r="C554" s="39" t="s">
        <v>118</v>
      </c>
      <c r="D554" s="50" t="s">
        <v>325</v>
      </c>
      <c r="E554" s="51"/>
      <c r="F554" s="39" t="s">
        <v>311</v>
      </c>
      <c r="G554" s="28">
        <v>9</v>
      </c>
      <c r="H554" s="120">
        <v>0</v>
      </c>
      <c r="I554" s="120">
        <f aca="true" t="shared" si="660" ref="I554:I560">G554*H554</f>
        <v>0</v>
      </c>
      <c r="K554" s="8"/>
      <c r="Z554" s="28">
        <f aca="true" t="shared" si="661" ref="Z554:Z560">IF(AQ554="5",BJ554,0)</f>
        <v>0</v>
      </c>
      <c r="AB554" s="28">
        <f aca="true" t="shared" si="662" ref="AB554:AB560">IF(AQ554="1",BH554,0)</f>
        <v>0</v>
      </c>
      <c r="AC554" s="28">
        <f aca="true" t="shared" si="663" ref="AC554:AC560">IF(AQ554="1",BI554,0)</f>
        <v>0</v>
      </c>
      <c r="AD554" s="28">
        <f aca="true" t="shared" si="664" ref="AD554:AD560">IF(AQ554="7",BH554,0)</f>
        <v>0</v>
      </c>
      <c r="AE554" s="28">
        <f aca="true" t="shared" si="665" ref="AE554:AE560">IF(AQ554="7",BI554,0)</f>
        <v>0</v>
      </c>
      <c r="AF554" s="28">
        <f aca="true" t="shared" si="666" ref="AF554:AF560">IF(AQ554="2",BH554,0)</f>
        <v>0</v>
      </c>
      <c r="AG554" s="28">
        <f aca="true" t="shared" si="667" ref="AG554:AG560">IF(AQ554="2",BI554,0)</f>
        <v>0</v>
      </c>
      <c r="AH554" s="28">
        <f aca="true" t="shared" si="668" ref="AH554:AH560">IF(AQ554="0",BJ554,0)</f>
        <v>0</v>
      </c>
      <c r="AI554" s="21" t="s">
        <v>564</v>
      </c>
      <c r="AJ554" s="28">
        <f aca="true" t="shared" si="669" ref="AJ554:AJ560">IF(AN554=0,I554,0)</f>
        <v>0</v>
      </c>
      <c r="AK554" s="28">
        <f aca="true" t="shared" si="670" ref="AK554:AK560">IF(AN554=12,I554,0)</f>
        <v>0</v>
      </c>
      <c r="AL554" s="28">
        <f aca="true" t="shared" si="671" ref="AL554:AL560">IF(AN554=21,I554,0)</f>
        <v>0</v>
      </c>
      <c r="AN554" s="28">
        <v>21</v>
      </c>
      <c r="AO554" s="28">
        <f>H554*0.658518518518519</f>
        <v>0</v>
      </c>
      <c r="AP554" s="28">
        <f>H554*(1-0.658518518518519)</f>
        <v>0</v>
      </c>
      <c r="AQ554" s="30" t="s">
        <v>900</v>
      </c>
      <c r="AV554" s="28">
        <f aca="true" t="shared" si="672" ref="AV554:AV560">AW554+AX554</f>
        <v>0</v>
      </c>
      <c r="AW554" s="28">
        <f aca="true" t="shared" si="673" ref="AW554:AW560">G554*AO554</f>
        <v>0</v>
      </c>
      <c r="AX554" s="28">
        <f aca="true" t="shared" si="674" ref="AX554:AX560">G554*AP554</f>
        <v>0</v>
      </c>
      <c r="AY554" s="30" t="s">
        <v>399</v>
      </c>
      <c r="AZ554" s="30" t="s">
        <v>470</v>
      </c>
      <c r="BA554" s="21" t="s">
        <v>268</v>
      </c>
      <c r="BC554" s="28">
        <f aca="true" t="shared" si="675" ref="BC554:BC560">AW554+AX554</f>
        <v>0</v>
      </c>
      <c r="BD554" s="28">
        <f aca="true" t="shared" si="676" ref="BD554:BD560">H554/(100-BE554)*100</f>
        <v>0</v>
      </c>
      <c r="BE554" s="28">
        <v>0</v>
      </c>
      <c r="BF554" s="28">
        <f>554</f>
        <v>554</v>
      </c>
      <c r="BH554" s="28">
        <f aca="true" t="shared" si="677" ref="BH554:BH560">G554*AO554</f>
        <v>0</v>
      </c>
      <c r="BI554" s="28">
        <f aca="true" t="shared" si="678" ref="BI554:BI560">G554*AP554</f>
        <v>0</v>
      </c>
      <c r="BJ554" s="28">
        <f aca="true" t="shared" si="679" ref="BJ554:BJ560">G554*H554</f>
        <v>0</v>
      </c>
      <c r="BK554" s="28"/>
      <c r="BL554" s="28">
        <v>732</v>
      </c>
      <c r="BW554" s="28">
        <v>21</v>
      </c>
    </row>
    <row r="555" spans="1:75" ht="13.5" customHeight="1">
      <c r="A555" s="38" t="s">
        <v>130</v>
      </c>
      <c r="B555" s="39" t="s">
        <v>564</v>
      </c>
      <c r="C555" s="39" t="s">
        <v>703</v>
      </c>
      <c r="D555" s="50" t="s">
        <v>666</v>
      </c>
      <c r="E555" s="51"/>
      <c r="F555" s="39" t="s">
        <v>741</v>
      </c>
      <c r="G555" s="28">
        <v>2</v>
      </c>
      <c r="H555" s="120">
        <v>0</v>
      </c>
      <c r="I555" s="120">
        <f t="shared" si="660"/>
        <v>0</v>
      </c>
      <c r="K555" s="8"/>
      <c r="Z555" s="28">
        <f t="shared" si="661"/>
        <v>0</v>
      </c>
      <c r="AB555" s="28">
        <f t="shared" si="662"/>
        <v>0</v>
      </c>
      <c r="AC555" s="28">
        <f t="shared" si="663"/>
        <v>0</v>
      </c>
      <c r="AD555" s="28">
        <f t="shared" si="664"/>
        <v>0</v>
      </c>
      <c r="AE555" s="28">
        <f t="shared" si="665"/>
        <v>0</v>
      </c>
      <c r="AF555" s="28">
        <f t="shared" si="666"/>
        <v>0</v>
      </c>
      <c r="AG555" s="28">
        <f t="shared" si="667"/>
        <v>0</v>
      </c>
      <c r="AH555" s="28">
        <f t="shared" si="668"/>
        <v>0</v>
      </c>
      <c r="AI555" s="21" t="s">
        <v>564</v>
      </c>
      <c r="AJ555" s="28">
        <f t="shared" si="669"/>
        <v>0</v>
      </c>
      <c r="AK555" s="28">
        <f t="shared" si="670"/>
        <v>0</v>
      </c>
      <c r="AL555" s="28">
        <f t="shared" si="671"/>
        <v>0</v>
      </c>
      <c r="AN555" s="28">
        <v>21</v>
      </c>
      <c r="AO555" s="28">
        <f>H555*0</f>
        <v>0</v>
      </c>
      <c r="AP555" s="28">
        <f>H555*(1-0)</f>
        <v>0</v>
      </c>
      <c r="AQ555" s="30" t="s">
        <v>900</v>
      </c>
      <c r="AV555" s="28">
        <f t="shared" si="672"/>
        <v>0</v>
      </c>
      <c r="AW555" s="28">
        <f t="shared" si="673"/>
        <v>0</v>
      </c>
      <c r="AX555" s="28">
        <f t="shared" si="674"/>
        <v>0</v>
      </c>
      <c r="AY555" s="30" t="s">
        <v>399</v>
      </c>
      <c r="AZ555" s="30" t="s">
        <v>470</v>
      </c>
      <c r="BA555" s="21" t="s">
        <v>268</v>
      </c>
      <c r="BC555" s="28">
        <f t="shared" si="675"/>
        <v>0</v>
      </c>
      <c r="BD555" s="28">
        <f t="shared" si="676"/>
        <v>0</v>
      </c>
      <c r="BE555" s="28">
        <v>0</v>
      </c>
      <c r="BF555" s="28">
        <f>555</f>
        <v>555</v>
      </c>
      <c r="BH555" s="28">
        <f t="shared" si="677"/>
        <v>0</v>
      </c>
      <c r="BI555" s="28">
        <f t="shared" si="678"/>
        <v>0</v>
      </c>
      <c r="BJ555" s="28">
        <f t="shared" si="679"/>
        <v>0</v>
      </c>
      <c r="BK555" s="28"/>
      <c r="BL555" s="28">
        <v>732</v>
      </c>
      <c r="BW555" s="28">
        <v>21</v>
      </c>
    </row>
    <row r="556" spans="1:75" ht="13.5" customHeight="1">
      <c r="A556" s="38" t="s">
        <v>915</v>
      </c>
      <c r="B556" s="39" t="s">
        <v>564</v>
      </c>
      <c r="C556" s="39" t="s">
        <v>117</v>
      </c>
      <c r="D556" s="50" t="s">
        <v>34</v>
      </c>
      <c r="E556" s="51"/>
      <c r="F556" s="39" t="s">
        <v>228</v>
      </c>
      <c r="G556" s="28">
        <v>1</v>
      </c>
      <c r="H556" s="120">
        <v>0</v>
      </c>
      <c r="I556" s="120">
        <f t="shared" si="660"/>
        <v>0</v>
      </c>
      <c r="K556" s="8"/>
      <c r="Z556" s="28">
        <f t="shared" si="661"/>
        <v>0</v>
      </c>
      <c r="AB556" s="28">
        <f t="shared" si="662"/>
        <v>0</v>
      </c>
      <c r="AC556" s="28">
        <f t="shared" si="663"/>
        <v>0</v>
      </c>
      <c r="AD556" s="28">
        <f t="shared" si="664"/>
        <v>0</v>
      </c>
      <c r="AE556" s="28">
        <f t="shared" si="665"/>
        <v>0</v>
      </c>
      <c r="AF556" s="28">
        <f t="shared" si="666"/>
        <v>0</v>
      </c>
      <c r="AG556" s="28">
        <f t="shared" si="667"/>
        <v>0</v>
      </c>
      <c r="AH556" s="28">
        <f t="shared" si="668"/>
        <v>0</v>
      </c>
      <c r="AI556" s="21" t="s">
        <v>564</v>
      </c>
      <c r="AJ556" s="28">
        <f t="shared" si="669"/>
        <v>0</v>
      </c>
      <c r="AK556" s="28">
        <f t="shared" si="670"/>
        <v>0</v>
      </c>
      <c r="AL556" s="28">
        <f t="shared" si="671"/>
        <v>0</v>
      </c>
      <c r="AN556" s="28">
        <v>21</v>
      </c>
      <c r="AO556" s="28">
        <f>H556*0.674383346425766</f>
        <v>0</v>
      </c>
      <c r="AP556" s="28">
        <f>H556*(1-0.674383346425766)</f>
        <v>0</v>
      </c>
      <c r="AQ556" s="30" t="s">
        <v>900</v>
      </c>
      <c r="AV556" s="28">
        <f t="shared" si="672"/>
        <v>0</v>
      </c>
      <c r="AW556" s="28">
        <f t="shared" si="673"/>
        <v>0</v>
      </c>
      <c r="AX556" s="28">
        <f t="shared" si="674"/>
        <v>0</v>
      </c>
      <c r="AY556" s="30" t="s">
        <v>399</v>
      </c>
      <c r="AZ556" s="30" t="s">
        <v>470</v>
      </c>
      <c r="BA556" s="21" t="s">
        <v>268</v>
      </c>
      <c r="BC556" s="28">
        <f t="shared" si="675"/>
        <v>0</v>
      </c>
      <c r="BD556" s="28">
        <f t="shared" si="676"/>
        <v>0</v>
      </c>
      <c r="BE556" s="28">
        <v>0</v>
      </c>
      <c r="BF556" s="28">
        <f>556</f>
        <v>556</v>
      </c>
      <c r="BH556" s="28">
        <f t="shared" si="677"/>
        <v>0</v>
      </c>
      <c r="BI556" s="28">
        <f t="shared" si="678"/>
        <v>0</v>
      </c>
      <c r="BJ556" s="28">
        <f t="shared" si="679"/>
        <v>0</v>
      </c>
      <c r="BK556" s="28"/>
      <c r="BL556" s="28">
        <v>732</v>
      </c>
      <c r="BW556" s="28">
        <v>21</v>
      </c>
    </row>
    <row r="557" spans="1:75" ht="13.5" customHeight="1">
      <c r="A557" s="38" t="s">
        <v>600</v>
      </c>
      <c r="B557" s="39" t="s">
        <v>564</v>
      </c>
      <c r="C557" s="39" t="s">
        <v>290</v>
      </c>
      <c r="D557" s="50" t="s">
        <v>886</v>
      </c>
      <c r="E557" s="51"/>
      <c r="F557" s="39" t="s">
        <v>228</v>
      </c>
      <c r="G557" s="28">
        <v>2</v>
      </c>
      <c r="H557" s="120">
        <v>0</v>
      </c>
      <c r="I557" s="120">
        <f t="shared" si="660"/>
        <v>0</v>
      </c>
      <c r="K557" s="8"/>
      <c r="Z557" s="28">
        <f t="shared" si="661"/>
        <v>0</v>
      </c>
      <c r="AB557" s="28">
        <f t="shared" si="662"/>
        <v>0</v>
      </c>
      <c r="AC557" s="28">
        <f t="shared" si="663"/>
        <v>0</v>
      </c>
      <c r="AD557" s="28">
        <f t="shared" si="664"/>
        <v>0</v>
      </c>
      <c r="AE557" s="28">
        <f t="shared" si="665"/>
        <v>0</v>
      </c>
      <c r="AF557" s="28">
        <f t="shared" si="666"/>
        <v>0</v>
      </c>
      <c r="AG557" s="28">
        <f t="shared" si="667"/>
        <v>0</v>
      </c>
      <c r="AH557" s="28">
        <f t="shared" si="668"/>
        <v>0</v>
      </c>
      <c r="AI557" s="21" t="s">
        <v>564</v>
      </c>
      <c r="AJ557" s="28">
        <f t="shared" si="669"/>
        <v>0</v>
      </c>
      <c r="AK557" s="28">
        <f t="shared" si="670"/>
        <v>0</v>
      </c>
      <c r="AL557" s="28">
        <f t="shared" si="671"/>
        <v>0</v>
      </c>
      <c r="AN557" s="28">
        <v>21</v>
      </c>
      <c r="AO557" s="28">
        <f>H557*0.532435331230284</f>
        <v>0</v>
      </c>
      <c r="AP557" s="28">
        <f>H557*(1-0.532435331230284)</f>
        <v>0</v>
      </c>
      <c r="AQ557" s="30" t="s">
        <v>900</v>
      </c>
      <c r="AV557" s="28">
        <f t="shared" si="672"/>
        <v>0</v>
      </c>
      <c r="AW557" s="28">
        <f t="shared" si="673"/>
        <v>0</v>
      </c>
      <c r="AX557" s="28">
        <f t="shared" si="674"/>
        <v>0</v>
      </c>
      <c r="AY557" s="30" t="s">
        <v>399</v>
      </c>
      <c r="AZ557" s="30" t="s">
        <v>470</v>
      </c>
      <c r="BA557" s="21" t="s">
        <v>268</v>
      </c>
      <c r="BC557" s="28">
        <f t="shared" si="675"/>
        <v>0</v>
      </c>
      <c r="BD557" s="28">
        <f t="shared" si="676"/>
        <v>0</v>
      </c>
      <c r="BE557" s="28">
        <v>0</v>
      </c>
      <c r="BF557" s="28">
        <f>557</f>
        <v>557</v>
      </c>
      <c r="BH557" s="28">
        <f t="shared" si="677"/>
        <v>0</v>
      </c>
      <c r="BI557" s="28">
        <f t="shared" si="678"/>
        <v>0</v>
      </c>
      <c r="BJ557" s="28">
        <f t="shared" si="679"/>
        <v>0</v>
      </c>
      <c r="BK557" s="28"/>
      <c r="BL557" s="28">
        <v>732</v>
      </c>
      <c r="BW557" s="28">
        <v>21</v>
      </c>
    </row>
    <row r="558" spans="1:75" ht="13.5" customHeight="1">
      <c r="A558" s="38" t="s">
        <v>513</v>
      </c>
      <c r="B558" s="39" t="s">
        <v>564</v>
      </c>
      <c r="C558" s="39" t="s">
        <v>949</v>
      </c>
      <c r="D558" s="50" t="s">
        <v>1049</v>
      </c>
      <c r="E558" s="51"/>
      <c r="F558" s="39" t="s">
        <v>626</v>
      </c>
      <c r="G558" s="28">
        <v>1</v>
      </c>
      <c r="H558" s="120">
        <v>0</v>
      </c>
      <c r="I558" s="120">
        <f t="shared" si="660"/>
        <v>0</v>
      </c>
      <c r="K558" s="8"/>
      <c r="Z558" s="28">
        <f t="shared" si="661"/>
        <v>0</v>
      </c>
      <c r="AB558" s="28">
        <f t="shared" si="662"/>
        <v>0</v>
      </c>
      <c r="AC558" s="28">
        <f t="shared" si="663"/>
        <v>0</v>
      </c>
      <c r="AD558" s="28">
        <f t="shared" si="664"/>
        <v>0</v>
      </c>
      <c r="AE558" s="28">
        <f t="shared" si="665"/>
        <v>0</v>
      </c>
      <c r="AF558" s="28">
        <f t="shared" si="666"/>
        <v>0</v>
      </c>
      <c r="AG558" s="28">
        <f t="shared" si="667"/>
        <v>0</v>
      </c>
      <c r="AH558" s="28">
        <f t="shared" si="668"/>
        <v>0</v>
      </c>
      <c r="AI558" s="21" t="s">
        <v>564</v>
      </c>
      <c r="AJ558" s="28">
        <f t="shared" si="669"/>
        <v>0</v>
      </c>
      <c r="AK558" s="28">
        <f t="shared" si="670"/>
        <v>0</v>
      </c>
      <c r="AL558" s="28">
        <f t="shared" si="671"/>
        <v>0</v>
      </c>
      <c r="AN558" s="28">
        <v>21</v>
      </c>
      <c r="AO558" s="28">
        <f>H558*0.974240082431736</f>
        <v>0</v>
      </c>
      <c r="AP558" s="28">
        <f>H558*(1-0.974240082431736)</f>
        <v>0</v>
      </c>
      <c r="AQ558" s="30" t="s">
        <v>900</v>
      </c>
      <c r="AV558" s="28">
        <f t="shared" si="672"/>
        <v>0</v>
      </c>
      <c r="AW558" s="28">
        <f t="shared" si="673"/>
        <v>0</v>
      </c>
      <c r="AX558" s="28">
        <f t="shared" si="674"/>
        <v>0</v>
      </c>
      <c r="AY558" s="30" t="s">
        <v>399</v>
      </c>
      <c r="AZ558" s="30" t="s">
        <v>470</v>
      </c>
      <c r="BA558" s="21" t="s">
        <v>268</v>
      </c>
      <c r="BC558" s="28">
        <f t="shared" si="675"/>
        <v>0</v>
      </c>
      <c r="BD558" s="28">
        <f t="shared" si="676"/>
        <v>0</v>
      </c>
      <c r="BE558" s="28">
        <v>0</v>
      </c>
      <c r="BF558" s="28">
        <f>558</f>
        <v>558</v>
      </c>
      <c r="BH558" s="28">
        <f t="shared" si="677"/>
        <v>0</v>
      </c>
      <c r="BI558" s="28">
        <f t="shared" si="678"/>
        <v>0</v>
      </c>
      <c r="BJ558" s="28">
        <f t="shared" si="679"/>
        <v>0</v>
      </c>
      <c r="BK558" s="28"/>
      <c r="BL558" s="28">
        <v>732</v>
      </c>
      <c r="BW558" s="28">
        <v>21</v>
      </c>
    </row>
    <row r="559" spans="1:75" ht="13.5" customHeight="1">
      <c r="A559" s="38" t="s">
        <v>493</v>
      </c>
      <c r="B559" s="39" t="s">
        <v>564</v>
      </c>
      <c r="C559" s="39" t="s">
        <v>834</v>
      </c>
      <c r="D559" s="50" t="s">
        <v>960</v>
      </c>
      <c r="E559" s="51"/>
      <c r="F559" s="39" t="s">
        <v>228</v>
      </c>
      <c r="G559" s="28">
        <v>1</v>
      </c>
      <c r="H559" s="120">
        <v>0</v>
      </c>
      <c r="I559" s="120">
        <f t="shared" si="660"/>
        <v>0</v>
      </c>
      <c r="K559" s="8"/>
      <c r="Z559" s="28">
        <f t="shared" si="661"/>
        <v>0</v>
      </c>
      <c r="AB559" s="28">
        <f t="shared" si="662"/>
        <v>0</v>
      </c>
      <c r="AC559" s="28">
        <f t="shared" si="663"/>
        <v>0</v>
      </c>
      <c r="AD559" s="28">
        <f t="shared" si="664"/>
        <v>0</v>
      </c>
      <c r="AE559" s="28">
        <f t="shared" si="665"/>
        <v>0</v>
      </c>
      <c r="AF559" s="28">
        <f t="shared" si="666"/>
        <v>0</v>
      </c>
      <c r="AG559" s="28">
        <f t="shared" si="667"/>
        <v>0</v>
      </c>
      <c r="AH559" s="28">
        <f t="shared" si="668"/>
        <v>0</v>
      </c>
      <c r="AI559" s="21" t="s">
        <v>564</v>
      </c>
      <c r="AJ559" s="28">
        <f t="shared" si="669"/>
        <v>0</v>
      </c>
      <c r="AK559" s="28">
        <f t="shared" si="670"/>
        <v>0</v>
      </c>
      <c r="AL559" s="28">
        <f t="shared" si="671"/>
        <v>0</v>
      </c>
      <c r="AN559" s="28">
        <v>21</v>
      </c>
      <c r="AO559" s="28">
        <f>H559*1</f>
        <v>0</v>
      </c>
      <c r="AP559" s="28">
        <f>H559*(1-1)</f>
        <v>0</v>
      </c>
      <c r="AQ559" s="30" t="s">
        <v>900</v>
      </c>
      <c r="AV559" s="28">
        <f t="shared" si="672"/>
        <v>0</v>
      </c>
      <c r="AW559" s="28">
        <f t="shared" si="673"/>
        <v>0</v>
      </c>
      <c r="AX559" s="28">
        <f t="shared" si="674"/>
        <v>0</v>
      </c>
      <c r="AY559" s="30" t="s">
        <v>399</v>
      </c>
      <c r="AZ559" s="30" t="s">
        <v>470</v>
      </c>
      <c r="BA559" s="21" t="s">
        <v>268</v>
      </c>
      <c r="BC559" s="28">
        <f t="shared" si="675"/>
        <v>0</v>
      </c>
      <c r="BD559" s="28">
        <f t="shared" si="676"/>
        <v>0</v>
      </c>
      <c r="BE559" s="28">
        <v>0</v>
      </c>
      <c r="BF559" s="28">
        <f>559</f>
        <v>559</v>
      </c>
      <c r="BH559" s="28">
        <f t="shared" si="677"/>
        <v>0</v>
      </c>
      <c r="BI559" s="28">
        <f t="shared" si="678"/>
        <v>0</v>
      </c>
      <c r="BJ559" s="28">
        <f t="shared" si="679"/>
        <v>0</v>
      </c>
      <c r="BK559" s="28"/>
      <c r="BL559" s="28">
        <v>732</v>
      </c>
      <c r="BW559" s="28">
        <v>21</v>
      </c>
    </row>
    <row r="560" spans="1:75" ht="13.5" customHeight="1">
      <c r="A560" s="38" t="s">
        <v>103</v>
      </c>
      <c r="B560" s="39" t="s">
        <v>564</v>
      </c>
      <c r="C560" s="39" t="s">
        <v>491</v>
      </c>
      <c r="D560" s="50" t="s">
        <v>123</v>
      </c>
      <c r="E560" s="51"/>
      <c r="F560" s="39" t="s">
        <v>311</v>
      </c>
      <c r="G560" s="28">
        <v>1</v>
      </c>
      <c r="H560" s="120">
        <v>0</v>
      </c>
      <c r="I560" s="120">
        <f t="shared" si="660"/>
        <v>0</v>
      </c>
      <c r="K560" s="8"/>
      <c r="Z560" s="28">
        <f t="shared" si="661"/>
        <v>0</v>
      </c>
      <c r="AB560" s="28">
        <f t="shared" si="662"/>
        <v>0</v>
      </c>
      <c r="AC560" s="28">
        <f t="shared" si="663"/>
        <v>0</v>
      </c>
      <c r="AD560" s="28">
        <f t="shared" si="664"/>
        <v>0</v>
      </c>
      <c r="AE560" s="28">
        <f t="shared" si="665"/>
        <v>0</v>
      </c>
      <c r="AF560" s="28">
        <f t="shared" si="666"/>
        <v>0</v>
      </c>
      <c r="AG560" s="28">
        <f t="shared" si="667"/>
        <v>0</v>
      </c>
      <c r="AH560" s="28">
        <f t="shared" si="668"/>
        <v>0</v>
      </c>
      <c r="AI560" s="21" t="s">
        <v>564</v>
      </c>
      <c r="AJ560" s="28">
        <f t="shared" si="669"/>
        <v>0</v>
      </c>
      <c r="AK560" s="28">
        <f t="shared" si="670"/>
        <v>0</v>
      </c>
      <c r="AL560" s="28">
        <f t="shared" si="671"/>
        <v>0</v>
      </c>
      <c r="AN560" s="28">
        <v>21</v>
      </c>
      <c r="AO560" s="28">
        <f>H560*0.642985041792658</f>
        <v>0</v>
      </c>
      <c r="AP560" s="28">
        <f>H560*(1-0.642985041792658)</f>
        <v>0</v>
      </c>
      <c r="AQ560" s="30" t="s">
        <v>900</v>
      </c>
      <c r="AV560" s="28">
        <f t="shared" si="672"/>
        <v>0</v>
      </c>
      <c r="AW560" s="28">
        <f t="shared" si="673"/>
        <v>0</v>
      </c>
      <c r="AX560" s="28">
        <f t="shared" si="674"/>
        <v>0</v>
      </c>
      <c r="AY560" s="30" t="s">
        <v>399</v>
      </c>
      <c r="AZ560" s="30" t="s">
        <v>470</v>
      </c>
      <c r="BA560" s="21" t="s">
        <v>268</v>
      </c>
      <c r="BC560" s="28">
        <f t="shared" si="675"/>
        <v>0</v>
      </c>
      <c r="BD560" s="28">
        <f t="shared" si="676"/>
        <v>0</v>
      </c>
      <c r="BE560" s="28">
        <v>0</v>
      </c>
      <c r="BF560" s="28">
        <f>560</f>
        <v>560</v>
      </c>
      <c r="BH560" s="28">
        <f t="shared" si="677"/>
        <v>0</v>
      </c>
      <c r="BI560" s="28">
        <f t="shared" si="678"/>
        <v>0</v>
      </c>
      <c r="BJ560" s="28">
        <f t="shared" si="679"/>
        <v>0</v>
      </c>
      <c r="BK560" s="28"/>
      <c r="BL560" s="28">
        <v>732</v>
      </c>
      <c r="BW560" s="28">
        <v>21</v>
      </c>
    </row>
    <row r="561" spans="1:47" ht="15" customHeight="1">
      <c r="A561" s="3" t="s">
        <v>626</v>
      </c>
      <c r="B561" s="43" t="s">
        <v>564</v>
      </c>
      <c r="C561" s="43" t="s">
        <v>922</v>
      </c>
      <c r="D561" s="103" t="s">
        <v>754</v>
      </c>
      <c r="E561" s="104"/>
      <c r="F561" s="37" t="s">
        <v>836</v>
      </c>
      <c r="G561" s="37" t="s">
        <v>836</v>
      </c>
      <c r="H561" s="118" t="s">
        <v>836</v>
      </c>
      <c r="I561" s="119">
        <f>SUM(I562:I572)</f>
        <v>0</v>
      </c>
      <c r="K561" s="8"/>
      <c r="AI561" s="21" t="s">
        <v>564</v>
      </c>
      <c r="AS561" s="31">
        <f>SUM(AJ562:AJ572)</f>
        <v>0</v>
      </c>
      <c r="AT561" s="31">
        <f>SUM(AK562:AK572)</f>
        <v>0</v>
      </c>
      <c r="AU561" s="31">
        <f>SUM(AL562:AL572)</f>
        <v>0</v>
      </c>
    </row>
    <row r="562" spans="1:75" ht="13.5" customHeight="1">
      <c r="A562" s="38" t="s">
        <v>1019</v>
      </c>
      <c r="B562" s="39" t="s">
        <v>564</v>
      </c>
      <c r="C562" s="39" t="s">
        <v>919</v>
      </c>
      <c r="D562" s="50" t="s">
        <v>556</v>
      </c>
      <c r="E562" s="51"/>
      <c r="F562" s="39" t="s">
        <v>228</v>
      </c>
      <c r="G562" s="28">
        <v>4</v>
      </c>
      <c r="H562" s="120">
        <v>0</v>
      </c>
      <c r="I562" s="120">
        <f aca="true" t="shared" si="680" ref="I562:I572">G562*H562</f>
        <v>0</v>
      </c>
      <c r="K562" s="8"/>
      <c r="Z562" s="28">
        <f aca="true" t="shared" si="681" ref="Z562:Z572">IF(AQ562="5",BJ562,0)</f>
        <v>0</v>
      </c>
      <c r="AB562" s="28">
        <f aca="true" t="shared" si="682" ref="AB562:AB572">IF(AQ562="1",BH562,0)</f>
        <v>0</v>
      </c>
      <c r="AC562" s="28">
        <f aca="true" t="shared" si="683" ref="AC562:AC572">IF(AQ562="1",BI562,0)</f>
        <v>0</v>
      </c>
      <c r="AD562" s="28">
        <f aca="true" t="shared" si="684" ref="AD562:AD572">IF(AQ562="7",BH562,0)</f>
        <v>0</v>
      </c>
      <c r="AE562" s="28">
        <f aca="true" t="shared" si="685" ref="AE562:AE572">IF(AQ562="7",BI562,0)</f>
        <v>0</v>
      </c>
      <c r="AF562" s="28">
        <f aca="true" t="shared" si="686" ref="AF562:AF572">IF(AQ562="2",BH562,0)</f>
        <v>0</v>
      </c>
      <c r="AG562" s="28">
        <f aca="true" t="shared" si="687" ref="AG562:AG572">IF(AQ562="2",BI562,0)</f>
        <v>0</v>
      </c>
      <c r="AH562" s="28">
        <f aca="true" t="shared" si="688" ref="AH562:AH572">IF(AQ562="0",BJ562,0)</f>
        <v>0</v>
      </c>
      <c r="AI562" s="21" t="s">
        <v>564</v>
      </c>
      <c r="AJ562" s="28">
        <f aca="true" t="shared" si="689" ref="AJ562:AJ572">IF(AN562=0,I562,0)</f>
        <v>0</v>
      </c>
      <c r="AK562" s="28">
        <f aca="true" t="shared" si="690" ref="AK562:AK572">IF(AN562=12,I562,0)</f>
        <v>0</v>
      </c>
      <c r="AL562" s="28">
        <f aca="true" t="shared" si="691" ref="AL562:AL572">IF(AN562=21,I562,0)</f>
        <v>0</v>
      </c>
      <c r="AN562" s="28">
        <v>21</v>
      </c>
      <c r="AO562" s="28">
        <f>H562*0.620309050772627</f>
        <v>0</v>
      </c>
      <c r="AP562" s="28">
        <f>H562*(1-0.620309050772627)</f>
        <v>0</v>
      </c>
      <c r="AQ562" s="30" t="s">
        <v>900</v>
      </c>
      <c r="AV562" s="28">
        <f aca="true" t="shared" si="692" ref="AV562:AV572">AW562+AX562</f>
        <v>0</v>
      </c>
      <c r="AW562" s="28">
        <f aca="true" t="shared" si="693" ref="AW562:AW572">G562*AO562</f>
        <v>0</v>
      </c>
      <c r="AX562" s="28">
        <f aca="true" t="shared" si="694" ref="AX562:AX572">G562*AP562</f>
        <v>0</v>
      </c>
      <c r="AY562" s="30" t="s">
        <v>92</v>
      </c>
      <c r="AZ562" s="30" t="s">
        <v>470</v>
      </c>
      <c r="BA562" s="21" t="s">
        <v>268</v>
      </c>
      <c r="BC562" s="28">
        <f aca="true" t="shared" si="695" ref="BC562:BC572">AW562+AX562</f>
        <v>0</v>
      </c>
      <c r="BD562" s="28">
        <f aca="true" t="shared" si="696" ref="BD562:BD572">H562/(100-BE562)*100</f>
        <v>0</v>
      </c>
      <c r="BE562" s="28">
        <v>0</v>
      </c>
      <c r="BF562" s="28">
        <f>562</f>
        <v>562</v>
      </c>
      <c r="BH562" s="28">
        <f aca="true" t="shared" si="697" ref="BH562:BH572">G562*AO562</f>
        <v>0</v>
      </c>
      <c r="BI562" s="28">
        <f aca="true" t="shared" si="698" ref="BI562:BI572">G562*AP562</f>
        <v>0</v>
      </c>
      <c r="BJ562" s="28">
        <f aca="true" t="shared" si="699" ref="BJ562:BJ572">G562*H562</f>
        <v>0</v>
      </c>
      <c r="BK562" s="28"/>
      <c r="BL562" s="28">
        <v>733</v>
      </c>
      <c r="BW562" s="28">
        <v>21</v>
      </c>
    </row>
    <row r="563" spans="1:75" ht="13.5" customHeight="1">
      <c r="A563" s="38" t="s">
        <v>674</v>
      </c>
      <c r="B563" s="39" t="s">
        <v>564</v>
      </c>
      <c r="C563" s="39" t="s">
        <v>937</v>
      </c>
      <c r="D563" s="50" t="s">
        <v>101</v>
      </c>
      <c r="E563" s="51"/>
      <c r="F563" s="39" t="s">
        <v>228</v>
      </c>
      <c r="G563" s="28">
        <v>4</v>
      </c>
      <c r="H563" s="120">
        <v>0</v>
      </c>
      <c r="I563" s="120">
        <f t="shared" si="680"/>
        <v>0</v>
      </c>
      <c r="K563" s="8"/>
      <c r="Z563" s="28">
        <f t="shared" si="681"/>
        <v>0</v>
      </c>
      <c r="AB563" s="28">
        <f t="shared" si="682"/>
        <v>0</v>
      </c>
      <c r="AC563" s="28">
        <f t="shared" si="683"/>
        <v>0</v>
      </c>
      <c r="AD563" s="28">
        <f t="shared" si="684"/>
        <v>0</v>
      </c>
      <c r="AE563" s="28">
        <f t="shared" si="685"/>
        <v>0</v>
      </c>
      <c r="AF563" s="28">
        <f t="shared" si="686"/>
        <v>0</v>
      </c>
      <c r="AG563" s="28">
        <f t="shared" si="687"/>
        <v>0</v>
      </c>
      <c r="AH563" s="28">
        <f t="shared" si="688"/>
        <v>0</v>
      </c>
      <c r="AI563" s="21" t="s">
        <v>564</v>
      </c>
      <c r="AJ563" s="28">
        <f t="shared" si="689"/>
        <v>0</v>
      </c>
      <c r="AK563" s="28">
        <f t="shared" si="690"/>
        <v>0</v>
      </c>
      <c r="AL563" s="28">
        <f t="shared" si="691"/>
        <v>0</v>
      </c>
      <c r="AN563" s="28">
        <v>21</v>
      </c>
      <c r="AO563" s="28">
        <f>H563*0.259191290824261</f>
        <v>0</v>
      </c>
      <c r="AP563" s="28">
        <f>H563*(1-0.259191290824261)</f>
        <v>0</v>
      </c>
      <c r="AQ563" s="30" t="s">
        <v>900</v>
      </c>
      <c r="AV563" s="28">
        <f t="shared" si="692"/>
        <v>0</v>
      </c>
      <c r="AW563" s="28">
        <f t="shared" si="693"/>
        <v>0</v>
      </c>
      <c r="AX563" s="28">
        <f t="shared" si="694"/>
        <v>0</v>
      </c>
      <c r="AY563" s="30" t="s">
        <v>92</v>
      </c>
      <c r="AZ563" s="30" t="s">
        <v>470</v>
      </c>
      <c r="BA563" s="21" t="s">
        <v>268</v>
      </c>
      <c r="BC563" s="28">
        <f t="shared" si="695"/>
        <v>0</v>
      </c>
      <c r="BD563" s="28">
        <f t="shared" si="696"/>
        <v>0</v>
      </c>
      <c r="BE563" s="28">
        <v>0</v>
      </c>
      <c r="BF563" s="28">
        <f>563</f>
        <v>563</v>
      </c>
      <c r="BH563" s="28">
        <f t="shared" si="697"/>
        <v>0</v>
      </c>
      <c r="BI563" s="28">
        <f t="shared" si="698"/>
        <v>0</v>
      </c>
      <c r="BJ563" s="28">
        <f t="shared" si="699"/>
        <v>0</v>
      </c>
      <c r="BK563" s="28"/>
      <c r="BL563" s="28">
        <v>733</v>
      </c>
      <c r="BW563" s="28">
        <v>21</v>
      </c>
    </row>
    <row r="564" spans="1:75" ht="13.5" customHeight="1">
      <c r="A564" s="38" t="s">
        <v>658</v>
      </c>
      <c r="B564" s="39" t="s">
        <v>564</v>
      </c>
      <c r="C564" s="39" t="s">
        <v>237</v>
      </c>
      <c r="D564" s="50" t="s">
        <v>622</v>
      </c>
      <c r="E564" s="51"/>
      <c r="F564" s="39" t="s">
        <v>228</v>
      </c>
      <c r="G564" s="28">
        <v>2</v>
      </c>
      <c r="H564" s="120">
        <v>0</v>
      </c>
      <c r="I564" s="120">
        <f t="shared" si="680"/>
        <v>0</v>
      </c>
      <c r="K564" s="8"/>
      <c r="Z564" s="28">
        <f t="shared" si="681"/>
        <v>0</v>
      </c>
      <c r="AB564" s="28">
        <f t="shared" si="682"/>
        <v>0</v>
      </c>
      <c r="AC564" s="28">
        <f t="shared" si="683"/>
        <v>0</v>
      </c>
      <c r="AD564" s="28">
        <f t="shared" si="684"/>
        <v>0</v>
      </c>
      <c r="AE564" s="28">
        <f t="shared" si="685"/>
        <v>0</v>
      </c>
      <c r="AF564" s="28">
        <f t="shared" si="686"/>
        <v>0</v>
      </c>
      <c r="AG564" s="28">
        <f t="shared" si="687"/>
        <v>0</v>
      </c>
      <c r="AH564" s="28">
        <f t="shared" si="688"/>
        <v>0</v>
      </c>
      <c r="AI564" s="21" t="s">
        <v>564</v>
      </c>
      <c r="AJ564" s="28">
        <f t="shared" si="689"/>
        <v>0</v>
      </c>
      <c r="AK564" s="28">
        <f t="shared" si="690"/>
        <v>0</v>
      </c>
      <c r="AL564" s="28">
        <f t="shared" si="691"/>
        <v>0</v>
      </c>
      <c r="AN564" s="28">
        <v>21</v>
      </c>
      <c r="AO564" s="28">
        <f>H564*0.345851428571429</f>
        <v>0</v>
      </c>
      <c r="AP564" s="28">
        <f>H564*(1-0.345851428571429)</f>
        <v>0</v>
      </c>
      <c r="AQ564" s="30" t="s">
        <v>900</v>
      </c>
      <c r="AV564" s="28">
        <f t="shared" si="692"/>
        <v>0</v>
      </c>
      <c r="AW564" s="28">
        <f t="shared" si="693"/>
        <v>0</v>
      </c>
      <c r="AX564" s="28">
        <f t="shared" si="694"/>
        <v>0</v>
      </c>
      <c r="AY564" s="30" t="s">
        <v>92</v>
      </c>
      <c r="AZ564" s="30" t="s">
        <v>470</v>
      </c>
      <c r="BA564" s="21" t="s">
        <v>268</v>
      </c>
      <c r="BC564" s="28">
        <f t="shared" si="695"/>
        <v>0</v>
      </c>
      <c r="BD564" s="28">
        <f t="shared" si="696"/>
        <v>0</v>
      </c>
      <c r="BE564" s="28">
        <v>0</v>
      </c>
      <c r="BF564" s="28">
        <f>564</f>
        <v>564</v>
      </c>
      <c r="BH564" s="28">
        <f t="shared" si="697"/>
        <v>0</v>
      </c>
      <c r="BI564" s="28">
        <f t="shared" si="698"/>
        <v>0</v>
      </c>
      <c r="BJ564" s="28">
        <f t="shared" si="699"/>
        <v>0</v>
      </c>
      <c r="BK564" s="28"/>
      <c r="BL564" s="28">
        <v>733</v>
      </c>
      <c r="BW564" s="28">
        <v>21</v>
      </c>
    </row>
    <row r="565" spans="1:75" ht="13.5" customHeight="1">
      <c r="A565" s="38" t="s">
        <v>894</v>
      </c>
      <c r="B565" s="39" t="s">
        <v>564</v>
      </c>
      <c r="C565" s="39" t="s">
        <v>329</v>
      </c>
      <c r="D565" s="50" t="s">
        <v>575</v>
      </c>
      <c r="E565" s="51"/>
      <c r="F565" s="39" t="s">
        <v>741</v>
      </c>
      <c r="G565" s="28">
        <v>12</v>
      </c>
      <c r="H565" s="120">
        <v>0</v>
      </c>
      <c r="I565" s="120">
        <f t="shared" si="680"/>
        <v>0</v>
      </c>
      <c r="K565" s="8"/>
      <c r="Z565" s="28">
        <f t="shared" si="681"/>
        <v>0</v>
      </c>
      <c r="AB565" s="28">
        <f t="shared" si="682"/>
        <v>0</v>
      </c>
      <c r="AC565" s="28">
        <f t="shared" si="683"/>
        <v>0</v>
      </c>
      <c r="AD565" s="28">
        <f t="shared" si="684"/>
        <v>0</v>
      </c>
      <c r="AE565" s="28">
        <f t="shared" si="685"/>
        <v>0</v>
      </c>
      <c r="AF565" s="28">
        <f t="shared" si="686"/>
        <v>0</v>
      </c>
      <c r="AG565" s="28">
        <f t="shared" si="687"/>
        <v>0</v>
      </c>
      <c r="AH565" s="28">
        <f t="shared" si="688"/>
        <v>0</v>
      </c>
      <c r="AI565" s="21" t="s">
        <v>564</v>
      </c>
      <c r="AJ565" s="28">
        <f t="shared" si="689"/>
        <v>0</v>
      </c>
      <c r="AK565" s="28">
        <f t="shared" si="690"/>
        <v>0</v>
      </c>
      <c r="AL565" s="28">
        <f t="shared" si="691"/>
        <v>0</v>
      </c>
      <c r="AN565" s="28">
        <v>21</v>
      </c>
      <c r="AO565" s="28">
        <f>H565*0.212764227642276</f>
        <v>0</v>
      </c>
      <c r="AP565" s="28">
        <f>H565*(1-0.212764227642276)</f>
        <v>0</v>
      </c>
      <c r="AQ565" s="30" t="s">
        <v>900</v>
      </c>
      <c r="AV565" s="28">
        <f t="shared" si="692"/>
        <v>0</v>
      </c>
      <c r="AW565" s="28">
        <f t="shared" si="693"/>
        <v>0</v>
      </c>
      <c r="AX565" s="28">
        <f t="shared" si="694"/>
        <v>0</v>
      </c>
      <c r="AY565" s="30" t="s">
        <v>92</v>
      </c>
      <c r="AZ565" s="30" t="s">
        <v>470</v>
      </c>
      <c r="BA565" s="21" t="s">
        <v>268</v>
      </c>
      <c r="BC565" s="28">
        <f t="shared" si="695"/>
        <v>0</v>
      </c>
      <c r="BD565" s="28">
        <f t="shared" si="696"/>
        <v>0</v>
      </c>
      <c r="BE565" s="28">
        <v>0</v>
      </c>
      <c r="BF565" s="28">
        <f>565</f>
        <v>565</v>
      </c>
      <c r="BH565" s="28">
        <f t="shared" si="697"/>
        <v>0</v>
      </c>
      <c r="BI565" s="28">
        <f t="shared" si="698"/>
        <v>0</v>
      </c>
      <c r="BJ565" s="28">
        <f t="shared" si="699"/>
        <v>0</v>
      </c>
      <c r="BK565" s="28"/>
      <c r="BL565" s="28">
        <v>733</v>
      </c>
      <c r="BW565" s="28">
        <v>21</v>
      </c>
    </row>
    <row r="566" spans="1:75" ht="13.5" customHeight="1">
      <c r="A566" s="38" t="s">
        <v>111</v>
      </c>
      <c r="B566" s="39" t="s">
        <v>564</v>
      </c>
      <c r="C566" s="39" t="s">
        <v>859</v>
      </c>
      <c r="D566" s="50" t="s">
        <v>137</v>
      </c>
      <c r="E566" s="51"/>
      <c r="F566" s="39" t="s">
        <v>741</v>
      </c>
      <c r="G566" s="28">
        <v>6</v>
      </c>
      <c r="H566" s="120">
        <v>0</v>
      </c>
      <c r="I566" s="120">
        <f t="shared" si="680"/>
        <v>0</v>
      </c>
      <c r="K566" s="8"/>
      <c r="Z566" s="28">
        <f t="shared" si="681"/>
        <v>0</v>
      </c>
      <c r="AB566" s="28">
        <f t="shared" si="682"/>
        <v>0</v>
      </c>
      <c r="AC566" s="28">
        <f t="shared" si="683"/>
        <v>0</v>
      </c>
      <c r="AD566" s="28">
        <f t="shared" si="684"/>
        <v>0</v>
      </c>
      <c r="AE566" s="28">
        <f t="shared" si="685"/>
        <v>0</v>
      </c>
      <c r="AF566" s="28">
        <f t="shared" si="686"/>
        <v>0</v>
      </c>
      <c r="AG566" s="28">
        <f t="shared" si="687"/>
        <v>0</v>
      </c>
      <c r="AH566" s="28">
        <f t="shared" si="688"/>
        <v>0</v>
      </c>
      <c r="AI566" s="21" t="s">
        <v>564</v>
      </c>
      <c r="AJ566" s="28">
        <f t="shared" si="689"/>
        <v>0</v>
      </c>
      <c r="AK566" s="28">
        <f t="shared" si="690"/>
        <v>0</v>
      </c>
      <c r="AL566" s="28">
        <f t="shared" si="691"/>
        <v>0</v>
      </c>
      <c r="AN566" s="28">
        <v>21</v>
      </c>
      <c r="AO566" s="28">
        <f>H566*0.58344860710855</f>
        <v>0</v>
      </c>
      <c r="AP566" s="28">
        <f>H566*(1-0.58344860710855)</f>
        <v>0</v>
      </c>
      <c r="AQ566" s="30" t="s">
        <v>900</v>
      </c>
      <c r="AV566" s="28">
        <f t="shared" si="692"/>
        <v>0</v>
      </c>
      <c r="AW566" s="28">
        <f t="shared" si="693"/>
        <v>0</v>
      </c>
      <c r="AX566" s="28">
        <f t="shared" si="694"/>
        <v>0</v>
      </c>
      <c r="AY566" s="30" t="s">
        <v>92</v>
      </c>
      <c r="AZ566" s="30" t="s">
        <v>470</v>
      </c>
      <c r="BA566" s="21" t="s">
        <v>268</v>
      </c>
      <c r="BC566" s="28">
        <f t="shared" si="695"/>
        <v>0</v>
      </c>
      <c r="BD566" s="28">
        <f t="shared" si="696"/>
        <v>0</v>
      </c>
      <c r="BE566" s="28">
        <v>0</v>
      </c>
      <c r="BF566" s="28">
        <f>566</f>
        <v>566</v>
      </c>
      <c r="BH566" s="28">
        <f t="shared" si="697"/>
        <v>0</v>
      </c>
      <c r="BI566" s="28">
        <f t="shared" si="698"/>
        <v>0</v>
      </c>
      <c r="BJ566" s="28">
        <f t="shared" si="699"/>
        <v>0</v>
      </c>
      <c r="BK566" s="28"/>
      <c r="BL566" s="28">
        <v>733</v>
      </c>
      <c r="BW566" s="28">
        <v>21</v>
      </c>
    </row>
    <row r="567" spans="1:75" ht="13.5" customHeight="1">
      <c r="A567" s="38" t="s">
        <v>487</v>
      </c>
      <c r="B567" s="39" t="s">
        <v>564</v>
      </c>
      <c r="C567" s="39" t="s">
        <v>689</v>
      </c>
      <c r="D567" s="50" t="s">
        <v>770</v>
      </c>
      <c r="E567" s="51"/>
      <c r="F567" s="39" t="s">
        <v>741</v>
      </c>
      <c r="G567" s="28">
        <v>8</v>
      </c>
      <c r="H567" s="120">
        <v>0</v>
      </c>
      <c r="I567" s="120">
        <f t="shared" si="680"/>
        <v>0</v>
      </c>
      <c r="K567" s="8"/>
      <c r="Z567" s="28">
        <f t="shared" si="681"/>
        <v>0</v>
      </c>
      <c r="AB567" s="28">
        <f t="shared" si="682"/>
        <v>0</v>
      </c>
      <c r="AC567" s="28">
        <f t="shared" si="683"/>
        <v>0</v>
      </c>
      <c r="AD567" s="28">
        <f t="shared" si="684"/>
        <v>0</v>
      </c>
      <c r="AE567" s="28">
        <f t="shared" si="685"/>
        <v>0</v>
      </c>
      <c r="AF567" s="28">
        <f t="shared" si="686"/>
        <v>0</v>
      </c>
      <c r="AG567" s="28">
        <f t="shared" si="687"/>
        <v>0</v>
      </c>
      <c r="AH567" s="28">
        <f t="shared" si="688"/>
        <v>0</v>
      </c>
      <c r="AI567" s="21" t="s">
        <v>564</v>
      </c>
      <c r="AJ567" s="28">
        <f t="shared" si="689"/>
        <v>0</v>
      </c>
      <c r="AK567" s="28">
        <f t="shared" si="690"/>
        <v>0</v>
      </c>
      <c r="AL567" s="28">
        <f t="shared" si="691"/>
        <v>0</v>
      </c>
      <c r="AN567" s="28">
        <v>21</v>
      </c>
      <c r="AO567" s="28">
        <f>H567*0.144233333333333</f>
        <v>0</v>
      </c>
      <c r="AP567" s="28">
        <f>H567*(1-0.144233333333333)</f>
        <v>0</v>
      </c>
      <c r="AQ567" s="30" t="s">
        <v>900</v>
      </c>
      <c r="AV567" s="28">
        <f t="shared" si="692"/>
        <v>0</v>
      </c>
      <c r="AW567" s="28">
        <f t="shared" si="693"/>
        <v>0</v>
      </c>
      <c r="AX567" s="28">
        <f t="shared" si="694"/>
        <v>0</v>
      </c>
      <c r="AY567" s="30" t="s">
        <v>92</v>
      </c>
      <c r="AZ567" s="30" t="s">
        <v>470</v>
      </c>
      <c r="BA567" s="21" t="s">
        <v>268</v>
      </c>
      <c r="BC567" s="28">
        <f t="shared" si="695"/>
        <v>0</v>
      </c>
      <c r="BD567" s="28">
        <f t="shared" si="696"/>
        <v>0</v>
      </c>
      <c r="BE567" s="28">
        <v>0</v>
      </c>
      <c r="BF567" s="28">
        <f>567</f>
        <v>567</v>
      </c>
      <c r="BH567" s="28">
        <f t="shared" si="697"/>
        <v>0</v>
      </c>
      <c r="BI567" s="28">
        <f t="shared" si="698"/>
        <v>0</v>
      </c>
      <c r="BJ567" s="28">
        <f t="shared" si="699"/>
        <v>0</v>
      </c>
      <c r="BK567" s="28"/>
      <c r="BL567" s="28">
        <v>733</v>
      </c>
      <c r="BW567" s="28">
        <v>21</v>
      </c>
    </row>
    <row r="568" spans="1:75" ht="13.5" customHeight="1">
      <c r="A568" s="38" t="s">
        <v>668</v>
      </c>
      <c r="B568" s="39" t="s">
        <v>564</v>
      </c>
      <c r="C568" s="39" t="s">
        <v>843</v>
      </c>
      <c r="D568" s="50" t="s">
        <v>536</v>
      </c>
      <c r="E568" s="51"/>
      <c r="F568" s="39" t="s">
        <v>741</v>
      </c>
      <c r="G568" s="28">
        <v>0.5</v>
      </c>
      <c r="H568" s="120">
        <v>0</v>
      </c>
      <c r="I568" s="120">
        <f t="shared" si="680"/>
        <v>0</v>
      </c>
      <c r="K568" s="8"/>
      <c r="Z568" s="28">
        <f t="shared" si="681"/>
        <v>0</v>
      </c>
      <c r="AB568" s="28">
        <f t="shared" si="682"/>
        <v>0</v>
      </c>
      <c r="AC568" s="28">
        <f t="shared" si="683"/>
        <v>0</v>
      </c>
      <c r="AD568" s="28">
        <f t="shared" si="684"/>
        <v>0</v>
      </c>
      <c r="AE568" s="28">
        <f t="shared" si="685"/>
        <v>0</v>
      </c>
      <c r="AF568" s="28">
        <f t="shared" si="686"/>
        <v>0</v>
      </c>
      <c r="AG568" s="28">
        <f t="shared" si="687"/>
        <v>0</v>
      </c>
      <c r="AH568" s="28">
        <f t="shared" si="688"/>
        <v>0</v>
      </c>
      <c r="AI568" s="21" t="s">
        <v>564</v>
      </c>
      <c r="AJ568" s="28">
        <f t="shared" si="689"/>
        <v>0</v>
      </c>
      <c r="AK568" s="28">
        <f t="shared" si="690"/>
        <v>0</v>
      </c>
      <c r="AL568" s="28">
        <f t="shared" si="691"/>
        <v>0</v>
      </c>
      <c r="AN568" s="28">
        <v>21</v>
      </c>
      <c r="AO568" s="28">
        <f>H568*0.0775828460038986</f>
        <v>0</v>
      </c>
      <c r="AP568" s="28">
        <f>H568*(1-0.0775828460038986)</f>
        <v>0</v>
      </c>
      <c r="AQ568" s="30" t="s">
        <v>900</v>
      </c>
      <c r="AV568" s="28">
        <f t="shared" si="692"/>
        <v>0</v>
      </c>
      <c r="AW568" s="28">
        <f t="shared" si="693"/>
        <v>0</v>
      </c>
      <c r="AX568" s="28">
        <f t="shared" si="694"/>
        <v>0</v>
      </c>
      <c r="AY568" s="30" t="s">
        <v>92</v>
      </c>
      <c r="AZ568" s="30" t="s">
        <v>470</v>
      </c>
      <c r="BA568" s="21" t="s">
        <v>268</v>
      </c>
      <c r="BC568" s="28">
        <f t="shared" si="695"/>
        <v>0</v>
      </c>
      <c r="BD568" s="28">
        <f t="shared" si="696"/>
        <v>0</v>
      </c>
      <c r="BE568" s="28">
        <v>0</v>
      </c>
      <c r="BF568" s="28">
        <f>568</f>
        <v>568</v>
      </c>
      <c r="BH568" s="28">
        <f t="shared" si="697"/>
        <v>0</v>
      </c>
      <c r="BI568" s="28">
        <f t="shared" si="698"/>
        <v>0</v>
      </c>
      <c r="BJ568" s="28">
        <f t="shared" si="699"/>
        <v>0</v>
      </c>
      <c r="BK568" s="28"/>
      <c r="BL568" s="28">
        <v>733</v>
      </c>
      <c r="BW568" s="28">
        <v>21</v>
      </c>
    </row>
    <row r="569" spans="1:75" ht="13.5" customHeight="1">
      <c r="A569" s="38" t="s">
        <v>1006</v>
      </c>
      <c r="B569" s="39" t="s">
        <v>564</v>
      </c>
      <c r="C569" s="39" t="s">
        <v>260</v>
      </c>
      <c r="D569" s="50" t="s">
        <v>287</v>
      </c>
      <c r="E569" s="51"/>
      <c r="F569" s="39" t="s">
        <v>741</v>
      </c>
      <c r="G569" s="28">
        <v>14.5</v>
      </c>
      <c r="H569" s="120">
        <v>0</v>
      </c>
      <c r="I569" s="120">
        <f t="shared" si="680"/>
        <v>0</v>
      </c>
      <c r="K569" s="8"/>
      <c r="Z569" s="28">
        <f t="shared" si="681"/>
        <v>0</v>
      </c>
      <c r="AB569" s="28">
        <f t="shared" si="682"/>
        <v>0</v>
      </c>
      <c r="AC569" s="28">
        <f t="shared" si="683"/>
        <v>0</v>
      </c>
      <c r="AD569" s="28">
        <f t="shared" si="684"/>
        <v>0</v>
      </c>
      <c r="AE569" s="28">
        <f t="shared" si="685"/>
        <v>0</v>
      </c>
      <c r="AF569" s="28">
        <f t="shared" si="686"/>
        <v>0</v>
      </c>
      <c r="AG569" s="28">
        <f t="shared" si="687"/>
        <v>0</v>
      </c>
      <c r="AH569" s="28">
        <f t="shared" si="688"/>
        <v>0</v>
      </c>
      <c r="AI569" s="21" t="s">
        <v>564</v>
      </c>
      <c r="AJ569" s="28">
        <f t="shared" si="689"/>
        <v>0</v>
      </c>
      <c r="AK569" s="28">
        <f t="shared" si="690"/>
        <v>0</v>
      </c>
      <c r="AL569" s="28">
        <f t="shared" si="691"/>
        <v>0</v>
      </c>
      <c r="AN569" s="28">
        <v>21</v>
      </c>
      <c r="AO569" s="28">
        <f>H569*0</f>
        <v>0</v>
      </c>
      <c r="AP569" s="28">
        <f>H569*(1-0)</f>
        <v>0</v>
      </c>
      <c r="AQ569" s="30" t="s">
        <v>900</v>
      </c>
      <c r="AV569" s="28">
        <f t="shared" si="692"/>
        <v>0</v>
      </c>
      <c r="AW569" s="28">
        <f t="shared" si="693"/>
        <v>0</v>
      </c>
      <c r="AX569" s="28">
        <f t="shared" si="694"/>
        <v>0</v>
      </c>
      <c r="AY569" s="30" t="s">
        <v>92</v>
      </c>
      <c r="AZ569" s="30" t="s">
        <v>470</v>
      </c>
      <c r="BA569" s="21" t="s">
        <v>268</v>
      </c>
      <c r="BC569" s="28">
        <f t="shared" si="695"/>
        <v>0</v>
      </c>
      <c r="BD569" s="28">
        <f t="shared" si="696"/>
        <v>0</v>
      </c>
      <c r="BE569" s="28">
        <v>0</v>
      </c>
      <c r="BF569" s="28">
        <f>569</f>
        <v>569</v>
      </c>
      <c r="BH569" s="28">
        <f t="shared" si="697"/>
        <v>0</v>
      </c>
      <c r="BI569" s="28">
        <f t="shared" si="698"/>
        <v>0</v>
      </c>
      <c r="BJ569" s="28">
        <f t="shared" si="699"/>
        <v>0</v>
      </c>
      <c r="BK569" s="28"/>
      <c r="BL569" s="28">
        <v>733</v>
      </c>
      <c r="BW569" s="28">
        <v>21</v>
      </c>
    </row>
    <row r="570" spans="1:75" ht="13.5" customHeight="1">
      <c r="A570" s="38" t="s">
        <v>920</v>
      </c>
      <c r="B570" s="39" t="s">
        <v>564</v>
      </c>
      <c r="C570" s="39" t="s">
        <v>278</v>
      </c>
      <c r="D570" s="50" t="s">
        <v>1068</v>
      </c>
      <c r="E570" s="51"/>
      <c r="F570" s="39" t="s">
        <v>741</v>
      </c>
      <c r="G570" s="28">
        <v>6</v>
      </c>
      <c r="H570" s="120">
        <v>0</v>
      </c>
      <c r="I570" s="120">
        <f t="shared" si="680"/>
        <v>0</v>
      </c>
      <c r="K570" s="8"/>
      <c r="Z570" s="28">
        <f t="shared" si="681"/>
        <v>0</v>
      </c>
      <c r="AB570" s="28">
        <f t="shared" si="682"/>
        <v>0</v>
      </c>
      <c r="AC570" s="28">
        <f t="shared" si="683"/>
        <v>0</v>
      </c>
      <c r="AD570" s="28">
        <f t="shared" si="684"/>
        <v>0</v>
      </c>
      <c r="AE570" s="28">
        <f t="shared" si="685"/>
        <v>0</v>
      </c>
      <c r="AF570" s="28">
        <f t="shared" si="686"/>
        <v>0</v>
      </c>
      <c r="AG570" s="28">
        <f t="shared" si="687"/>
        <v>0</v>
      </c>
      <c r="AH570" s="28">
        <f t="shared" si="688"/>
        <v>0</v>
      </c>
      <c r="AI570" s="21" t="s">
        <v>564</v>
      </c>
      <c r="AJ570" s="28">
        <f t="shared" si="689"/>
        <v>0</v>
      </c>
      <c r="AK570" s="28">
        <f t="shared" si="690"/>
        <v>0</v>
      </c>
      <c r="AL570" s="28">
        <f t="shared" si="691"/>
        <v>0</v>
      </c>
      <c r="AN570" s="28">
        <v>21</v>
      </c>
      <c r="AO570" s="28">
        <f>H570*1</f>
        <v>0</v>
      </c>
      <c r="AP570" s="28">
        <f>H570*(1-1)</f>
        <v>0</v>
      </c>
      <c r="AQ570" s="30" t="s">
        <v>900</v>
      </c>
      <c r="AV570" s="28">
        <f t="shared" si="692"/>
        <v>0</v>
      </c>
      <c r="AW570" s="28">
        <f t="shared" si="693"/>
        <v>0</v>
      </c>
      <c r="AX570" s="28">
        <f t="shared" si="694"/>
        <v>0</v>
      </c>
      <c r="AY570" s="30" t="s">
        <v>92</v>
      </c>
      <c r="AZ570" s="30" t="s">
        <v>470</v>
      </c>
      <c r="BA570" s="21" t="s">
        <v>268</v>
      </c>
      <c r="BC570" s="28">
        <f t="shared" si="695"/>
        <v>0</v>
      </c>
      <c r="BD570" s="28">
        <f t="shared" si="696"/>
        <v>0</v>
      </c>
      <c r="BE570" s="28">
        <v>0</v>
      </c>
      <c r="BF570" s="28">
        <f>570</f>
        <v>570</v>
      </c>
      <c r="BH570" s="28">
        <f t="shared" si="697"/>
        <v>0</v>
      </c>
      <c r="BI570" s="28">
        <f t="shared" si="698"/>
        <v>0</v>
      </c>
      <c r="BJ570" s="28">
        <f t="shared" si="699"/>
        <v>0</v>
      </c>
      <c r="BK570" s="28"/>
      <c r="BL570" s="28">
        <v>733</v>
      </c>
      <c r="BW570" s="28">
        <v>21</v>
      </c>
    </row>
    <row r="571" spans="1:75" ht="13.5" customHeight="1">
      <c r="A571" s="38" t="s">
        <v>422</v>
      </c>
      <c r="B571" s="39" t="s">
        <v>564</v>
      </c>
      <c r="C571" s="39" t="s">
        <v>825</v>
      </c>
      <c r="D571" s="50" t="s">
        <v>1069</v>
      </c>
      <c r="E571" s="51"/>
      <c r="F571" s="39" t="s">
        <v>741</v>
      </c>
      <c r="G571" s="28">
        <v>8</v>
      </c>
      <c r="H571" s="120">
        <v>0</v>
      </c>
      <c r="I571" s="120">
        <f t="shared" si="680"/>
        <v>0</v>
      </c>
      <c r="K571" s="8"/>
      <c r="Z571" s="28">
        <f t="shared" si="681"/>
        <v>0</v>
      </c>
      <c r="AB571" s="28">
        <f t="shared" si="682"/>
        <v>0</v>
      </c>
      <c r="AC571" s="28">
        <f t="shared" si="683"/>
        <v>0</v>
      </c>
      <c r="AD571" s="28">
        <f t="shared" si="684"/>
        <v>0</v>
      </c>
      <c r="AE571" s="28">
        <f t="shared" si="685"/>
        <v>0</v>
      </c>
      <c r="AF571" s="28">
        <f t="shared" si="686"/>
        <v>0</v>
      </c>
      <c r="AG571" s="28">
        <f t="shared" si="687"/>
        <v>0</v>
      </c>
      <c r="AH571" s="28">
        <f t="shared" si="688"/>
        <v>0</v>
      </c>
      <c r="AI571" s="21" t="s">
        <v>564</v>
      </c>
      <c r="AJ571" s="28">
        <f t="shared" si="689"/>
        <v>0</v>
      </c>
      <c r="AK571" s="28">
        <f t="shared" si="690"/>
        <v>0</v>
      </c>
      <c r="AL571" s="28">
        <f t="shared" si="691"/>
        <v>0</v>
      </c>
      <c r="AN571" s="28">
        <v>21</v>
      </c>
      <c r="AO571" s="28">
        <f>H571*1</f>
        <v>0</v>
      </c>
      <c r="AP571" s="28">
        <f>H571*(1-1)</f>
        <v>0</v>
      </c>
      <c r="AQ571" s="30" t="s">
        <v>900</v>
      </c>
      <c r="AV571" s="28">
        <f t="shared" si="692"/>
        <v>0</v>
      </c>
      <c r="AW571" s="28">
        <f t="shared" si="693"/>
        <v>0</v>
      </c>
      <c r="AX571" s="28">
        <f t="shared" si="694"/>
        <v>0</v>
      </c>
      <c r="AY571" s="30" t="s">
        <v>92</v>
      </c>
      <c r="AZ571" s="30" t="s">
        <v>470</v>
      </c>
      <c r="BA571" s="21" t="s">
        <v>268</v>
      </c>
      <c r="BC571" s="28">
        <f t="shared" si="695"/>
        <v>0</v>
      </c>
      <c r="BD571" s="28">
        <f t="shared" si="696"/>
        <v>0</v>
      </c>
      <c r="BE571" s="28">
        <v>0</v>
      </c>
      <c r="BF571" s="28">
        <f>571</f>
        <v>571</v>
      </c>
      <c r="BH571" s="28">
        <f t="shared" si="697"/>
        <v>0</v>
      </c>
      <c r="BI571" s="28">
        <f t="shared" si="698"/>
        <v>0</v>
      </c>
      <c r="BJ571" s="28">
        <f t="shared" si="699"/>
        <v>0</v>
      </c>
      <c r="BK571" s="28"/>
      <c r="BL571" s="28">
        <v>733</v>
      </c>
      <c r="BW571" s="28">
        <v>21</v>
      </c>
    </row>
    <row r="572" spans="1:75" ht="13.5" customHeight="1">
      <c r="A572" s="38" t="s">
        <v>1030</v>
      </c>
      <c r="B572" s="39" t="s">
        <v>564</v>
      </c>
      <c r="C572" s="39" t="s">
        <v>587</v>
      </c>
      <c r="D572" s="50" t="s">
        <v>1070</v>
      </c>
      <c r="E572" s="51"/>
      <c r="F572" s="39" t="s">
        <v>741</v>
      </c>
      <c r="G572" s="28">
        <v>0.5</v>
      </c>
      <c r="H572" s="120">
        <v>0</v>
      </c>
      <c r="I572" s="120">
        <f t="shared" si="680"/>
        <v>0</v>
      </c>
      <c r="K572" s="8"/>
      <c r="Z572" s="28">
        <f t="shared" si="681"/>
        <v>0</v>
      </c>
      <c r="AB572" s="28">
        <f t="shared" si="682"/>
        <v>0</v>
      </c>
      <c r="AC572" s="28">
        <f t="shared" si="683"/>
        <v>0</v>
      </c>
      <c r="AD572" s="28">
        <f t="shared" si="684"/>
        <v>0</v>
      </c>
      <c r="AE572" s="28">
        <f t="shared" si="685"/>
        <v>0</v>
      </c>
      <c r="AF572" s="28">
        <f t="shared" si="686"/>
        <v>0</v>
      </c>
      <c r="AG572" s="28">
        <f t="shared" si="687"/>
        <v>0</v>
      </c>
      <c r="AH572" s="28">
        <f t="shared" si="688"/>
        <v>0</v>
      </c>
      <c r="AI572" s="21" t="s">
        <v>564</v>
      </c>
      <c r="AJ572" s="28">
        <f t="shared" si="689"/>
        <v>0</v>
      </c>
      <c r="AK572" s="28">
        <f t="shared" si="690"/>
        <v>0</v>
      </c>
      <c r="AL572" s="28">
        <f t="shared" si="691"/>
        <v>0</v>
      </c>
      <c r="AN572" s="28">
        <v>21</v>
      </c>
      <c r="AO572" s="28">
        <f>H572*1</f>
        <v>0</v>
      </c>
      <c r="AP572" s="28">
        <f>H572*(1-1)</f>
        <v>0</v>
      </c>
      <c r="AQ572" s="30" t="s">
        <v>900</v>
      </c>
      <c r="AV572" s="28">
        <f t="shared" si="692"/>
        <v>0</v>
      </c>
      <c r="AW572" s="28">
        <f t="shared" si="693"/>
        <v>0</v>
      </c>
      <c r="AX572" s="28">
        <f t="shared" si="694"/>
        <v>0</v>
      </c>
      <c r="AY572" s="30" t="s">
        <v>92</v>
      </c>
      <c r="AZ572" s="30" t="s">
        <v>470</v>
      </c>
      <c r="BA572" s="21" t="s">
        <v>268</v>
      </c>
      <c r="BC572" s="28">
        <f t="shared" si="695"/>
        <v>0</v>
      </c>
      <c r="BD572" s="28">
        <f t="shared" si="696"/>
        <v>0</v>
      </c>
      <c r="BE572" s="28">
        <v>0</v>
      </c>
      <c r="BF572" s="28">
        <f>572</f>
        <v>572</v>
      </c>
      <c r="BH572" s="28">
        <f t="shared" si="697"/>
        <v>0</v>
      </c>
      <c r="BI572" s="28">
        <f t="shared" si="698"/>
        <v>0</v>
      </c>
      <c r="BJ572" s="28">
        <f t="shared" si="699"/>
        <v>0</v>
      </c>
      <c r="BK572" s="28"/>
      <c r="BL572" s="28">
        <v>733</v>
      </c>
      <c r="BW572" s="28">
        <v>21</v>
      </c>
    </row>
    <row r="573" spans="1:47" ht="15" customHeight="1">
      <c r="A573" s="3" t="s">
        <v>626</v>
      </c>
      <c r="B573" s="43" t="s">
        <v>564</v>
      </c>
      <c r="C573" s="43" t="s">
        <v>761</v>
      </c>
      <c r="D573" s="103" t="s">
        <v>589</v>
      </c>
      <c r="E573" s="104"/>
      <c r="F573" s="37" t="s">
        <v>836</v>
      </c>
      <c r="G573" s="37" t="s">
        <v>836</v>
      </c>
      <c r="H573" s="118" t="s">
        <v>836</v>
      </c>
      <c r="I573" s="119">
        <f>SUM(I574:I588)</f>
        <v>0</v>
      </c>
      <c r="K573" s="8"/>
      <c r="AI573" s="21" t="s">
        <v>564</v>
      </c>
      <c r="AS573" s="31">
        <f>SUM(AJ574:AJ588)</f>
        <v>0</v>
      </c>
      <c r="AT573" s="31">
        <f>SUM(AK574:AK588)</f>
        <v>0</v>
      </c>
      <c r="AU573" s="31">
        <f>SUM(AL574:AL588)</f>
        <v>0</v>
      </c>
    </row>
    <row r="574" spans="1:75" ht="13.5" customHeight="1">
      <c r="A574" s="38" t="s">
        <v>897</v>
      </c>
      <c r="B574" s="39" t="s">
        <v>564</v>
      </c>
      <c r="C574" s="39" t="s">
        <v>582</v>
      </c>
      <c r="D574" s="50" t="s">
        <v>309</v>
      </c>
      <c r="E574" s="51"/>
      <c r="F574" s="39" t="s">
        <v>228</v>
      </c>
      <c r="G574" s="28">
        <v>6</v>
      </c>
      <c r="H574" s="120">
        <v>0</v>
      </c>
      <c r="I574" s="120">
        <f aca="true" t="shared" si="700" ref="I574:I588">G574*H574</f>
        <v>0</v>
      </c>
      <c r="K574" s="8"/>
      <c r="Z574" s="28">
        <f aca="true" t="shared" si="701" ref="Z574:Z588">IF(AQ574="5",BJ574,0)</f>
        <v>0</v>
      </c>
      <c r="AB574" s="28">
        <f aca="true" t="shared" si="702" ref="AB574:AB588">IF(AQ574="1",BH574,0)</f>
        <v>0</v>
      </c>
      <c r="AC574" s="28">
        <f aca="true" t="shared" si="703" ref="AC574:AC588">IF(AQ574="1",BI574,0)</f>
        <v>0</v>
      </c>
      <c r="AD574" s="28">
        <f aca="true" t="shared" si="704" ref="AD574:AD588">IF(AQ574="7",BH574,0)</f>
        <v>0</v>
      </c>
      <c r="AE574" s="28">
        <f aca="true" t="shared" si="705" ref="AE574:AE588">IF(AQ574="7",BI574,0)</f>
        <v>0</v>
      </c>
      <c r="AF574" s="28">
        <f aca="true" t="shared" si="706" ref="AF574:AF588">IF(AQ574="2",BH574,0)</f>
        <v>0</v>
      </c>
      <c r="AG574" s="28">
        <f aca="true" t="shared" si="707" ref="AG574:AG588">IF(AQ574="2",BI574,0)</f>
        <v>0</v>
      </c>
      <c r="AH574" s="28">
        <f aca="true" t="shared" si="708" ref="AH574:AH588">IF(AQ574="0",BJ574,0)</f>
        <v>0</v>
      </c>
      <c r="AI574" s="21" t="s">
        <v>564</v>
      </c>
      <c r="AJ574" s="28">
        <f aca="true" t="shared" si="709" ref="AJ574:AJ588">IF(AN574=0,I574,0)</f>
        <v>0</v>
      </c>
      <c r="AK574" s="28">
        <f aca="true" t="shared" si="710" ref="AK574:AK588">IF(AN574=12,I574,0)</f>
        <v>0</v>
      </c>
      <c r="AL574" s="28">
        <f aca="true" t="shared" si="711" ref="AL574:AL588">IF(AN574=21,I574,0)</f>
        <v>0</v>
      </c>
      <c r="AN574" s="28">
        <v>21</v>
      </c>
      <c r="AO574" s="28">
        <f>H574*0.289347179920003</f>
        <v>0</v>
      </c>
      <c r="AP574" s="28">
        <f>H574*(1-0.289347179920003)</f>
        <v>0</v>
      </c>
      <c r="AQ574" s="30" t="s">
        <v>900</v>
      </c>
      <c r="AV574" s="28">
        <f aca="true" t="shared" si="712" ref="AV574:AV588">AW574+AX574</f>
        <v>0</v>
      </c>
      <c r="AW574" s="28">
        <f aca="true" t="shared" si="713" ref="AW574:AW588">G574*AO574</f>
        <v>0</v>
      </c>
      <c r="AX574" s="28">
        <f aca="true" t="shared" si="714" ref="AX574:AX588">G574*AP574</f>
        <v>0</v>
      </c>
      <c r="AY574" s="30" t="s">
        <v>178</v>
      </c>
      <c r="AZ574" s="30" t="s">
        <v>470</v>
      </c>
      <c r="BA574" s="21" t="s">
        <v>268</v>
      </c>
      <c r="BC574" s="28">
        <f aca="true" t="shared" si="715" ref="BC574:BC588">AW574+AX574</f>
        <v>0</v>
      </c>
      <c r="BD574" s="28">
        <f aca="true" t="shared" si="716" ref="BD574:BD588">H574/(100-BE574)*100</f>
        <v>0</v>
      </c>
      <c r="BE574" s="28">
        <v>0</v>
      </c>
      <c r="BF574" s="28">
        <f>574</f>
        <v>574</v>
      </c>
      <c r="BH574" s="28">
        <f aca="true" t="shared" si="717" ref="BH574:BH588">G574*AO574</f>
        <v>0</v>
      </c>
      <c r="BI574" s="28">
        <f aca="true" t="shared" si="718" ref="BI574:BI588">G574*AP574</f>
        <v>0</v>
      </c>
      <c r="BJ574" s="28">
        <f aca="true" t="shared" si="719" ref="BJ574:BJ588">G574*H574</f>
        <v>0</v>
      </c>
      <c r="BK574" s="28"/>
      <c r="BL574" s="28">
        <v>734</v>
      </c>
      <c r="BW574" s="28">
        <v>21</v>
      </c>
    </row>
    <row r="575" spans="1:75" ht="13.5" customHeight="1">
      <c r="A575" s="38" t="s">
        <v>13</v>
      </c>
      <c r="B575" s="39" t="s">
        <v>564</v>
      </c>
      <c r="C575" s="39" t="s">
        <v>625</v>
      </c>
      <c r="D575" s="50" t="s">
        <v>634</v>
      </c>
      <c r="E575" s="51"/>
      <c r="F575" s="39" t="s">
        <v>228</v>
      </c>
      <c r="G575" s="28">
        <v>4</v>
      </c>
      <c r="H575" s="120">
        <v>0</v>
      </c>
      <c r="I575" s="120">
        <f t="shared" si="700"/>
        <v>0</v>
      </c>
      <c r="K575" s="8"/>
      <c r="Z575" s="28">
        <f t="shared" si="701"/>
        <v>0</v>
      </c>
      <c r="AB575" s="28">
        <f t="shared" si="702"/>
        <v>0</v>
      </c>
      <c r="AC575" s="28">
        <f t="shared" si="703"/>
        <v>0</v>
      </c>
      <c r="AD575" s="28">
        <f t="shared" si="704"/>
        <v>0</v>
      </c>
      <c r="AE575" s="28">
        <f t="shared" si="705"/>
        <v>0</v>
      </c>
      <c r="AF575" s="28">
        <f t="shared" si="706"/>
        <v>0</v>
      </c>
      <c r="AG575" s="28">
        <f t="shared" si="707"/>
        <v>0</v>
      </c>
      <c r="AH575" s="28">
        <f t="shared" si="708"/>
        <v>0</v>
      </c>
      <c r="AI575" s="21" t="s">
        <v>564</v>
      </c>
      <c r="AJ575" s="28">
        <f t="shared" si="709"/>
        <v>0</v>
      </c>
      <c r="AK575" s="28">
        <f t="shared" si="710"/>
        <v>0</v>
      </c>
      <c r="AL575" s="28">
        <f t="shared" si="711"/>
        <v>0</v>
      </c>
      <c r="AN575" s="28">
        <v>21</v>
      </c>
      <c r="AO575" s="28">
        <f>H575*0.0054421768707483</f>
        <v>0</v>
      </c>
      <c r="AP575" s="28">
        <f>H575*(1-0.0054421768707483)</f>
        <v>0</v>
      </c>
      <c r="AQ575" s="30" t="s">
        <v>900</v>
      </c>
      <c r="AV575" s="28">
        <f t="shared" si="712"/>
        <v>0</v>
      </c>
      <c r="AW575" s="28">
        <f t="shared" si="713"/>
        <v>0</v>
      </c>
      <c r="AX575" s="28">
        <f t="shared" si="714"/>
        <v>0</v>
      </c>
      <c r="AY575" s="30" t="s">
        <v>178</v>
      </c>
      <c r="AZ575" s="30" t="s">
        <v>470</v>
      </c>
      <c r="BA575" s="21" t="s">
        <v>268</v>
      </c>
      <c r="BC575" s="28">
        <f t="shared" si="715"/>
        <v>0</v>
      </c>
      <c r="BD575" s="28">
        <f t="shared" si="716"/>
        <v>0</v>
      </c>
      <c r="BE575" s="28">
        <v>0</v>
      </c>
      <c r="BF575" s="28">
        <f>575</f>
        <v>575</v>
      </c>
      <c r="BH575" s="28">
        <f t="shared" si="717"/>
        <v>0</v>
      </c>
      <c r="BI575" s="28">
        <f t="shared" si="718"/>
        <v>0</v>
      </c>
      <c r="BJ575" s="28">
        <f t="shared" si="719"/>
        <v>0</v>
      </c>
      <c r="BK575" s="28"/>
      <c r="BL575" s="28">
        <v>734</v>
      </c>
      <c r="BW575" s="28">
        <v>21</v>
      </c>
    </row>
    <row r="576" spans="1:75" ht="13.5" customHeight="1">
      <c r="A576" s="38" t="s">
        <v>999</v>
      </c>
      <c r="B576" s="39" t="s">
        <v>564</v>
      </c>
      <c r="C576" s="39" t="s">
        <v>292</v>
      </c>
      <c r="D576" s="50" t="s">
        <v>1071</v>
      </c>
      <c r="E576" s="51"/>
      <c r="F576" s="39" t="s">
        <v>228</v>
      </c>
      <c r="G576" s="28">
        <v>2</v>
      </c>
      <c r="H576" s="120">
        <v>0</v>
      </c>
      <c r="I576" s="120">
        <f t="shared" si="700"/>
        <v>0</v>
      </c>
      <c r="K576" s="8"/>
      <c r="Z576" s="28">
        <f t="shared" si="701"/>
        <v>0</v>
      </c>
      <c r="AB576" s="28">
        <f t="shared" si="702"/>
        <v>0</v>
      </c>
      <c r="AC576" s="28">
        <f t="shared" si="703"/>
        <v>0</v>
      </c>
      <c r="AD576" s="28">
        <f t="shared" si="704"/>
        <v>0</v>
      </c>
      <c r="AE576" s="28">
        <f t="shared" si="705"/>
        <v>0</v>
      </c>
      <c r="AF576" s="28">
        <f t="shared" si="706"/>
        <v>0</v>
      </c>
      <c r="AG576" s="28">
        <f t="shared" si="707"/>
        <v>0</v>
      </c>
      <c r="AH576" s="28">
        <f t="shared" si="708"/>
        <v>0</v>
      </c>
      <c r="AI576" s="21" t="s">
        <v>564</v>
      </c>
      <c r="AJ576" s="28">
        <f t="shared" si="709"/>
        <v>0</v>
      </c>
      <c r="AK576" s="28">
        <f t="shared" si="710"/>
        <v>0</v>
      </c>
      <c r="AL576" s="28">
        <f t="shared" si="711"/>
        <v>0</v>
      </c>
      <c r="AN576" s="28">
        <v>21</v>
      </c>
      <c r="AO576" s="28">
        <f>H576*0.925843353557639</f>
        <v>0</v>
      </c>
      <c r="AP576" s="28">
        <f>H576*(1-0.925843353557639)</f>
        <v>0</v>
      </c>
      <c r="AQ576" s="30" t="s">
        <v>900</v>
      </c>
      <c r="AV576" s="28">
        <f t="shared" si="712"/>
        <v>0</v>
      </c>
      <c r="AW576" s="28">
        <f t="shared" si="713"/>
        <v>0</v>
      </c>
      <c r="AX576" s="28">
        <f t="shared" si="714"/>
        <v>0</v>
      </c>
      <c r="AY576" s="30" t="s">
        <v>178</v>
      </c>
      <c r="AZ576" s="30" t="s">
        <v>470</v>
      </c>
      <c r="BA576" s="21" t="s">
        <v>268</v>
      </c>
      <c r="BC576" s="28">
        <f t="shared" si="715"/>
        <v>0</v>
      </c>
      <c r="BD576" s="28">
        <f t="shared" si="716"/>
        <v>0</v>
      </c>
      <c r="BE576" s="28">
        <v>0</v>
      </c>
      <c r="BF576" s="28">
        <f>576</f>
        <v>576</v>
      </c>
      <c r="BH576" s="28">
        <f t="shared" si="717"/>
        <v>0</v>
      </c>
      <c r="BI576" s="28">
        <f t="shared" si="718"/>
        <v>0</v>
      </c>
      <c r="BJ576" s="28">
        <f t="shared" si="719"/>
        <v>0</v>
      </c>
      <c r="BK576" s="28"/>
      <c r="BL576" s="28">
        <v>734</v>
      </c>
      <c r="BW576" s="28">
        <v>21</v>
      </c>
    </row>
    <row r="577" spans="1:75" ht="13.5" customHeight="1">
      <c r="A577" s="38" t="s">
        <v>632</v>
      </c>
      <c r="B577" s="39" t="s">
        <v>564</v>
      </c>
      <c r="C577" s="39" t="s">
        <v>623</v>
      </c>
      <c r="D577" s="50" t="s">
        <v>479</v>
      </c>
      <c r="E577" s="51"/>
      <c r="F577" s="39" t="s">
        <v>228</v>
      </c>
      <c r="G577" s="28">
        <v>6</v>
      </c>
      <c r="H577" s="120">
        <v>0</v>
      </c>
      <c r="I577" s="120">
        <f t="shared" si="700"/>
        <v>0</v>
      </c>
      <c r="K577" s="8"/>
      <c r="Z577" s="28">
        <f t="shared" si="701"/>
        <v>0</v>
      </c>
      <c r="AB577" s="28">
        <f t="shared" si="702"/>
        <v>0</v>
      </c>
      <c r="AC577" s="28">
        <f t="shared" si="703"/>
        <v>0</v>
      </c>
      <c r="AD577" s="28">
        <f t="shared" si="704"/>
        <v>0</v>
      </c>
      <c r="AE577" s="28">
        <f t="shared" si="705"/>
        <v>0</v>
      </c>
      <c r="AF577" s="28">
        <f t="shared" si="706"/>
        <v>0</v>
      </c>
      <c r="AG577" s="28">
        <f t="shared" si="707"/>
        <v>0</v>
      </c>
      <c r="AH577" s="28">
        <f t="shared" si="708"/>
        <v>0</v>
      </c>
      <c r="AI577" s="21" t="s">
        <v>564</v>
      </c>
      <c r="AJ577" s="28">
        <f t="shared" si="709"/>
        <v>0</v>
      </c>
      <c r="AK577" s="28">
        <f t="shared" si="710"/>
        <v>0</v>
      </c>
      <c r="AL577" s="28">
        <f t="shared" si="711"/>
        <v>0</v>
      </c>
      <c r="AN577" s="28">
        <v>21</v>
      </c>
      <c r="AO577" s="28">
        <f>H577*0.711852348993289</f>
        <v>0</v>
      </c>
      <c r="AP577" s="28">
        <f>H577*(1-0.711852348993289)</f>
        <v>0</v>
      </c>
      <c r="AQ577" s="30" t="s">
        <v>900</v>
      </c>
      <c r="AV577" s="28">
        <f t="shared" si="712"/>
        <v>0</v>
      </c>
      <c r="AW577" s="28">
        <f t="shared" si="713"/>
        <v>0</v>
      </c>
      <c r="AX577" s="28">
        <f t="shared" si="714"/>
        <v>0</v>
      </c>
      <c r="AY577" s="30" t="s">
        <v>178</v>
      </c>
      <c r="AZ577" s="30" t="s">
        <v>470</v>
      </c>
      <c r="BA577" s="21" t="s">
        <v>268</v>
      </c>
      <c r="BC577" s="28">
        <f t="shared" si="715"/>
        <v>0</v>
      </c>
      <c r="BD577" s="28">
        <f t="shared" si="716"/>
        <v>0</v>
      </c>
      <c r="BE577" s="28">
        <v>0</v>
      </c>
      <c r="BF577" s="28">
        <f>577</f>
        <v>577</v>
      </c>
      <c r="BH577" s="28">
        <f t="shared" si="717"/>
        <v>0</v>
      </c>
      <c r="BI577" s="28">
        <f t="shared" si="718"/>
        <v>0</v>
      </c>
      <c r="BJ577" s="28">
        <f t="shared" si="719"/>
        <v>0</v>
      </c>
      <c r="BK577" s="28"/>
      <c r="BL577" s="28">
        <v>734</v>
      </c>
      <c r="BW577" s="28">
        <v>21</v>
      </c>
    </row>
    <row r="578" spans="1:75" ht="13.5" customHeight="1">
      <c r="A578" s="38" t="s">
        <v>917</v>
      </c>
      <c r="B578" s="39" t="s">
        <v>564</v>
      </c>
      <c r="C578" s="39" t="s">
        <v>141</v>
      </c>
      <c r="D578" s="50" t="s">
        <v>716</v>
      </c>
      <c r="E578" s="51"/>
      <c r="F578" s="39" t="s">
        <v>228</v>
      </c>
      <c r="G578" s="28">
        <v>3</v>
      </c>
      <c r="H578" s="120">
        <v>0</v>
      </c>
      <c r="I578" s="120">
        <f t="shared" si="700"/>
        <v>0</v>
      </c>
      <c r="K578" s="8"/>
      <c r="Z578" s="28">
        <f t="shared" si="701"/>
        <v>0</v>
      </c>
      <c r="AB578" s="28">
        <f t="shared" si="702"/>
        <v>0</v>
      </c>
      <c r="AC578" s="28">
        <f t="shared" si="703"/>
        <v>0</v>
      </c>
      <c r="AD578" s="28">
        <f t="shared" si="704"/>
        <v>0</v>
      </c>
      <c r="AE578" s="28">
        <f t="shared" si="705"/>
        <v>0</v>
      </c>
      <c r="AF578" s="28">
        <f t="shared" si="706"/>
        <v>0</v>
      </c>
      <c r="AG578" s="28">
        <f t="shared" si="707"/>
        <v>0</v>
      </c>
      <c r="AH578" s="28">
        <f t="shared" si="708"/>
        <v>0</v>
      </c>
      <c r="AI578" s="21" t="s">
        <v>564</v>
      </c>
      <c r="AJ578" s="28">
        <f t="shared" si="709"/>
        <v>0</v>
      </c>
      <c r="AK578" s="28">
        <f t="shared" si="710"/>
        <v>0</v>
      </c>
      <c r="AL578" s="28">
        <f t="shared" si="711"/>
        <v>0</v>
      </c>
      <c r="AN578" s="28">
        <v>21</v>
      </c>
      <c r="AO578" s="28">
        <f>H578*0.893467248908297</f>
        <v>0</v>
      </c>
      <c r="AP578" s="28">
        <f>H578*(1-0.893467248908297)</f>
        <v>0</v>
      </c>
      <c r="AQ578" s="30" t="s">
        <v>900</v>
      </c>
      <c r="AV578" s="28">
        <f t="shared" si="712"/>
        <v>0</v>
      </c>
      <c r="AW578" s="28">
        <f t="shared" si="713"/>
        <v>0</v>
      </c>
      <c r="AX578" s="28">
        <f t="shared" si="714"/>
        <v>0</v>
      </c>
      <c r="AY578" s="30" t="s">
        <v>178</v>
      </c>
      <c r="AZ578" s="30" t="s">
        <v>470</v>
      </c>
      <c r="BA578" s="21" t="s">
        <v>268</v>
      </c>
      <c r="BC578" s="28">
        <f t="shared" si="715"/>
        <v>0</v>
      </c>
      <c r="BD578" s="28">
        <f t="shared" si="716"/>
        <v>0</v>
      </c>
      <c r="BE578" s="28">
        <v>0</v>
      </c>
      <c r="BF578" s="28">
        <f>578</f>
        <v>578</v>
      </c>
      <c r="BH578" s="28">
        <f t="shared" si="717"/>
        <v>0</v>
      </c>
      <c r="BI578" s="28">
        <f t="shared" si="718"/>
        <v>0</v>
      </c>
      <c r="BJ578" s="28">
        <f t="shared" si="719"/>
        <v>0</v>
      </c>
      <c r="BK578" s="28"/>
      <c r="BL578" s="28">
        <v>734</v>
      </c>
      <c r="BW578" s="28">
        <v>21</v>
      </c>
    </row>
    <row r="579" spans="1:75" ht="13.5" customHeight="1">
      <c r="A579" s="38" t="s">
        <v>760</v>
      </c>
      <c r="B579" s="39" t="s">
        <v>564</v>
      </c>
      <c r="C579" s="39" t="s">
        <v>720</v>
      </c>
      <c r="D579" s="50" t="s">
        <v>401</v>
      </c>
      <c r="E579" s="51"/>
      <c r="F579" s="39" t="s">
        <v>228</v>
      </c>
      <c r="G579" s="28">
        <v>1</v>
      </c>
      <c r="H579" s="120">
        <v>0</v>
      </c>
      <c r="I579" s="120">
        <f t="shared" si="700"/>
        <v>0</v>
      </c>
      <c r="K579" s="8"/>
      <c r="Z579" s="28">
        <f t="shared" si="701"/>
        <v>0</v>
      </c>
      <c r="AB579" s="28">
        <f t="shared" si="702"/>
        <v>0</v>
      </c>
      <c r="AC579" s="28">
        <f t="shared" si="703"/>
        <v>0</v>
      </c>
      <c r="AD579" s="28">
        <f t="shared" si="704"/>
        <v>0</v>
      </c>
      <c r="AE579" s="28">
        <f t="shared" si="705"/>
        <v>0</v>
      </c>
      <c r="AF579" s="28">
        <f t="shared" si="706"/>
        <v>0</v>
      </c>
      <c r="AG579" s="28">
        <f t="shared" si="707"/>
        <v>0</v>
      </c>
      <c r="AH579" s="28">
        <f t="shared" si="708"/>
        <v>0</v>
      </c>
      <c r="AI579" s="21" t="s">
        <v>564</v>
      </c>
      <c r="AJ579" s="28">
        <f t="shared" si="709"/>
        <v>0</v>
      </c>
      <c r="AK579" s="28">
        <f t="shared" si="710"/>
        <v>0</v>
      </c>
      <c r="AL579" s="28">
        <f t="shared" si="711"/>
        <v>0</v>
      </c>
      <c r="AN579" s="28">
        <v>21</v>
      </c>
      <c r="AO579" s="28">
        <f>H579*0.945546104928458</f>
        <v>0</v>
      </c>
      <c r="AP579" s="28">
        <f>H579*(1-0.945546104928458)</f>
        <v>0</v>
      </c>
      <c r="AQ579" s="30" t="s">
        <v>900</v>
      </c>
      <c r="AV579" s="28">
        <f t="shared" si="712"/>
        <v>0</v>
      </c>
      <c r="AW579" s="28">
        <f t="shared" si="713"/>
        <v>0</v>
      </c>
      <c r="AX579" s="28">
        <f t="shared" si="714"/>
        <v>0</v>
      </c>
      <c r="AY579" s="30" t="s">
        <v>178</v>
      </c>
      <c r="AZ579" s="30" t="s">
        <v>470</v>
      </c>
      <c r="BA579" s="21" t="s">
        <v>268</v>
      </c>
      <c r="BC579" s="28">
        <f t="shared" si="715"/>
        <v>0</v>
      </c>
      <c r="BD579" s="28">
        <f t="shared" si="716"/>
        <v>0</v>
      </c>
      <c r="BE579" s="28">
        <v>0</v>
      </c>
      <c r="BF579" s="28">
        <f>579</f>
        <v>579</v>
      </c>
      <c r="BH579" s="28">
        <f t="shared" si="717"/>
        <v>0</v>
      </c>
      <c r="BI579" s="28">
        <f t="shared" si="718"/>
        <v>0</v>
      </c>
      <c r="BJ579" s="28">
        <f t="shared" si="719"/>
        <v>0</v>
      </c>
      <c r="BK579" s="28"/>
      <c r="BL579" s="28">
        <v>734</v>
      </c>
      <c r="BW579" s="28">
        <v>21</v>
      </c>
    </row>
    <row r="580" spans="1:75" ht="13.5" customHeight="1">
      <c r="A580" s="38" t="s">
        <v>967</v>
      </c>
      <c r="B580" s="39" t="s">
        <v>564</v>
      </c>
      <c r="C580" s="39" t="s">
        <v>848</v>
      </c>
      <c r="D580" s="50" t="s">
        <v>440</v>
      </c>
      <c r="E580" s="51"/>
      <c r="F580" s="39" t="s">
        <v>228</v>
      </c>
      <c r="G580" s="28">
        <v>1</v>
      </c>
      <c r="H580" s="120">
        <v>0</v>
      </c>
      <c r="I580" s="120">
        <f t="shared" si="700"/>
        <v>0</v>
      </c>
      <c r="K580" s="8"/>
      <c r="Z580" s="28">
        <f t="shared" si="701"/>
        <v>0</v>
      </c>
      <c r="AB580" s="28">
        <f t="shared" si="702"/>
        <v>0</v>
      </c>
      <c r="AC580" s="28">
        <f t="shared" si="703"/>
        <v>0</v>
      </c>
      <c r="AD580" s="28">
        <f t="shared" si="704"/>
        <v>0</v>
      </c>
      <c r="AE580" s="28">
        <f t="shared" si="705"/>
        <v>0</v>
      </c>
      <c r="AF580" s="28">
        <f t="shared" si="706"/>
        <v>0</v>
      </c>
      <c r="AG580" s="28">
        <f t="shared" si="707"/>
        <v>0</v>
      </c>
      <c r="AH580" s="28">
        <f t="shared" si="708"/>
        <v>0</v>
      </c>
      <c r="AI580" s="21" t="s">
        <v>564</v>
      </c>
      <c r="AJ580" s="28">
        <f t="shared" si="709"/>
        <v>0</v>
      </c>
      <c r="AK580" s="28">
        <f t="shared" si="710"/>
        <v>0</v>
      </c>
      <c r="AL580" s="28">
        <f t="shared" si="711"/>
        <v>0</v>
      </c>
      <c r="AN580" s="28">
        <v>21</v>
      </c>
      <c r="AO580" s="28">
        <f>H580*0.913686165273909</f>
        <v>0</v>
      </c>
      <c r="AP580" s="28">
        <f>H580*(1-0.913686165273909)</f>
        <v>0</v>
      </c>
      <c r="AQ580" s="30" t="s">
        <v>900</v>
      </c>
      <c r="AV580" s="28">
        <f t="shared" si="712"/>
        <v>0</v>
      </c>
      <c r="AW580" s="28">
        <f t="shared" si="713"/>
        <v>0</v>
      </c>
      <c r="AX580" s="28">
        <f t="shared" si="714"/>
        <v>0</v>
      </c>
      <c r="AY580" s="30" t="s">
        <v>178</v>
      </c>
      <c r="AZ580" s="30" t="s">
        <v>470</v>
      </c>
      <c r="BA580" s="21" t="s">
        <v>268</v>
      </c>
      <c r="BC580" s="28">
        <f t="shared" si="715"/>
        <v>0</v>
      </c>
      <c r="BD580" s="28">
        <f t="shared" si="716"/>
        <v>0</v>
      </c>
      <c r="BE580" s="28">
        <v>0</v>
      </c>
      <c r="BF580" s="28">
        <f>580</f>
        <v>580</v>
      </c>
      <c r="BH580" s="28">
        <f t="shared" si="717"/>
        <v>0</v>
      </c>
      <c r="BI580" s="28">
        <f t="shared" si="718"/>
        <v>0</v>
      </c>
      <c r="BJ580" s="28">
        <f t="shared" si="719"/>
        <v>0</v>
      </c>
      <c r="BK580" s="28"/>
      <c r="BL580" s="28">
        <v>734</v>
      </c>
      <c r="BW580" s="28">
        <v>21</v>
      </c>
    </row>
    <row r="581" spans="1:75" ht="13.5" customHeight="1">
      <c r="A581" s="38" t="s">
        <v>379</v>
      </c>
      <c r="B581" s="39" t="s">
        <v>564</v>
      </c>
      <c r="C581" s="39" t="s">
        <v>471</v>
      </c>
      <c r="D581" s="50" t="s">
        <v>1072</v>
      </c>
      <c r="E581" s="51"/>
      <c r="F581" s="39" t="s">
        <v>228</v>
      </c>
      <c r="G581" s="28">
        <v>2</v>
      </c>
      <c r="H581" s="120">
        <v>0</v>
      </c>
      <c r="I581" s="120">
        <f t="shared" si="700"/>
        <v>0</v>
      </c>
      <c r="K581" s="8"/>
      <c r="Z581" s="28">
        <f t="shared" si="701"/>
        <v>0</v>
      </c>
      <c r="AB581" s="28">
        <f t="shared" si="702"/>
        <v>0</v>
      </c>
      <c r="AC581" s="28">
        <f t="shared" si="703"/>
        <v>0</v>
      </c>
      <c r="AD581" s="28">
        <f t="shared" si="704"/>
        <v>0</v>
      </c>
      <c r="AE581" s="28">
        <f t="shared" si="705"/>
        <v>0</v>
      </c>
      <c r="AF581" s="28">
        <f t="shared" si="706"/>
        <v>0</v>
      </c>
      <c r="AG581" s="28">
        <f t="shared" si="707"/>
        <v>0</v>
      </c>
      <c r="AH581" s="28">
        <f t="shared" si="708"/>
        <v>0</v>
      </c>
      <c r="AI581" s="21" t="s">
        <v>564</v>
      </c>
      <c r="AJ581" s="28">
        <f t="shared" si="709"/>
        <v>0</v>
      </c>
      <c r="AK581" s="28">
        <f t="shared" si="710"/>
        <v>0</v>
      </c>
      <c r="AL581" s="28">
        <f t="shared" si="711"/>
        <v>0</v>
      </c>
      <c r="AN581" s="28">
        <v>21</v>
      </c>
      <c r="AO581" s="28">
        <f>H581*0.869366700715015</f>
        <v>0</v>
      </c>
      <c r="AP581" s="28">
        <f>H581*(1-0.869366700715015)</f>
        <v>0</v>
      </c>
      <c r="AQ581" s="30" t="s">
        <v>900</v>
      </c>
      <c r="AV581" s="28">
        <f t="shared" si="712"/>
        <v>0</v>
      </c>
      <c r="AW581" s="28">
        <f t="shared" si="713"/>
        <v>0</v>
      </c>
      <c r="AX581" s="28">
        <f t="shared" si="714"/>
        <v>0</v>
      </c>
      <c r="AY581" s="30" t="s">
        <v>178</v>
      </c>
      <c r="AZ581" s="30" t="s">
        <v>470</v>
      </c>
      <c r="BA581" s="21" t="s">
        <v>268</v>
      </c>
      <c r="BC581" s="28">
        <f t="shared" si="715"/>
        <v>0</v>
      </c>
      <c r="BD581" s="28">
        <f t="shared" si="716"/>
        <v>0</v>
      </c>
      <c r="BE581" s="28">
        <v>0</v>
      </c>
      <c r="BF581" s="28">
        <f>581</f>
        <v>581</v>
      </c>
      <c r="BH581" s="28">
        <f t="shared" si="717"/>
        <v>0</v>
      </c>
      <c r="BI581" s="28">
        <f t="shared" si="718"/>
        <v>0</v>
      </c>
      <c r="BJ581" s="28">
        <f t="shared" si="719"/>
        <v>0</v>
      </c>
      <c r="BK581" s="28"/>
      <c r="BL581" s="28">
        <v>734</v>
      </c>
      <c r="BW581" s="28">
        <v>21</v>
      </c>
    </row>
    <row r="582" spans="1:75" ht="13.5" customHeight="1">
      <c r="A582" s="38" t="s">
        <v>411</v>
      </c>
      <c r="B582" s="39" t="s">
        <v>564</v>
      </c>
      <c r="C582" s="39" t="s">
        <v>923</v>
      </c>
      <c r="D582" s="50" t="s">
        <v>1073</v>
      </c>
      <c r="E582" s="51"/>
      <c r="F582" s="39" t="s">
        <v>228</v>
      </c>
      <c r="G582" s="28">
        <v>1</v>
      </c>
      <c r="H582" s="120">
        <v>0</v>
      </c>
      <c r="I582" s="120">
        <f t="shared" si="700"/>
        <v>0</v>
      </c>
      <c r="K582" s="8"/>
      <c r="Z582" s="28">
        <f t="shared" si="701"/>
        <v>0</v>
      </c>
      <c r="AB582" s="28">
        <f t="shared" si="702"/>
        <v>0</v>
      </c>
      <c r="AC582" s="28">
        <f t="shared" si="703"/>
        <v>0</v>
      </c>
      <c r="AD582" s="28">
        <f t="shared" si="704"/>
        <v>0</v>
      </c>
      <c r="AE582" s="28">
        <f t="shared" si="705"/>
        <v>0</v>
      </c>
      <c r="AF582" s="28">
        <f t="shared" si="706"/>
        <v>0</v>
      </c>
      <c r="AG582" s="28">
        <f t="shared" si="707"/>
        <v>0</v>
      </c>
      <c r="AH582" s="28">
        <f t="shared" si="708"/>
        <v>0</v>
      </c>
      <c r="AI582" s="21" t="s">
        <v>564</v>
      </c>
      <c r="AJ582" s="28">
        <f t="shared" si="709"/>
        <v>0</v>
      </c>
      <c r="AK582" s="28">
        <f t="shared" si="710"/>
        <v>0</v>
      </c>
      <c r="AL582" s="28">
        <f t="shared" si="711"/>
        <v>0</v>
      </c>
      <c r="AN582" s="28">
        <v>21</v>
      </c>
      <c r="AO582" s="28">
        <f>H582*0.929993168165776</f>
        <v>0</v>
      </c>
      <c r="AP582" s="28">
        <f>H582*(1-0.929993168165776)</f>
        <v>0</v>
      </c>
      <c r="AQ582" s="30" t="s">
        <v>900</v>
      </c>
      <c r="AV582" s="28">
        <f t="shared" si="712"/>
        <v>0</v>
      </c>
      <c r="AW582" s="28">
        <f t="shared" si="713"/>
        <v>0</v>
      </c>
      <c r="AX582" s="28">
        <f t="shared" si="714"/>
        <v>0</v>
      </c>
      <c r="AY582" s="30" t="s">
        <v>178</v>
      </c>
      <c r="AZ582" s="30" t="s">
        <v>470</v>
      </c>
      <c r="BA582" s="21" t="s">
        <v>268</v>
      </c>
      <c r="BC582" s="28">
        <f t="shared" si="715"/>
        <v>0</v>
      </c>
      <c r="BD582" s="28">
        <f t="shared" si="716"/>
        <v>0</v>
      </c>
      <c r="BE582" s="28">
        <v>0</v>
      </c>
      <c r="BF582" s="28">
        <f>582</f>
        <v>582</v>
      </c>
      <c r="BH582" s="28">
        <f t="shared" si="717"/>
        <v>0</v>
      </c>
      <c r="BI582" s="28">
        <f t="shared" si="718"/>
        <v>0</v>
      </c>
      <c r="BJ582" s="28">
        <f t="shared" si="719"/>
        <v>0</v>
      </c>
      <c r="BK582" s="28"/>
      <c r="BL582" s="28">
        <v>734</v>
      </c>
      <c r="BW582" s="28">
        <v>21</v>
      </c>
    </row>
    <row r="583" spans="1:75" ht="13.5" customHeight="1">
      <c r="A583" s="38" t="s">
        <v>899</v>
      </c>
      <c r="B583" s="39" t="s">
        <v>564</v>
      </c>
      <c r="C583" s="39" t="s">
        <v>502</v>
      </c>
      <c r="D583" s="50" t="s">
        <v>1074</v>
      </c>
      <c r="E583" s="51"/>
      <c r="F583" s="39" t="s">
        <v>228</v>
      </c>
      <c r="G583" s="28">
        <v>1</v>
      </c>
      <c r="H583" s="120">
        <v>0</v>
      </c>
      <c r="I583" s="120">
        <f t="shared" si="700"/>
        <v>0</v>
      </c>
      <c r="K583" s="8"/>
      <c r="Z583" s="28">
        <f t="shared" si="701"/>
        <v>0</v>
      </c>
      <c r="AB583" s="28">
        <f t="shared" si="702"/>
        <v>0</v>
      </c>
      <c r="AC583" s="28">
        <f t="shared" si="703"/>
        <v>0</v>
      </c>
      <c r="AD583" s="28">
        <f t="shared" si="704"/>
        <v>0</v>
      </c>
      <c r="AE583" s="28">
        <f t="shared" si="705"/>
        <v>0</v>
      </c>
      <c r="AF583" s="28">
        <f t="shared" si="706"/>
        <v>0</v>
      </c>
      <c r="AG583" s="28">
        <f t="shared" si="707"/>
        <v>0</v>
      </c>
      <c r="AH583" s="28">
        <f t="shared" si="708"/>
        <v>0</v>
      </c>
      <c r="AI583" s="21" t="s">
        <v>564</v>
      </c>
      <c r="AJ583" s="28">
        <f t="shared" si="709"/>
        <v>0</v>
      </c>
      <c r="AK583" s="28">
        <f t="shared" si="710"/>
        <v>0</v>
      </c>
      <c r="AL583" s="28">
        <f t="shared" si="711"/>
        <v>0</v>
      </c>
      <c r="AN583" s="28">
        <v>21</v>
      </c>
      <c r="AO583" s="28">
        <f>H583*0.76990099009901</f>
        <v>0</v>
      </c>
      <c r="AP583" s="28">
        <f>H583*(1-0.76990099009901)</f>
        <v>0</v>
      </c>
      <c r="AQ583" s="30" t="s">
        <v>900</v>
      </c>
      <c r="AV583" s="28">
        <f t="shared" si="712"/>
        <v>0</v>
      </c>
      <c r="AW583" s="28">
        <f t="shared" si="713"/>
        <v>0</v>
      </c>
      <c r="AX583" s="28">
        <f t="shared" si="714"/>
        <v>0</v>
      </c>
      <c r="AY583" s="30" t="s">
        <v>178</v>
      </c>
      <c r="AZ583" s="30" t="s">
        <v>470</v>
      </c>
      <c r="BA583" s="21" t="s">
        <v>268</v>
      </c>
      <c r="BC583" s="28">
        <f t="shared" si="715"/>
        <v>0</v>
      </c>
      <c r="BD583" s="28">
        <f t="shared" si="716"/>
        <v>0</v>
      </c>
      <c r="BE583" s="28">
        <v>0</v>
      </c>
      <c r="BF583" s="28">
        <f>583</f>
        <v>583</v>
      </c>
      <c r="BH583" s="28">
        <f t="shared" si="717"/>
        <v>0</v>
      </c>
      <c r="BI583" s="28">
        <f t="shared" si="718"/>
        <v>0</v>
      </c>
      <c r="BJ583" s="28">
        <f t="shared" si="719"/>
        <v>0</v>
      </c>
      <c r="BK583" s="28"/>
      <c r="BL583" s="28">
        <v>734</v>
      </c>
      <c r="BW583" s="28">
        <v>21</v>
      </c>
    </row>
    <row r="584" spans="1:75" ht="13.5" customHeight="1">
      <c r="A584" s="38" t="s">
        <v>1024</v>
      </c>
      <c r="B584" s="39" t="s">
        <v>564</v>
      </c>
      <c r="C584" s="39" t="s">
        <v>203</v>
      </c>
      <c r="D584" s="50" t="s">
        <v>1079</v>
      </c>
      <c r="E584" s="51"/>
      <c r="F584" s="39" t="s">
        <v>228</v>
      </c>
      <c r="G584" s="28">
        <v>1</v>
      </c>
      <c r="H584" s="120">
        <v>0</v>
      </c>
      <c r="I584" s="120">
        <f t="shared" si="700"/>
        <v>0</v>
      </c>
      <c r="K584" s="8"/>
      <c r="Z584" s="28">
        <f t="shared" si="701"/>
        <v>0</v>
      </c>
      <c r="AB584" s="28">
        <f t="shared" si="702"/>
        <v>0</v>
      </c>
      <c r="AC584" s="28">
        <f t="shared" si="703"/>
        <v>0</v>
      </c>
      <c r="AD584" s="28">
        <f t="shared" si="704"/>
        <v>0</v>
      </c>
      <c r="AE584" s="28">
        <f t="shared" si="705"/>
        <v>0</v>
      </c>
      <c r="AF584" s="28">
        <f t="shared" si="706"/>
        <v>0</v>
      </c>
      <c r="AG584" s="28">
        <f t="shared" si="707"/>
        <v>0</v>
      </c>
      <c r="AH584" s="28">
        <f t="shared" si="708"/>
        <v>0</v>
      </c>
      <c r="AI584" s="21" t="s">
        <v>564</v>
      </c>
      <c r="AJ584" s="28">
        <f t="shared" si="709"/>
        <v>0</v>
      </c>
      <c r="AK584" s="28">
        <f t="shared" si="710"/>
        <v>0</v>
      </c>
      <c r="AL584" s="28">
        <f t="shared" si="711"/>
        <v>0</v>
      </c>
      <c r="AN584" s="28">
        <v>21</v>
      </c>
      <c r="AO584" s="28">
        <f>H584*0.872981818181818</f>
        <v>0</v>
      </c>
      <c r="AP584" s="28">
        <f>H584*(1-0.872981818181818)</f>
        <v>0</v>
      </c>
      <c r="AQ584" s="30" t="s">
        <v>900</v>
      </c>
      <c r="AV584" s="28">
        <f t="shared" si="712"/>
        <v>0</v>
      </c>
      <c r="AW584" s="28">
        <f t="shared" si="713"/>
        <v>0</v>
      </c>
      <c r="AX584" s="28">
        <f t="shared" si="714"/>
        <v>0</v>
      </c>
      <c r="AY584" s="30" t="s">
        <v>178</v>
      </c>
      <c r="AZ584" s="30" t="s">
        <v>470</v>
      </c>
      <c r="BA584" s="21" t="s">
        <v>268</v>
      </c>
      <c r="BC584" s="28">
        <f t="shared" si="715"/>
        <v>0</v>
      </c>
      <c r="BD584" s="28">
        <f t="shared" si="716"/>
        <v>0</v>
      </c>
      <c r="BE584" s="28">
        <v>0</v>
      </c>
      <c r="BF584" s="28">
        <f>584</f>
        <v>584</v>
      </c>
      <c r="BH584" s="28">
        <f t="shared" si="717"/>
        <v>0</v>
      </c>
      <c r="BI584" s="28">
        <f t="shared" si="718"/>
        <v>0</v>
      </c>
      <c r="BJ584" s="28">
        <f t="shared" si="719"/>
        <v>0</v>
      </c>
      <c r="BK584" s="28"/>
      <c r="BL584" s="28">
        <v>734</v>
      </c>
      <c r="BW584" s="28">
        <v>21</v>
      </c>
    </row>
    <row r="585" spans="1:75" ht="13.5" customHeight="1">
      <c r="A585" s="38" t="s">
        <v>867</v>
      </c>
      <c r="B585" s="39" t="s">
        <v>564</v>
      </c>
      <c r="C585" s="39" t="s">
        <v>365</v>
      </c>
      <c r="D585" s="50" t="s">
        <v>243</v>
      </c>
      <c r="E585" s="51"/>
      <c r="F585" s="39" t="s">
        <v>311</v>
      </c>
      <c r="G585" s="28">
        <v>1</v>
      </c>
      <c r="H585" s="120">
        <v>0</v>
      </c>
      <c r="I585" s="120">
        <f t="shared" si="700"/>
        <v>0</v>
      </c>
      <c r="K585" s="8"/>
      <c r="Z585" s="28">
        <f t="shared" si="701"/>
        <v>0</v>
      </c>
      <c r="AB585" s="28">
        <f t="shared" si="702"/>
        <v>0</v>
      </c>
      <c r="AC585" s="28">
        <f t="shared" si="703"/>
        <v>0</v>
      </c>
      <c r="AD585" s="28">
        <f t="shared" si="704"/>
        <v>0</v>
      </c>
      <c r="AE585" s="28">
        <f t="shared" si="705"/>
        <v>0</v>
      </c>
      <c r="AF585" s="28">
        <f t="shared" si="706"/>
        <v>0</v>
      </c>
      <c r="AG585" s="28">
        <f t="shared" si="707"/>
        <v>0</v>
      </c>
      <c r="AH585" s="28">
        <f t="shared" si="708"/>
        <v>0</v>
      </c>
      <c r="AI585" s="21" t="s">
        <v>564</v>
      </c>
      <c r="AJ585" s="28">
        <f t="shared" si="709"/>
        <v>0</v>
      </c>
      <c r="AK585" s="28">
        <f t="shared" si="710"/>
        <v>0</v>
      </c>
      <c r="AL585" s="28">
        <f t="shared" si="711"/>
        <v>0</v>
      </c>
      <c r="AN585" s="28">
        <v>21</v>
      </c>
      <c r="AO585" s="28">
        <f>H585*0.924761904761905</f>
        <v>0</v>
      </c>
      <c r="AP585" s="28">
        <f>H585*(1-0.924761904761905)</f>
        <v>0</v>
      </c>
      <c r="AQ585" s="30" t="s">
        <v>900</v>
      </c>
      <c r="AV585" s="28">
        <f t="shared" si="712"/>
        <v>0</v>
      </c>
      <c r="AW585" s="28">
        <f t="shared" si="713"/>
        <v>0</v>
      </c>
      <c r="AX585" s="28">
        <f t="shared" si="714"/>
        <v>0</v>
      </c>
      <c r="AY585" s="30" t="s">
        <v>178</v>
      </c>
      <c r="AZ585" s="30" t="s">
        <v>470</v>
      </c>
      <c r="BA585" s="21" t="s">
        <v>268</v>
      </c>
      <c r="BC585" s="28">
        <f t="shared" si="715"/>
        <v>0</v>
      </c>
      <c r="BD585" s="28">
        <f t="shared" si="716"/>
        <v>0</v>
      </c>
      <c r="BE585" s="28">
        <v>0</v>
      </c>
      <c r="BF585" s="28">
        <f>585</f>
        <v>585</v>
      </c>
      <c r="BH585" s="28">
        <f t="shared" si="717"/>
        <v>0</v>
      </c>
      <c r="BI585" s="28">
        <f t="shared" si="718"/>
        <v>0</v>
      </c>
      <c r="BJ585" s="28">
        <f t="shared" si="719"/>
        <v>0</v>
      </c>
      <c r="BK585" s="28"/>
      <c r="BL585" s="28">
        <v>734</v>
      </c>
      <c r="BW585" s="28">
        <v>21</v>
      </c>
    </row>
    <row r="586" spans="1:75" ht="13.5" customHeight="1">
      <c r="A586" s="38" t="s">
        <v>577</v>
      </c>
      <c r="B586" s="39" t="s">
        <v>564</v>
      </c>
      <c r="C586" s="39" t="s">
        <v>501</v>
      </c>
      <c r="D586" s="50" t="s">
        <v>362</v>
      </c>
      <c r="E586" s="51"/>
      <c r="F586" s="39" t="s">
        <v>228</v>
      </c>
      <c r="G586" s="28">
        <v>1</v>
      </c>
      <c r="H586" s="120">
        <v>0</v>
      </c>
      <c r="I586" s="120">
        <f t="shared" si="700"/>
        <v>0</v>
      </c>
      <c r="K586" s="8"/>
      <c r="Z586" s="28">
        <f t="shared" si="701"/>
        <v>0</v>
      </c>
      <c r="AB586" s="28">
        <f t="shared" si="702"/>
        <v>0</v>
      </c>
      <c r="AC586" s="28">
        <f t="shared" si="703"/>
        <v>0</v>
      </c>
      <c r="AD586" s="28">
        <f t="shared" si="704"/>
        <v>0</v>
      </c>
      <c r="AE586" s="28">
        <f t="shared" si="705"/>
        <v>0</v>
      </c>
      <c r="AF586" s="28">
        <f t="shared" si="706"/>
        <v>0</v>
      </c>
      <c r="AG586" s="28">
        <f t="shared" si="707"/>
        <v>0</v>
      </c>
      <c r="AH586" s="28">
        <f t="shared" si="708"/>
        <v>0</v>
      </c>
      <c r="AI586" s="21" t="s">
        <v>564</v>
      </c>
      <c r="AJ586" s="28">
        <f t="shared" si="709"/>
        <v>0</v>
      </c>
      <c r="AK586" s="28">
        <f t="shared" si="710"/>
        <v>0</v>
      </c>
      <c r="AL586" s="28">
        <f t="shared" si="711"/>
        <v>0</v>
      </c>
      <c r="AN586" s="28">
        <v>21</v>
      </c>
      <c r="AO586" s="28">
        <f>H586*0.698084842146545</f>
        <v>0</v>
      </c>
      <c r="AP586" s="28">
        <f>H586*(1-0.698084842146545)</f>
        <v>0</v>
      </c>
      <c r="AQ586" s="30" t="s">
        <v>900</v>
      </c>
      <c r="AV586" s="28">
        <f t="shared" si="712"/>
        <v>0</v>
      </c>
      <c r="AW586" s="28">
        <f t="shared" si="713"/>
        <v>0</v>
      </c>
      <c r="AX586" s="28">
        <f t="shared" si="714"/>
        <v>0</v>
      </c>
      <c r="AY586" s="30" t="s">
        <v>178</v>
      </c>
      <c r="AZ586" s="30" t="s">
        <v>470</v>
      </c>
      <c r="BA586" s="21" t="s">
        <v>268</v>
      </c>
      <c r="BC586" s="28">
        <f t="shared" si="715"/>
        <v>0</v>
      </c>
      <c r="BD586" s="28">
        <f t="shared" si="716"/>
        <v>0</v>
      </c>
      <c r="BE586" s="28">
        <v>0</v>
      </c>
      <c r="BF586" s="28">
        <f>586</f>
        <v>586</v>
      </c>
      <c r="BH586" s="28">
        <f t="shared" si="717"/>
        <v>0</v>
      </c>
      <c r="BI586" s="28">
        <f t="shared" si="718"/>
        <v>0</v>
      </c>
      <c r="BJ586" s="28">
        <f t="shared" si="719"/>
        <v>0</v>
      </c>
      <c r="BK586" s="28"/>
      <c r="BL586" s="28">
        <v>734</v>
      </c>
      <c r="BW586" s="28">
        <v>21</v>
      </c>
    </row>
    <row r="587" spans="1:75" ht="13.5" customHeight="1">
      <c r="A587" s="38" t="s">
        <v>1012</v>
      </c>
      <c r="B587" s="39" t="s">
        <v>564</v>
      </c>
      <c r="C587" s="39" t="s">
        <v>321</v>
      </c>
      <c r="D587" s="50" t="s">
        <v>1076</v>
      </c>
      <c r="E587" s="51"/>
      <c r="F587" s="39" t="s">
        <v>228</v>
      </c>
      <c r="G587" s="28">
        <v>1</v>
      </c>
      <c r="H587" s="120">
        <v>0</v>
      </c>
      <c r="I587" s="120">
        <f t="shared" si="700"/>
        <v>0</v>
      </c>
      <c r="K587" s="8"/>
      <c r="Z587" s="28">
        <f t="shared" si="701"/>
        <v>0</v>
      </c>
      <c r="AB587" s="28">
        <f t="shared" si="702"/>
        <v>0</v>
      </c>
      <c r="AC587" s="28">
        <f t="shared" si="703"/>
        <v>0</v>
      </c>
      <c r="AD587" s="28">
        <f t="shared" si="704"/>
        <v>0</v>
      </c>
      <c r="AE587" s="28">
        <f t="shared" si="705"/>
        <v>0</v>
      </c>
      <c r="AF587" s="28">
        <f t="shared" si="706"/>
        <v>0</v>
      </c>
      <c r="AG587" s="28">
        <f t="shared" si="707"/>
        <v>0</v>
      </c>
      <c r="AH587" s="28">
        <f t="shared" si="708"/>
        <v>0</v>
      </c>
      <c r="AI587" s="21" t="s">
        <v>564</v>
      </c>
      <c r="AJ587" s="28">
        <f t="shared" si="709"/>
        <v>0</v>
      </c>
      <c r="AK587" s="28">
        <f t="shared" si="710"/>
        <v>0</v>
      </c>
      <c r="AL587" s="28">
        <f t="shared" si="711"/>
        <v>0</v>
      </c>
      <c r="AN587" s="28">
        <v>21</v>
      </c>
      <c r="AO587" s="28">
        <f>H587*0.796243845047714</f>
        <v>0</v>
      </c>
      <c r="AP587" s="28">
        <f>H587*(1-0.796243845047714)</f>
        <v>0</v>
      </c>
      <c r="AQ587" s="30" t="s">
        <v>900</v>
      </c>
      <c r="AV587" s="28">
        <f t="shared" si="712"/>
        <v>0</v>
      </c>
      <c r="AW587" s="28">
        <f t="shared" si="713"/>
        <v>0</v>
      </c>
      <c r="AX587" s="28">
        <f t="shared" si="714"/>
        <v>0</v>
      </c>
      <c r="AY587" s="30" t="s">
        <v>178</v>
      </c>
      <c r="AZ587" s="30" t="s">
        <v>470</v>
      </c>
      <c r="BA587" s="21" t="s">
        <v>268</v>
      </c>
      <c r="BC587" s="28">
        <f t="shared" si="715"/>
        <v>0</v>
      </c>
      <c r="BD587" s="28">
        <f t="shared" si="716"/>
        <v>0</v>
      </c>
      <c r="BE587" s="28">
        <v>0</v>
      </c>
      <c r="BF587" s="28">
        <f>587</f>
        <v>587</v>
      </c>
      <c r="BH587" s="28">
        <f t="shared" si="717"/>
        <v>0</v>
      </c>
      <c r="BI587" s="28">
        <f t="shared" si="718"/>
        <v>0</v>
      </c>
      <c r="BJ587" s="28">
        <f t="shared" si="719"/>
        <v>0</v>
      </c>
      <c r="BK587" s="28"/>
      <c r="BL587" s="28">
        <v>734</v>
      </c>
      <c r="BW587" s="28">
        <v>21</v>
      </c>
    </row>
    <row r="588" spans="1:75" ht="13.5" customHeight="1">
      <c r="A588" s="38" t="s">
        <v>766</v>
      </c>
      <c r="B588" s="39" t="s">
        <v>564</v>
      </c>
      <c r="C588" s="39" t="s">
        <v>944</v>
      </c>
      <c r="D588" s="50" t="s">
        <v>1093</v>
      </c>
      <c r="E588" s="51"/>
      <c r="F588" s="39" t="s">
        <v>228</v>
      </c>
      <c r="G588" s="28">
        <v>3</v>
      </c>
      <c r="H588" s="120">
        <v>0</v>
      </c>
      <c r="I588" s="120">
        <f t="shared" si="700"/>
        <v>0</v>
      </c>
      <c r="K588" s="8"/>
      <c r="Z588" s="28">
        <f t="shared" si="701"/>
        <v>0</v>
      </c>
      <c r="AB588" s="28">
        <f t="shared" si="702"/>
        <v>0</v>
      </c>
      <c r="AC588" s="28">
        <f t="shared" si="703"/>
        <v>0</v>
      </c>
      <c r="AD588" s="28">
        <f t="shared" si="704"/>
        <v>0</v>
      </c>
      <c r="AE588" s="28">
        <f t="shared" si="705"/>
        <v>0</v>
      </c>
      <c r="AF588" s="28">
        <f t="shared" si="706"/>
        <v>0</v>
      </c>
      <c r="AG588" s="28">
        <f t="shared" si="707"/>
        <v>0</v>
      </c>
      <c r="AH588" s="28">
        <f t="shared" si="708"/>
        <v>0</v>
      </c>
      <c r="AI588" s="21" t="s">
        <v>564</v>
      </c>
      <c r="AJ588" s="28">
        <f t="shared" si="709"/>
        <v>0</v>
      </c>
      <c r="AK588" s="28">
        <f t="shared" si="710"/>
        <v>0</v>
      </c>
      <c r="AL588" s="28">
        <f t="shared" si="711"/>
        <v>0</v>
      </c>
      <c r="AN588" s="28">
        <v>21</v>
      </c>
      <c r="AO588" s="28">
        <f>H588*0.893386019482375</f>
        <v>0</v>
      </c>
      <c r="AP588" s="28">
        <f>H588*(1-0.893386019482375)</f>
        <v>0</v>
      </c>
      <c r="AQ588" s="30" t="s">
        <v>900</v>
      </c>
      <c r="AV588" s="28">
        <f t="shared" si="712"/>
        <v>0</v>
      </c>
      <c r="AW588" s="28">
        <f t="shared" si="713"/>
        <v>0</v>
      </c>
      <c r="AX588" s="28">
        <f t="shared" si="714"/>
        <v>0</v>
      </c>
      <c r="AY588" s="30" t="s">
        <v>178</v>
      </c>
      <c r="AZ588" s="30" t="s">
        <v>470</v>
      </c>
      <c r="BA588" s="21" t="s">
        <v>268</v>
      </c>
      <c r="BC588" s="28">
        <f t="shared" si="715"/>
        <v>0</v>
      </c>
      <c r="BD588" s="28">
        <f t="shared" si="716"/>
        <v>0</v>
      </c>
      <c r="BE588" s="28">
        <v>0</v>
      </c>
      <c r="BF588" s="28">
        <f>588</f>
        <v>588</v>
      </c>
      <c r="BH588" s="28">
        <f t="shared" si="717"/>
        <v>0</v>
      </c>
      <c r="BI588" s="28">
        <f t="shared" si="718"/>
        <v>0</v>
      </c>
      <c r="BJ588" s="28">
        <f t="shared" si="719"/>
        <v>0</v>
      </c>
      <c r="BK588" s="28"/>
      <c r="BL588" s="28">
        <v>734</v>
      </c>
      <c r="BW588" s="28">
        <v>21</v>
      </c>
    </row>
    <row r="589" spans="1:47" ht="15" customHeight="1">
      <c r="A589" s="3" t="s">
        <v>626</v>
      </c>
      <c r="B589" s="43" t="s">
        <v>564</v>
      </c>
      <c r="C589" s="43" t="s">
        <v>390</v>
      </c>
      <c r="D589" s="103" t="s">
        <v>274</v>
      </c>
      <c r="E589" s="104"/>
      <c r="F589" s="37" t="s">
        <v>836</v>
      </c>
      <c r="G589" s="37" t="s">
        <v>836</v>
      </c>
      <c r="H589" s="118" t="s">
        <v>836</v>
      </c>
      <c r="I589" s="119">
        <f>SUM(I590:I591)</f>
        <v>0</v>
      </c>
      <c r="K589" s="8"/>
      <c r="AI589" s="21" t="s">
        <v>564</v>
      </c>
      <c r="AS589" s="31">
        <f>SUM(AJ590:AJ591)</f>
        <v>0</v>
      </c>
      <c r="AT589" s="31">
        <f>SUM(AK590:AK591)</f>
        <v>0</v>
      </c>
      <c r="AU589" s="31">
        <f>SUM(AL590:AL591)</f>
        <v>0</v>
      </c>
    </row>
    <row r="590" spans="1:75" ht="13.5" customHeight="1">
      <c r="A590" s="38" t="s">
        <v>992</v>
      </c>
      <c r="B590" s="39" t="s">
        <v>564</v>
      </c>
      <c r="C590" s="39" t="s">
        <v>774</v>
      </c>
      <c r="D590" s="50" t="s">
        <v>1027</v>
      </c>
      <c r="E590" s="51"/>
      <c r="F590" s="39" t="s">
        <v>853</v>
      </c>
      <c r="G590" s="28">
        <v>50</v>
      </c>
      <c r="H590" s="120">
        <v>0</v>
      </c>
      <c r="I590" s="120">
        <f>G590*H590</f>
        <v>0</v>
      </c>
      <c r="K590" s="8"/>
      <c r="Z590" s="28">
        <f>IF(AQ590="5",BJ590,0)</f>
        <v>0</v>
      </c>
      <c r="AB590" s="28">
        <f>IF(AQ590="1",BH590,0)</f>
        <v>0</v>
      </c>
      <c r="AC590" s="28">
        <f>IF(AQ590="1",BI590,0)</f>
        <v>0</v>
      </c>
      <c r="AD590" s="28">
        <f>IF(AQ590="7",BH590,0)</f>
        <v>0</v>
      </c>
      <c r="AE590" s="28">
        <f>IF(AQ590="7",BI590,0)</f>
        <v>0</v>
      </c>
      <c r="AF590" s="28">
        <f>IF(AQ590="2",BH590,0)</f>
        <v>0</v>
      </c>
      <c r="AG590" s="28">
        <f>IF(AQ590="2",BI590,0)</f>
        <v>0</v>
      </c>
      <c r="AH590" s="28">
        <f>IF(AQ590="0",BJ590,0)</f>
        <v>0</v>
      </c>
      <c r="AI590" s="21" t="s">
        <v>564</v>
      </c>
      <c r="AJ590" s="28">
        <f>IF(AN590=0,I590,0)</f>
        <v>0</v>
      </c>
      <c r="AK590" s="28">
        <f>IF(AN590=12,I590,0)</f>
        <v>0</v>
      </c>
      <c r="AL590" s="28">
        <f>IF(AN590=21,I590,0)</f>
        <v>0</v>
      </c>
      <c r="AN590" s="28">
        <v>21</v>
      </c>
      <c r="AO590" s="28">
        <f>H590*0.166280991735537</f>
        <v>0</v>
      </c>
      <c r="AP590" s="28">
        <f>H590*(1-0.166280991735537)</f>
        <v>0</v>
      </c>
      <c r="AQ590" s="30" t="s">
        <v>900</v>
      </c>
      <c r="AV590" s="28">
        <f>AW590+AX590</f>
        <v>0</v>
      </c>
      <c r="AW590" s="28">
        <f>G590*AO590</f>
        <v>0</v>
      </c>
      <c r="AX590" s="28">
        <f>G590*AP590</f>
        <v>0</v>
      </c>
      <c r="AY590" s="30" t="s">
        <v>250</v>
      </c>
      <c r="AZ590" s="30" t="s">
        <v>525</v>
      </c>
      <c r="BA590" s="21" t="s">
        <v>268</v>
      </c>
      <c r="BC590" s="28">
        <f>AW590+AX590</f>
        <v>0</v>
      </c>
      <c r="BD590" s="28">
        <f>H590/(100-BE590)*100</f>
        <v>0</v>
      </c>
      <c r="BE590" s="28">
        <v>0</v>
      </c>
      <c r="BF590" s="28">
        <f>590</f>
        <v>590</v>
      </c>
      <c r="BH590" s="28">
        <f>G590*AO590</f>
        <v>0</v>
      </c>
      <c r="BI590" s="28">
        <f>G590*AP590</f>
        <v>0</v>
      </c>
      <c r="BJ590" s="28">
        <f>G590*H590</f>
        <v>0</v>
      </c>
      <c r="BK590" s="28"/>
      <c r="BL590" s="28">
        <v>767</v>
      </c>
      <c r="BW590" s="28">
        <v>21</v>
      </c>
    </row>
    <row r="591" spans="1:75" ht="13.5" customHeight="1">
      <c r="A591" s="40" t="s">
        <v>726</v>
      </c>
      <c r="B591" s="41" t="s">
        <v>564</v>
      </c>
      <c r="C591" s="41" t="s">
        <v>783</v>
      </c>
      <c r="D591" s="105" t="s">
        <v>39</v>
      </c>
      <c r="E591" s="80"/>
      <c r="F591" s="41" t="s">
        <v>853</v>
      </c>
      <c r="G591" s="34">
        <v>60</v>
      </c>
      <c r="H591" s="121">
        <v>0</v>
      </c>
      <c r="I591" s="121">
        <f>G591*H591</f>
        <v>0</v>
      </c>
      <c r="J591" s="25"/>
      <c r="K591" s="16"/>
      <c r="Z591" s="28">
        <f>IF(AQ591="5",BJ591,0)</f>
        <v>0</v>
      </c>
      <c r="AB591" s="28">
        <f>IF(AQ591="1",BH591,0)</f>
        <v>0</v>
      </c>
      <c r="AC591" s="28">
        <f>IF(AQ591="1",BI591,0)</f>
        <v>0</v>
      </c>
      <c r="AD591" s="28">
        <f>IF(AQ591="7",BH591,0)</f>
        <v>0</v>
      </c>
      <c r="AE591" s="28">
        <f>IF(AQ591="7",BI591,0)</f>
        <v>0</v>
      </c>
      <c r="AF591" s="28">
        <f>IF(AQ591="2",BH591,0)</f>
        <v>0</v>
      </c>
      <c r="AG591" s="28">
        <f>IF(AQ591="2",BI591,0)</f>
        <v>0</v>
      </c>
      <c r="AH591" s="28">
        <f>IF(AQ591="0",BJ591,0)</f>
        <v>0</v>
      </c>
      <c r="AI591" s="21" t="s">
        <v>564</v>
      </c>
      <c r="AJ591" s="28">
        <f>IF(AN591=0,I591,0)</f>
        <v>0</v>
      </c>
      <c r="AK591" s="28">
        <f>IF(AN591=12,I591,0)</f>
        <v>0</v>
      </c>
      <c r="AL591" s="28">
        <f>IF(AN591=21,I591,0)</f>
        <v>0</v>
      </c>
      <c r="AN591" s="28">
        <v>21</v>
      </c>
      <c r="AO591" s="28">
        <f>H591*0.329041487839771</f>
        <v>0</v>
      </c>
      <c r="AP591" s="28">
        <f>H591*(1-0.329041487839771)</f>
        <v>0</v>
      </c>
      <c r="AQ591" s="30" t="s">
        <v>900</v>
      </c>
      <c r="AV591" s="28">
        <f>AW591+AX591</f>
        <v>0</v>
      </c>
      <c r="AW591" s="28">
        <f>G591*AO591</f>
        <v>0</v>
      </c>
      <c r="AX591" s="28">
        <f>G591*AP591</f>
        <v>0</v>
      </c>
      <c r="AY591" s="30" t="s">
        <v>250</v>
      </c>
      <c r="AZ591" s="30" t="s">
        <v>525</v>
      </c>
      <c r="BA591" s="21" t="s">
        <v>268</v>
      </c>
      <c r="BC591" s="28">
        <f>AW591+AX591</f>
        <v>0</v>
      </c>
      <c r="BD591" s="28">
        <f>H591/(100-BE591)*100</f>
        <v>0</v>
      </c>
      <c r="BE591" s="28">
        <v>0</v>
      </c>
      <c r="BF591" s="28">
        <f>591</f>
        <v>591</v>
      </c>
      <c r="BH591" s="28">
        <f>G591*AO591</f>
        <v>0</v>
      </c>
      <c r="BI591" s="28">
        <f>G591*AP591</f>
        <v>0</v>
      </c>
      <c r="BJ591" s="28">
        <f>G591*H591</f>
        <v>0</v>
      </c>
      <c r="BK591" s="28"/>
      <c r="BL591" s="28">
        <v>767</v>
      </c>
      <c r="BW591" s="28">
        <v>21</v>
      </c>
    </row>
    <row r="592" spans="8:9" ht="15" customHeight="1">
      <c r="H592" s="122"/>
      <c r="I592" s="123">
        <f>I14+I17+I21+I23+I26+I29+I31+I33+I43+I48+I51+I54+I62+I85+I87+I90+I97+I118+I121+I127+I130+I134+I136+I138+I140+I156+I160+I166+I170+I180+I182+I198+I200+I208+I220+I236+I240+I250+I252+I265+I267+I275+I287+I303+I307+I310+I320+I322+I335+I337+I345+I357+I373+I377+I380+I390+I392+I405+I407+I415+I427+I443+I447+I450+I460+I462+I475+I477+I485+I497+I513+I517+I520+I530+I532+I551+I553+I561+I573+I589</f>
        <v>0</v>
      </c>
    </row>
    <row r="593" ht="15" customHeight="1">
      <c r="A593" s="12" t="s">
        <v>76</v>
      </c>
    </row>
    <row r="594" spans="1:11" ht="12.75" customHeight="1">
      <c r="A594" s="50" t="s">
        <v>626</v>
      </c>
      <c r="B594" s="51"/>
      <c r="C594" s="51"/>
      <c r="D594" s="51"/>
      <c r="E594" s="51"/>
      <c r="F594" s="51"/>
      <c r="G594" s="51"/>
      <c r="H594" s="51"/>
      <c r="I594" s="51"/>
      <c r="J594" s="51"/>
      <c r="K594" s="51"/>
    </row>
  </sheetData>
  <sheetProtection password="C7F1" sheet="1"/>
  <mergeCells count="608">
    <mergeCell ref="A1:K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D6:E7"/>
    <mergeCell ref="D8:E9"/>
    <mergeCell ref="H2:H3"/>
    <mergeCell ref="H4:H5"/>
    <mergeCell ref="H6:H7"/>
    <mergeCell ref="H8:H9"/>
    <mergeCell ref="J2:K3"/>
    <mergeCell ref="J4:K5"/>
    <mergeCell ref="J6:K7"/>
    <mergeCell ref="J8:K9"/>
    <mergeCell ref="D10:E10"/>
    <mergeCell ref="I4:I5"/>
    <mergeCell ref="I6:I7"/>
    <mergeCell ref="I8:I9"/>
    <mergeCell ref="D2:E3"/>
    <mergeCell ref="D4:E5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D462:E462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71:E471"/>
    <mergeCell ref="D472:E472"/>
    <mergeCell ref="D473:E473"/>
    <mergeCell ref="D474:E474"/>
    <mergeCell ref="D475:E475"/>
    <mergeCell ref="D476:E476"/>
    <mergeCell ref="D477:E477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494:E494"/>
    <mergeCell ref="D495:E495"/>
    <mergeCell ref="D496:E496"/>
    <mergeCell ref="D497:E497"/>
    <mergeCell ref="D498:E498"/>
    <mergeCell ref="D499:E499"/>
    <mergeCell ref="D500:E500"/>
    <mergeCell ref="D501:E501"/>
    <mergeCell ref="D502:E502"/>
    <mergeCell ref="D503:E503"/>
    <mergeCell ref="D504:E504"/>
    <mergeCell ref="D505:E505"/>
    <mergeCell ref="D506:E506"/>
    <mergeCell ref="D507:E507"/>
    <mergeCell ref="D508:E508"/>
    <mergeCell ref="D509:E509"/>
    <mergeCell ref="D510:E510"/>
    <mergeCell ref="D511:E511"/>
    <mergeCell ref="D512:E512"/>
    <mergeCell ref="D513:E513"/>
    <mergeCell ref="D514:E514"/>
    <mergeCell ref="D515:E515"/>
    <mergeCell ref="D516:E516"/>
    <mergeCell ref="D517:E517"/>
    <mergeCell ref="D518:E518"/>
    <mergeCell ref="D519:E519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28:E528"/>
    <mergeCell ref="D529:E529"/>
    <mergeCell ref="D530:E530"/>
    <mergeCell ref="D531:E531"/>
    <mergeCell ref="D532:E532"/>
    <mergeCell ref="D533:E533"/>
    <mergeCell ref="D534:E534"/>
    <mergeCell ref="D535:E535"/>
    <mergeCell ref="D536:E536"/>
    <mergeCell ref="D537:E537"/>
    <mergeCell ref="D538:E538"/>
    <mergeCell ref="D539:E539"/>
    <mergeCell ref="D540:E540"/>
    <mergeCell ref="D541:E541"/>
    <mergeCell ref="D542:E542"/>
    <mergeCell ref="D543:E543"/>
    <mergeCell ref="D544:E544"/>
    <mergeCell ref="D545:E545"/>
    <mergeCell ref="D546:E546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D555:E555"/>
    <mergeCell ref="D556:E556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65:E565"/>
    <mergeCell ref="D566:E566"/>
    <mergeCell ref="D567:E567"/>
    <mergeCell ref="D568:E568"/>
    <mergeCell ref="D569:E569"/>
    <mergeCell ref="D570:E570"/>
    <mergeCell ref="D571:E571"/>
    <mergeCell ref="D572:E572"/>
    <mergeCell ref="D573:E573"/>
    <mergeCell ref="D574:E574"/>
    <mergeCell ref="D575:E575"/>
    <mergeCell ref="D576:E576"/>
    <mergeCell ref="D577:E577"/>
    <mergeCell ref="D578:E578"/>
    <mergeCell ref="D579:E579"/>
    <mergeCell ref="D580:E580"/>
    <mergeCell ref="D581:E581"/>
    <mergeCell ref="D582:E582"/>
    <mergeCell ref="D583:E583"/>
    <mergeCell ref="D584:E584"/>
    <mergeCell ref="D585:E585"/>
    <mergeCell ref="D586:E586"/>
    <mergeCell ref="D587:E587"/>
    <mergeCell ref="D588:E588"/>
    <mergeCell ref="D589:E589"/>
    <mergeCell ref="D590:E590"/>
    <mergeCell ref="D591:E591"/>
    <mergeCell ref="A594:K594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Miloš Červený</cp:lastModifiedBy>
  <dcterms:created xsi:type="dcterms:W3CDTF">2021-06-10T20:06:38Z</dcterms:created>
  <dcterms:modified xsi:type="dcterms:W3CDTF">2024-05-28T18:55:35Z</dcterms:modified>
  <cp:category/>
  <cp:version/>
  <cp:contentType/>
  <cp:contentStatus/>
</cp:coreProperties>
</file>