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630" windowHeight="7430" activeTab="0"/>
  </bookViews>
  <sheets>
    <sheet name="Krycí list rozpočtu celkový" sheetId="1" r:id="rId1"/>
    <sheet name="Krycí list rozpočtu" sheetId="2" r:id="rId2"/>
    <sheet name="Stavební rozpočet - součet" sheetId="3" r:id="rId3"/>
    <sheet name="Stavební rozpočet" sheetId="4" r:id="rId4"/>
    <sheet name="Výkaz výměr" sheetId="5" r:id="rId5"/>
    <sheet name="Krycí list rozpočtu kůlna" sheetId="6" r:id="rId6"/>
    <sheet name="Stavební rozpočet kůlna-součet " sheetId="7" r:id="rId7"/>
    <sheet name="Stavební rozpočet kůlna" sheetId="8" r:id="rId8"/>
    <sheet name="Výkaz výměr kůlna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<sst xmlns="http://schemas.openxmlformats.org/spreadsheetml/2006/main" count="4890" uniqueCount="819">
  <si>
    <t>92</t>
  </si>
  <si>
    <t>Bourání základů z betonu prostého</t>
  </si>
  <si>
    <t>Demontáž záklopů z hrubých prken tl. do 3,2 cm</t>
  </si>
  <si>
    <t>Doba výstavby:</t>
  </si>
  <si>
    <t>28,60 + 2 * 16,30 + 29,10 + 22,10 + 2 * 14,00 + 14,00 + 4,40 + 38,50 + 12,80</t>
  </si>
  <si>
    <t>1,70 * 2,41</t>
  </si>
  <si>
    <t>2 + 4 + 4</t>
  </si>
  <si>
    <t>162701105R00</t>
  </si>
  <si>
    <t>Projektant</t>
  </si>
  <si>
    <t>67</t>
  </si>
  <si>
    <t>M22</t>
  </si>
  <si>
    <t>Základ 15%</t>
  </si>
  <si>
    <t>103</t>
  </si>
  <si>
    <t>Demontáž telekomunikačního vedení a připojení</t>
  </si>
  <si>
    <t>Přípl. k mont.a dem. shozu za každé další podlaží</t>
  </si>
  <si>
    <t>764430840R00</t>
  </si>
  <si>
    <t>7 * 0,90 * 2,00 + 4 * 0,80 * 2,00 + 3 * 0,60 * 2,00 + 0,70 * 2,00</t>
  </si>
  <si>
    <t>725820801R00</t>
  </si>
  <si>
    <t>6,09 * 0,70 * 0,30 + 4,52 * 0,30 * 0,30 + (4,36 + 1,24 + 0,90) * 0,56 * 0,30</t>
  </si>
  <si>
    <t>735151822R00</t>
  </si>
  <si>
    <t>Demontáž baterie nástěnné do G 3/4</t>
  </si>
  <si>
    <t>(11 * 7,00 + 10 * 7,00) * 0,24 * 0,30 + (15 * 4,00 + 7 * 4,20) * 0,20 * 0,24</t>
  </si>
  <si>
    <t>764351837R00</t>
  </si>
  <si>
    <t>91</t>
  </si>
  <si>
    <t>968062245R00</t>
  </si>
  <si>
    <t>3,01 * 0,74 * (0,40 + 1,00) / 2</t>
  </si>
  <si>
    <t>87</t>
  </si>
  <si>
    <t>Základ 21%</t>
  </si>
  <si>
    <t>20</t>
  </si>
  <si>
    <t>Dodávka</t>
  </si>
  <si>
    <t>-1,00 * 0,20 * 1,76 + (5,15 - 0,66 - 0,74) * 0,73 * 0,71 + (5,15 - 0,66 - 0,74) * 0,65 * 1,95</t>
  </si>
  <si>
    <t>NUS celkem z obj.</t>
  </si>
  <si>
    <t>3_</t>
  </si>
  <si>
    <t>Náklady (Kč) - celkem</t>
  </si>
  <si>
    <t>762341811R00</t>
  </si>
  <si>
    <t>72_</t>
  </si>
  <si>
    <t>Odstranění násypu tl. do 10 cm, plocha nad 2 m2</t>
  </si>
  <si>
    <t>Název stavby:</t>
  </si>
  <si>
    <t>Ostatní materiál</t>
  </si>
  <si>
    <t>"hambálky"</t>
  </si>
  <si>
    <t>Zaslepení přípojky kanalizace v revizní šachtě</t>
  </si>
  <si>
    <t>48</t>
  </si>
  <si>
    <t>(20,99 * 11,66 + 6,67 * 4,21 + 5,13 * 5,31) * 0,30</t>
  </si>
  <si>
    <t>29</t>
  </si>
  <si>
    <t>6 + 5 + 2 + 1 + 1</t>
  </si>
  <si>
    <t>Č</t>
  </si>
  <si>
    <t>11,16 * 1,00 * (0,45 + 0,20) / 2 + 4,38 * 0,80 * (0,55 + 0,25) / 2 + 6,93 * 1,00 * (0,45 + 0,20) / 2</t>
  </si>
  <si>
    <t>764</t>
  </si>
  <si>
    <t>2 + 4 + 4 + 2</t>
  </si>
  <si>
    <t>58344199</t>
  </si>
  <si>
    <t>13 * 1,50 * 2,10 + 25 * 1,50 * 1,75 + 2 * 1,60 * 2,45</t>
  </si>
  <si>
    <t>Osazení stojat. obrub.bet. s opěrou,lože z C 12/15</t>
  </si>
  <si>
    <t>Poznámka:</t>
  </si>
  <si>
    <t>Sloupek plotový STANDARD PLUS d 48 mm, h 175 cm</t>
  </si>
  <si>
    <t>Lokalita:</t>
  </si>
  <si>
    <t>79</t>
  </si>
  <si>
    <t>(4,44 * 6,09 + 4,52 * 2,83 + 4,84 * 2,91 + 2,48 * 5,82 + 5,04 * 5,82 + 3,32 * 5,82) * 0,30</t>
  </si>
  <si>
    <t>71</t>
  </si>
  <si>
    <t>Demontáž památníku včetně přesunu a uložení</t>
  </si>
  <si>
    <t>16</t>
  </si>
  <si>
    <t>PSV</t>
  </si>
  <si>
    <t>24</t>
  </si>
  <si>
    <t>Bez pevné podl.</t>
  </si>
  <si>
    <t>11,50 + 0,50 + 11,00 + 0,50 + 11,90 + 0,50 + 12,40 + 0,50 + 12,50 + 0,50</t>
  </si>
  <si>
    <t>961044111R00</t>
  </si>
  <si>
    <t>733_</t>
  </si>
  <si>
    <t>Celkem</t>
  </si>
  <si>
    <t>28,60 + 16,30 + 29,10 + 22,10 + 38,50 + 12,80 +14,00 + 14,00 +4,10 +4,60 + 3,40 + 4,40 + 2,40</t>
  </si>
  <si>
    <t>Zařízení staveniště</t>
  </si>
  <si>
    <t>766_</t>
  </si>
  <si>
    <t>0,83 + 0,81</t>
  </si>
  <si>
    <t>11_</t>
  </si>
  <si>
    <t>2 * (21,50 + 9,85) / 2 * 7,25 - 7,35 * 4,55 / 2 - 4,85 * 5,20 - 4,85 * 0,70 / 2</t>
  </si>
  <si>
    <t>Demontáž vrat k oplocení plochy do 6 m2</t>
  </si>
  <si>
    <t>(65,50 + 79,10 + 30,40 + 11,30 + 5,00 + 8,30 + 6,70) * 0,15</t>
  </si>
  <si>
    <t>soub</t>
  </si>
  <si>
    <t>1_</t>
  </si>
  <si>
    <t>Svislá doprava suti a vybouraných hmot shozem</t>
  </si>
  <si>
    <t>4</t>
  </si>
  <si>
    <t>97</t>
  </si>
  <si>
    <t>94</t>
  </si>
  <si>
    <t>"vazné trámy"</t>
  </si>
  <si>
    <t>"sloupky"</t>
  </si>
  <si>
    <t>"strop jímky"</t>
  </si>
  <si>
    <t>60</t>
  </si>
  <si>
    <t>Podlahy vlysové a parketové</t>
  </si>
  <si>
    <t>Základní rozpočtové náklady</t>
  </si>
  <si>
    <t>(3,44 * 2,70 + 0,94 * 0,17) * 0,15</t>
  </si>
  <si>
    <t>26</t>
  </si>
  <si>
    <t>6_</t>
  </si>
  <si>
    <t>105</t>
  </si>
  <si>
    <t>2 * (0,46 + 0,44) + 3 * 2 * (0,34 + 0,41)</t>
  </si>
  <si>
    <t>733110808R00</t>
  </si>
  <si>
    <t>5,38 * 0,82 * 0,71 + 2,32 * 0,74 * 1,95 + 3,03 * 0,82 * (0,32 + 1,46) / 2</t>
  </si>
  <si>
    <t>14,30 + 5,60 * 2 + 4,60 * 2</t>
  </si>
  <si>
    <t>Konstrukce ze zemin</t>
  </si>
  <si>
    <t>Konstrukce klempířské</t>
  </si>
  <si>
    <t>Demontáž bednění střech rovných z prken hrubých</t>
  </si>
  <si>
    <t>Celkem bez DPH</t>
  </si>
  <si>
    <t>9 + 3 + 3 + 3 + 6 + 4 + 1 + 3 + 4 + 4</t>
  </si>
  <si>
    <t>979081121RT3</t>
  </si>
  <si>
    <t>721_</t>
  </si>
  <si>
    <t>Bourání nosné konstrukce trámové ze dřeva měkkého</t>
  </si>
  <si>
    <t>Demolice komínů z cihel.zdiva postup. rozebráním</t>
  </si>
  <si>
    <t>Hmotnost (t)</t>
  </si>
  <si>
    <t>564861112RT2</t>
  </si>
  <si>
    <t>6 + 5 + 2 + 1</t>
  </si>
  <si>
    <t>6</t>
  </si>
  <si>
    <t>Rozpočtové náklady v Kč</t>
  </si>
  <si>
    <t>962200011RAA</t>
  </si>
  <si>
    <t>733110806R00</t>
  </si>
  <si>
    <t>65,50 + 2 * 7,10 + 10,10 + 2 * 33,90 + 2 * 22,50 + 2 * 32,80 + 2 * 7,90</t>
  </si>
  <si>
    <t>338171113R00</t>
  </si>
  <si>
    <t>68</t>
  </si>
  <si>
    <t>81</t>
  </si>
  <si>
    <t>979990101R00</t>
  </si>
  <si>
    <t>4,52 * 2,91 * (0,90 + 0,90 + 0,70 + 0,75) / 4 + 5,82 * 2,48 * (0,80 + 0,30 + 0,75 + 0,60) /4</t>
  </si>
  <si>
    <t>B</t>
  </si>
  <si>
    <t>Náklady na umístění stavby (NUS)</t>
  </si>
  <si>
    <t>42</t>
  </si>
  <si>
    <t>(4,62 + 0,80 + 0,60) * 1,00 * 1,00</t>
  </si>
  <si>
    <t>82</t>
  </si>
  <si>
    <t>Montáž</t>
  </si>
  <si>
    <t>Datum, razítko a podpis</t>
  </si>
  <si>
    <t>Bourání ŽB stropů deskových tl. nad 8 cm</t>
  </si>
  <si>
    <t>776_</t>
  </si>
  <si>
    <t>ZRN celkem</t>
  </si>
  <si>
    <t>968072455R00</t>
  </si>
  <si>
    <t>Demontáž oplechování zdí,rš od 330 do 500 mm</t>
  </si>
  <si>
    <t>6,40 + 7,90 + 6,40</t>
  </si>
  <si>
    <t>20,85 * 11,52 * 3,90</t>
  </si>
  <si>
    <t>17_</t>
  </si>
  <si>
    <t>979082121R00</t>
  </si>
  <si>
    <t>0,80 * 0,45 + 13 * 0,60 * 1,15 + 0,60 * 0,60</t>
  </si>
  <si>
    <t>765_</t>
  </si>
  <si>
    <t>- 10 * 1,50 * 1,75 * 0,68 - 3 * 1,50 * 1,75 * 0,69 - 2 * 1,64 * 0,68 * 2,86</t>
  </si>
  <si>
    <t>69</t>
  </si>
  <si>
    <t>Poplatek za uložení suti - směs betonu, cihel, dřeva, skupina odpadu 170904</t>
  </si>
  <si>
    <t>2 * (21,50 + 12,20) - 4,85 - 7,35 + 2 * 3,70</t>
  </si>
  <si>
    <t>33</t>
  </si>
  <si>
    <t>Vybourání schod.stupňů ze zdi cihelné jednostranně</t>
  </si>
  <si>
    <t>DPH 15%</t>
  </si>
  <si>
    <t>78</t>
  </si>
  <si>
    <t>63</t>
  </si>
  <si>
    <t>(3,72 + 3,32) * 3,70 - 2 * 0,80 * 1,97</t>
  </si>
  <si>
    <t>28,60 + 14,00 + 14,00</t>
  </si>
  <si>
    <t>(5,82 + 1,24) * 0,55 * (0,60 + 0,65) / 2 + 5,05 * 1,00 * (1,00 + 0,70) / 2</t>
  </si>
  <si>
    <t>Demontáž klozetů splachovacích</t>
  </si>
  <si>
    <t>"trámy"</t>
  </si>
  <si>
    <t>623452111R00</t>
  </si>
  <si>
    <t>76,68516 * 1,8</t>
  </si>
  <si>
    <t>721173310VD</t>
  </si>
  <si>
    <t>17,80 * 1,00</t>
  </si>
  <si>
    <t>77_</t>
  </si>
  <si>
    <t>3,34 * 3,70 - 0,80 * 1,97</t>
  </si>
  <si>
    <t>(3 + 3 + 2 + 3 + 3 + 2 +3) * 1,90</t>
  </si>
  <si>
    <t>25</t>
  </si>
  <si>
    <t>kus</t>
  </si>
  <si>
    <t>963023712R00</t>
  </si>
  <si>
    <t>966070990VD</t>
  </si>
  <si>
    <t>Odkopávky a prokopávky</t>
  </si>
  <si>
    <t>735151821R00</t>
  </si>
  <si>
    <t>Demontáž oplechování okapů, TK, rš 660 mm, do 45°</t>
  </si>
  <si>
    <t>Dodávky</t>
  </si>
  <si>
    <t>(20,85 * 0,84 + 20,85 * 0,85 + 2 * (11,52 - 0,85 - 0,84)) * 2,96</t>
  </si>
  <si>
    <t>4 * 0,80 * 1,75 + 2 * 0,80 * 2,10 + 0,60 * 0,60</t>
  </si>
  <si>
    <t>soustava</t>
  </si>
  <si>
    <t>762331813R00</t>
  </si>
  <si>
    <t>Demontáž lešení, prostor. lehké, 200 kPa, H 10 m</t>
  </si>
  <si>
    <t>0,70 * 2,10 + (2,17 + 1,12) * 2,22 - 2 * 0,60 * 1,97</t>
  </si>
  <si>
    <t>Bourání mazanin betonových tl. nad 10 cm, nad 4 m2</t>
  </si>
  <si>
    <t>Vnitrostaveništní doprava suti do 10 m</t>
  </si>
  <si>
    <t>Ostatní mat.</t>
  </si>
  <si>
    <t>731100808R00</t>
  </si>
  <si>
    <t>969021111R00</t>
  </si>
  <si>
    <t>Cenová</t>
  </si>
  <si>
    <t>145,11181</t>
  </si>
  <si>
    <t>979081111RT3</t>
  </si>
  <si>
    <t>Demontáž armatur s jedním závitem G 3/4</t>
  </si>
  <si>
    <t>Montáž oplocení z pletiva v.do 1,6 m,napínací drát</t>
  </si>
  <si>
    <t>765</t>
  </si>
  <si>
    <t>731_</t>
  </si>
  <si>
    <t>19 * 2389,55918</t>
  </si>
  <si>
    <t>HSV prac</t>
  </si>
  <si>
    <t>767_</t>
  </si>
  <si>
    <t>725530823R00</t>
  </si>
  <si>
    <t>968072247R00</t>
  </si>
  <si>
    <t>722170815VD</t>
  </si>
  <si>
    <t>(2,25 + 1,70 + 1,85 + 2,25) * 2,22 - 4 * 0,60 * 1,97</t>
  </si>
  <si>
    <t>722220851R00</t>
  </si>
  <si>
    <t>13</t>
  </si>
  <si>
    <t>"1.PP"</t>
  </si>
  <si>
    <t>Omítka pilířů MC 450 kg/m3, hlaz. dřev. hladítkem</t>
  </si>
  <si>
    <t>"vzpěry"</t>
  </si>
  <si>
    <t>"M"</t>
  </si>
  <si>
    <t>Konstrukce doplňkové stavební (zámečnické)</t>
  </si>
  <si>
    <t>(10,15 * 0,52 + 12,48 * 0,50) * 4,29 - 2 * 1,00 * 0,50 * 2,10 - 1,00 * 0,52 * 2,10</t>
  </si>
  <si>
    <t>Bourání příček z cihel pálených tl. 150 mm</t>
  </si>
  <si>
    <t>965081713RT2</t>
  </si>
  <si>
    <t>(2,31 + 1,93) * 2,93</t>
  </si>
  <si>
    <t>Demontáž konstrukcí krovů z hranolů do 450 cm2</t>
  </si>
  <si>
    <t>97_</t>
  </si>
  <si>
    <t>16 + 18 + 15</t>
  </si>
  <si>
    <t>Krycí list rozpočtu</t>
  </si>
  <si>
    <t>113201111R00</t>
  </si>
  <si>
    <t>Cena/MJ</t>
  </si>
  <si>
    <t>Zábřeh, Sušilova ulice</t>
  </si>
  <si>
    <t>Montáž lešení prostorové lehké, do 200kg, H 10 m</t>
  </si>
  <si>
    <t>Demontáž umyvadel včetně výtokových armatur</t>
  </si>
  <si>
    <t>Konec výstavby:</t>
  </si>
  <si>
    <t>968062244R00</t>
  </si>
  <si>
    <t>Kód</t>
  </si>
  <si>
    <t>Demontáž kotlíku kónického, sklon do 45°</t>
  </si>
  <si>
    <t>Jednot.</t>
  </si>
  <si>
    <t>43</t>
  </si>
  <si>
    <t>Osazení sloupků plot.ocel.do 2 m,do šachet, zabet</t>
  </si>
  <si>
    <t>"1.NP"</t>
  </si>
  <si>
    <t>Drcení stavební suti mobilní drticí jednotkou - beton</t>
  </si>
  <si>
    <t>podlaž</t>
  </si>
  <si>
    <t>776511820R00</t>
  </si>
  <si>
    <t>2 * (0,53 + 0,75) * 1,25 - 0,45 * 0,66</t>
  </si>
  <si>
    <t>20 + 12 + 7 + 3 + 16</t>
  </si>
  <si>
    <t>Vybourání dřevěných rámů oken jednoduch. pl. 4 m2</t>
  </si>
  <si>
    <t>Demontáž střešního okna, hladká krytina, do 45°</t>
  </si>
  <si>
    <t>(7 + 8 + 7 + 7) * 1,90 + (13 + 11) * 1,30</t>
  </si>
  <si>
    <t>soubor</t>
  </si>
  <si>
    <t>712600831R00</t>
  </si>
  <si>
    <t>MJ</t>
  </si>
  <si>
    <t>45</t>
  </si>
  <si>
    <t>40</t>
  </si>
  <si>
    <t>Demolice bývalé ZUŠ</t>
  </si>
  <si>
    <t>(4,18 - 0,50 + 6,67 + 4,19 - 0,50) * 0,50 * 3,84 - 4 * 0,60 * 0,50 * 1,15 - 2 * 0,80 * 0,50 * 1,75</t>
  </si>
  <si>
    <t>Demontáž baterie sprch. G 3/4x1</t>
  </si>
  <si>
    <t>9_</t>
  </si>
  <si>
    <t>4,47669</t>
  </si>
  <si>
    <t>1,00 *1,20</t>
  </si>
  <si>
    <t>962200011RAB</t>
  </si>
  <si>
    <t>Vybourání kanalizačního potrubí DN do 100 mm</t>
  </si>
  <si>
    <t>Doplňující konstrukce a práce na pozemních komunikacích a zpevněných plochách</t>
  </si>
  <si>
    <t>Vybourání dřevěných rámů oken jednoduch. pl. 1 m2</t>
  </si>
  <si>
    <t>Doplňkové náklady</t>
  </si>
  <si>
    <t>2,00 * 4,00 * 2,00</t>
  </si>
  <si>
    <t>775</t>
  </si>
  <si>
    <t>"krokve"</t>
  </si>
  <si>
    <t>"vaznice"</t>
  </si>
  <si>
    <t>PSV prac</t>
  </si>
  <si>
    <t>HSV</t>
  </si>
  <si>
    <t>Demontáž konstrukcí krovů z hranolů nad 450 cm2</t>
  </si>
  <si>
    <t>Vybourání kovových rámů oken jednod. nad 4 m2</t>
  </si>
  <si>
    <t>9</t>
  </si>
  <si>
    <t>(2 * 0,53 + 0,75) * 1,25</t>
  </si>
  <si>
    <t>731</t>
  </si>
  <si>
    <t>Bourání dlažeb keramických tl.10 mm, nad 1 m2</t>
  </si>
  <si>
    <t>Demontáž oplechování říms, rš 660 mm, do 45°</t>
  </si>
  <si>
    <t>5,20 * 8 + 4,50 * 2 + 4,40 * 2 + 2,70 * 4 + 2,50 * 4 + 1,30 * 4</t>
  </si>
  <si>
    <t>104</t>
  </si>
  <si>
    <t>(5,31 * 0,77 + 3,75 * 0,65 + 5,30 * 0,66) * 0,30 + 3,01 * 0,74 * 0,30</t>
  </si>
  <si>
    <t>Demontáž pisoárů včetně rozvodů</t>
  </si>
  <si>
    <t>15</t>
  </si>
  <si>
    <t>Demontáž podbíjení obkladů stropů s omítkou</t>
  </si>
  <si>
    <t>764454803R00</t>
  </si>
  <si>
    <t>95</t>
  </si>
  <si>
    <t>5,20 + 0,75</t>
  </si>
  <si>
    <t>Vybourání kanalizačního potrubí DN do 200 mm</t>
  </si>
  <si>
    <t>2,00 * 4,00 * 0,16</t>
  </si>
  <si>
    <t>"2.NP"</t>
  </si>
  <si>
    <t>ISWORK</t>
  </si>
  <si>
    <t>965031131R00</t>
  </si>
  <si>
    <t>Celkem včetně DPH</t>
  </si>
  <si>
    <t>Základ 0%</t>
  </si>
  <si>
    <t>Demontáž odpadních trub kruhových,D 150 mm</t>
  </si>
  <si>
    <t>Demontáž potrubí ocelového do DN 50-80</t>
  </si>
  <si>
    <t>Demontáž ostatních prvků - zábradlí, odvětrání, vložky aj.</t>
  </si>
  <si>
    <t>965042241RT1</t>
  </si>
  <si>
    <t>766</t>
  </si>
  <si>
    <t>Celková hmotnost (t)</t>
  </si>
  <si>
    <t>65,50 + 79,10 +30,40 + 10,90 + 20,20 + 5,00 + 7,90 + 6,40</t>
  </si>
  <si>
    <t>52</t>
  </si>
  <si>
    <t>10 * 76,68517</t>
  </si>
  <si>
    <t>11,66 * 1,00 * (1,30 + 1,45) / 2 + (6,09 + 0,75 + 2,48 + 0,75) * 1,00 * (1,30 + 1,00) / 2</t>
  </si>
  <si>
    <t>0,67 * 0,50 * 3,50</t>
  </si>
  <si>
    <t>51</t>
  </si>
  <si>
    <t>964073231R00</t>
  </si>
  <si>
    <t>2,00 * 4 + 1,70 * 4 + 1,30 * 26 + 0,9</t>
  </si>
  <si>
    <t>Mont prac</t>
  </si>
  <si>
    <t>(2,50 * 0,52 + 9,93 * 0,51) * 3,84 - (2 * 1,00 + 0,90) * 0,51 * 2,10</t>
  </si>
  <si>
    <t>3 * 0,90 * 2,00 + 6 * 0,80 * 2,00 + 4 * 0,60 * 2,00</t>
  </si>
  <si>
    <t>765321810R00</t>
  </si>
  <si>
    <t>Rozebrání dlažeb z betonových dlaždic na sucho</t>
  </si>
  <si>
    <t>Vybourání schod.stupňů ze zdi cihelné oboustranně</t>
  </si>
  <si>
    <t>19,35 * 10,10 + 5,67 * 4,25 - 2,50 * 0,45 - 3,07 * 0,30 - 3,14 * 3,22 - 1,97 * 0,45 - 0,81 * 1,06</t>
  </si>
  <si>
    <t>44</t>
  </si>
  <si>
    <t>6,93 * 1,21 * 0,15 / 2 + 4,38 * 1,84 * (0,10 + 0,20) / 2</t>
  </si>
  <si>
    <t>712_</t>
  </si>
  <si>
    <t>"1.PP + sokl"</t>
  </si>
  <si>
    <t>Příplatek k odvozu za každý další 1 km</t>
  </si>
  <si>
    <t>Kotelny</t>
  </si>
  <si>
    <t>65,50 + 17,50 + 33,90 + 22,50 + 32,80 + 8,70 + 6,40 + 8,40 + 6,70</t>
  </si>
  <si>
    <t>Odstranění živič.krytiny střech nad 30° 1vrstvé</t>
  </si>
  <si>
    <t>Demontáž konstrukcí krovů z hranolů do 224 cm2</t>
  </si>
  <si>
    <t>62_</t>
  </si>
  <si>
    <t>5,37 * 0,84 * 0,71 + 3,07 * 0,66 * (1,95 + 0,32) / 2 + 2,33 * 0,65 * 1,95</t>
  </si>
  <si>
    <t>4,94 * 0,64 * 0,76 + 2 * 2,32 * 0,64 * 0,76 + 0,76 * 0,64 * (2,22 + 0,62) / 2</t>
  </si>
  <si>
    <t>23</t>
  </si>
  <si>
    <t>Stavební rozpočet - rekapitulace</t>
  </si>
  <si>
    <t>725_</t>
  </si>
  <si>
    <t>767</t>
  </si>
  <si>
    <t>(4,20 - 0,53) * 0,54 * 3,00 - 2 * 0,60 * 0,54 * 1,15</t>
  </si>
  <si>
    <t>59</t>
  </si>
  <si>
    <t>Izolace střech (živičné krytiny)</t>
  </si>
  <si>
    <t>109</t>
  </si>
  <si>
    <t>t</t>
  </si>
  <si>
    <t>"3.NP"</t>
  </si>
  <si>
    <t>2 * 5,40 + 5,15 + 2 * (2,35 + 0,45) + 2 * (1,97 + 0,54) + 2 * (1,20 + 0,94)</t>
  </si>
  <si>
    <t>Vyvěšení dřevěných okenních křídel pl. do 1,5 m2</t>
  </si>
  <si>
    <t> </t>
  </si>
  <si>
    <t>162701109R00</t>
  </si>
  <si>
    <t>12 + 13 + 13 + 4 + 4 + 2 + 2 + 5 + 4 + 4 + 1 + 1 + 9 + 4</t>
  </si>
  <si>
    <t>53</t>
  </si>
  <si>
    <t>Příplatek k přemístění suti za dalších H 3,5 m</t>
  </si>
  <si>
    <t>Konstrukce truhlářské</t>
  </si>
  <si>
    <t>99</t>
  </si>
  <si>
    <t>Vybourání nosníků ze zdi cihelné dl. 4 m, 35 kg/m</t>
  </si>
  <si>
    <t>107</t>
  </si>
  <si>
    <t>65,50 + 2 * 30,40 + 2 * 10,90</t>
  </si>
  <si>
    <t>963031434R00</t>
  </si>
  <si>
    <t>775531800R00</t>
  </si>
  <si>
    <t>Demontáž potrubí ocelového do DN 15-32</t>
  </si>
  <si>
    <t>JKSO:</t>
  </si>
  <si>
    <t>22006991VD</t>
  </si>
  <si>
    <t>(6,31 * (0,55 + 0,23 + 0,51) + 1,16 * 0,15) * 3,84 - 0,90 * 0,51 * 2,10</t>
  </si>
  <si>
    <t>85</t>
  </si>
  <si>
    <t>5 * 1,45</t>
  </si>
  <si>
    <t>64</t>
  </si>
  <si>
    <t>764410850R00</t>
  </si>
  <si>
    <t>Příplatek k vnitrost. dopravě suti za dalších 5 m</t>
  </si>
  <si>
    <t>Vybourání dřevěných dveřních zárubní pl. nad 2 m2</t>
  </si>
  <si>
    <t>963031532R00</t>
  </si>
  <si>
    <t>Náklady (Kč) - dodávka</t>
  </si>
  <si>
    <t>3,07 * 0,50 * (1,36 + 3,31) / 2 + 3,07 * 0,50 * (3,31 + 5,06) / 2 + 0,60 * 0,50 * 1,70</t>
  </si>
  <si>
    <t>Drcení stavební suti mobilní drticí jednotkou - cihly</t>
  </si>
  <si>
    <t>12_</t>
  </si>
  <si>
    <t>77</t>
  </si>
  <si>
    <t>764321831R00</t>
  </si>
  <si>
    <t>DN celkem</t>
  </si>
  <si>
    <t>4,10 * 4 + 2,80 * 12</t>
  </si>
  <si>
    <t>Zásyp jam, rýh, šachet se zhutněním</t>
  </si>
  <si>
    <t>116</t>
  </si>
  <si>
    <t>(2,23 + 1,70 + 1,85 + 2,23) * 2,70 - 4 * 0,60 * 1,97</t>
  </si>
  <si>
    <t>GROUPCODE</t>
  </si>
  <si>
    <t>28,60 + 29,10 + 14,00 + 14,00</t>
  </si>
  <si>
    <t>Montáže sdělovací a zabezpečovací techniky</t>
  </si>
  <si>
    <t>"plošné vyrovnání"</t>
  </si>
  <si>
    <t>969011121R00</t>
  </si>
  <si>
    <t>Provozní vlivy</t>
  </si>
  <si>
    <t>5</t>
  </si>
  <si>
    <t>962022391R00</t>
  </si>
  <si>
    <t>0,45 * 0,45 * 0,15 + 6,67 * 0,70 * (0,30 + 0,20) / 2 + 3,51 * 0,70 * 0,20</t>
  </si>
  <si>
    <t>76_</t>
  </si>
  <si>
    <t>3,80 * 3 + 3,15 * 4 + 2,90 * 16 + 2,70 + 2,05 * 3 + 1,70 * 4 + 1,5 * 2</t>
  </si>
  <si>
    <t>Příplatek k vod. přemístění hor.1-4 za další 1 km</t>
  </si>
  <si>
    <t>Sloupy a pilíře, stožáry a rámové stojky</t>
  </si>
  <si>
    <t>725210821R00</t>
  </si>
  <si>
    <t>Stavební rozpočet</t>
  </si>
  <si>
    <t>Druh stavby:</t>
  </si>
  <si>
    <t>Přípravné a přidružené práce</t>
  </si>
  <si>
    <t>Štěrkodrtě frakce 0-63 C</t>
  </si>
  <si>
    <t>2 * (20,99 + 9,66) * 1,00 * 0,30 + 2 * 5,82 * 0,75 * 0,30</t>
  </si>
  <si>
    <t>Demontáž dřevěných stěn plných</t>
  </si>
  <si>
    <t>65,50 + 79,10</t>
  </si>
  <si>
    <t>96</t>
  </si>
  <si>
    <t>762331814R00</t>
  </si>
  <si>
    <t>Vybourání kovových dveřních zárubní pl. do 2 m2</t>
  </si>
  <si>
    <t>Zpracováno dne:</t>
  </si>
  <si>
    <t>3,03 * 0,74 * 0,71 + 3,03 * 0,27 * (1,46 + 0,32) / 2</t>
  </si>
  <si>
    <t>735_</t>
  </si>
  <si>
    <t>4,77 * 0,50 * 4,20 + 4,77 * 0,30 * 2,20 + 2 * 1,71 * 0,50 * 4,20 + 2 * 4,69 * 0,50 * 0,80</t>
  </si>
  <si>
    <t>5,82 * 0,75 * (1,10 + 1,05) / 2 + 0,68 * 0,20 * 1,05 + 5,82 * 0,75 * (1,00 + 0,95) / 2</t>
  </si>
  <si>
    <t>963023711R00</t>
  </si>
  <si>
    <t>963031432R00</t>
  </si>
  <si>
    <t>10</t>
  </si>
  <si>
    <t>979096211R00</t>
  </si>
  <si>
    <t>58</t>
  </si>
  <si>
    <t>3,55 * 0,30 * 2,35 + 3,79 * 0,30 * 2,35 + 0,74 * 0,35 * (2,35 + 2,50) / 2 - 0,90 * 0,30 * 1,95</t>
  </si>
  <si>
    <t>36</t>
  </si>
  <si>
    <t>762331812R00</t>
  </si>
  <si>
    <t>14</t>
  </si>
  <si>
    <t>Vyvěšení dřevěných okenních křídel pl. nad 1,5 m2</t>
  </si>
  <si>
    <t>31</t>
  </si>
  <si>
    <t>943943221R00</t>
  </si>
  <si>
    <t>Zařizovací předměty</t>
  </si>
  <si>
    <t>84</t>
  </si>
  <si>
    <t>"jímka"</t>
  </si>
  <si>
    <t>3,78 * 1,75</t>
  </si>
  <si>
    <t>Množství</t>
  </si>
  <si>
    <t>5_</t>
  </si>
  <si>
    <t>;ztratné 5%; 7,2555905</t>
  </si>
  <si>
    <t>38</t>
  </si>
  <si>
    <t>Bourání cihelných kleneb na MVC tl. 15 cm</t>
  </si>
  <si>
    <t>Vytrhání obrubníků chodníkových a parkových</t>
  </si>
  <si>
    <t>(3,69 + 2,18) * 2,93 - (0,80 + 2 * 0,60) * 1,97</t>
  </si>
  <si>
    <t>5,30 * 0,66 * (0,40 + 0,30) / 2 + 3,75 * 0,65 * 0,30 + 4,66 * 0,77 * (1,00 + 0,85) / 2</t>
  </si>
  <si>
    <t>979990107R00</t>
  </si>
  <si>
    <t>Vnitřní vodovod</t>
  </si>
  <si>
    <t>764322851R00</t>
  </si>
  <si>
    <t>(7,20 - 0,67) * 0,68 * 4,29 - (1,65 + 1,64) * 0,67 * 2,86</t>
  </si>
  <si>
    <t>Typ skupiny</t>
  </si>
  <si>
    <t>73</t>
  </si>
  <si>
    <t>31327502</t>
  </si>
  <si>
    <t>965082923R00</t>
  </si>
  <si>
    <t>762</t>
  </si>
  <si>
    <t>981331111R00</t>
  </si>
  <si>
    <t>762_</t>
  </si>
  <si>
    <t>Bourání cihelných kleneb na MVC tl. 30 cm</t>
  </si>
  <si>
    <t>56</t>
  </si>
  <si>
    <t>722_</t>
  </si>
  <si>
    <t>19</t>
  </si>
  <si>
    <t>C</t>
  </si>
  <si>
    <t>764352811R00</t>
  </si>
  <si>
    <t>725320822R00</t>
  </si>
  <si>
    <t>Náklady (Kč)</t>
  </si>
  <si>
    <t>721</t>
  </si>
  <si>
    <t>110</t>
  </si>
  <si>
    <t>963022819R00</t>
  </si>
  <si>
    <t>39</t>
  </si>
  <si>
    <t>30</t>
  </si>
  <si>
    <t>6,22 * 0,53 * 2,96 - 1,00 * 0,53 * 2,10 - 1,21 * 0,16 * 2,13</t>
  </si>
  <si>
    <t>IČO/DIČ:</t>
  </si>
  <si>
    <t>776511810R00</t>
  </si>
  <si>
    <t>Ostatní</t>
  </si>
  <si>
    <t>979990201R00</t>
  </si>
  <si>
    <t>"pásky"</t>
  </si>
  <si>
    <t>(3,33 + 3,72) * 3,22 - 0,80 * 1,97</t>
  </si>
  <si>
    <t>86</t>
  </si>
  <si>
    <t>55</t>
  </si>
  <si>
    <t>Podlahy povlakové</t>
  </si>
  <si>
    <t>Zpracoval:</t>
  </si>
  <si>
    <t>767920820R00</t>
  </si>
  <si>
    <t>Demontáž parket lepených včetně lišt</t>
  </si>
  <si>
    <t>76</t>
  </si>
  <si>
    <t>Podkladní vrstvy komunikací, letišť a ploch</t>
  </si>
  <si>
    <t>943943821R00</t>
  </si>
  <si>
    <t>998011003R00</t>
  </si>
  <si>
    <t>(6 * 3,50 + 5 * 4,20 + 2 * 6,00) * 26,2 / 1000</t>
  </si>
  <si>
    <t>4,32 * 2,70 + 1,38 * 2,85 + 7,30 * (2,96 + 0,53) / 2</t>
  </si>
  <si>
    <t>Zhotovitel</t>
  </si>
  <si>
    <t>2 * 4,60 + 2 * 3,00</t>
  </si>
  <si>
    <t>2</t>
  </si>
  <si>
    <t>Projektant:</t>
  </si>
  <si>
    <t>ORN celkem</t>
  </si>
  <si>
    <t/>
  </si>
  <si>
    <t>968061126R00</t>
  </si>
  <si>
    <t>17</t>
  </si>
  <si>
    <t>- 6 * 1,50 * 1,75 * (0,84 + 0,85) - 1,70 * 0,85 * 2,41</t>
  </si>
  <si>
    <t>29,10 + 22,10</t>
  </si>
  <si>
    <t>98</t>
  </si>
  <si>
    <t>112</t>
  </si>
  <si>
    <t>Lešení a stavební výtahy</t>
  </si>
  <si>
    <t>Demontáž konstrukcí krovů z hranolů do 288 cm2</t>
  </si>
  <si>
    <t>21</t>
  </si>
  <si>
    <t>Přepojení telekomunikačního vedení + pilíř</t>
  </si>
  <si>
    <t>764362811R00</t>
  </si>
  <si>
    <t>21,80 + 12,40 + 7,60 + 2,00 + 16,30 + 4,20</t>
  </si>
  <si>
    <t>6,10 * 2</t>
  </si>
  <si>
    <t>Práce přesčas</t>
  </si>
  <si>
    <t>1,25 * 16</t>
  </si>
  <si>
    <t>61</t>
  </si>
  <si>
    <t>Přisekání plošné zdiva cihelného na MVC tl. 10 cm</t>
  </si>
  <si>
    <t>3 + 2</t>
  </si>
  <si>
    <t>764900010RAA</t>
  </si>
  <si>
    <t>712</t>
  </si>
  <si>
    <t>979017112R00</t>
  </si>
  <si>
    <t>174101101R00</t>
  </si>
  <si>
    <t>12</t>
  </si>
  <si>
    <t>3 * 0,90 * 2,00 + 4 * 0,80 * 2,00 + 4 * 0,60 * 2,00</t>
  </si>
  <si>
    <t>"krov"</t>
  </si>
  <si>
    <t>Kulturní památka</t>
  </si>
  <si>
    <t>65,50 + 7,10 + 10,10 + 33,90 + 22,50 + 32,80 + 7,90 + 19,80 + 6,40 +7,90 + 6,40</t>
  </si>
  <si>
    <t>Odvoz suti a vybour. hmot na skládku do 1 km</t>
  </si>
  <si>
    <t>Objekt</t>
  </si>
  <si>
    <t>3,79 * 1,20 * 4</t>
  </si>
  <si>
    <t>Bourání konstrukcí</t>
  </si>
  <si>
    <t>725840850R00</t>
  </si>
  <si>
    <t>122301102R00</t>
  </si>
  <si>
    <t>Otopná tělesa</t>
  </si>
  <si>
    <t>65,50 + 79,10 + 30,40 + 11,30 + 5,00 + 8,30 + 6,70</t>
  </si>
  <si>
    <t>Poplatek za uložení suti - azbestocementové výrobky, skupina odpadu 170605</t>
  </si>
  <si>
    <t>DPH 21%</t>
  </si>
  <si>
    <t>Chodník z dlažby zámkové, podklad štěrkodrť</t>
  </si>
  <si>
    <t>725122814R00</t>
  </si>
  <si>
    <t>(20,85 - 2 * 0,67 + 11,52 + 11,51 + 12,48) *  4,29 - 13 * 1,50 * 2,10 * 0,67</t>
  </si>
  <si>
    <t>968061125R00</t>
  </si>
  <si>
    <t>2,80 * 3,22 - 1,50 * 0,60 + 3,34 * 3,22 - 0,80 * 1,97</t>
  </si>
  <si>
    <t>4,10 + 4,60 + 3,40 + 4,40 + 2,40</t>
  </si>
  <si>
    <t>RTS II / 2017</t>
  </si>
  <si>
    <t>(4,69 - 1,71) * 0,50 * (2,42 + 4,20) / 2 + (4,69 - 1,71) * 0,50 * (6,12 + 4,20) / 2</t>
  </si>
  <si>
    <t>0,94 * 0,99 * 5,25</t>
  </si>
  <si>
    <t>Demontáž lemování trub D 250 mm, hl. kryt. do 45°</t>
  </si>
  <si>
    <t>_</t>
  </si>
  <si>
    <t>ORN celkem z obj.</t>
  </si>
  <si>
    <t>962084131R00</t>
  </si>
  <si>
    <t>766111820R00</t>
  </si>
  <si>
    <t>Demontáž otopných těles panelových 2řadých,1500 mm</t>
  </si>
  <si>
    <t>(3,30 + 0,51) * 0,53 * 3,84 - 1,00 * 0,53 * 2,10</t>
  </si>
  <si>
    <t>(6,67 + 3,68) * 0,53 * 3,00 - 3 * 0,60 * 1,15 * 0,53 - 2 * 0,80 * 1,75 *0,53</t>
  </si>
  <si>
    <t>3,08 * 0,50 * (3,50 + 3,54) / 2 + 3,08 * 0,50 * (3,27 + 3,30) / 2</t>
  </si>
  <si>
    <t>49</t>
  </si>
  <si>
    <t>72</t>
  </si>
  <si>
    <t>5,82 * 5,05 * (0,70 + 0,60 + 0,30 + 0,35) / 4 + 5,82 * 3,32 * (0,35 + 0,15 + 0 + 0,30) / 4</t>
  </si>
  <si>
    <t>98_</t>
  </si>
  <si>
    <t>968061113R00</t>
  </si>
  <si>
    <t>Přesuny</t>
  </si>
  <si>
    <t>MAT</t>
  </si>
  <si>
    <t>979011321R00</t>
  </si>
  <si>
    <t>775_</t>
  </si>
  <si>
    <t>16,50 * 1,45</t>
  </si>
  <si>
    <t>4,44 * 6,09 * (1,05 + 1,00 + 0,80 + 0,75) / 4 + 4,52 * 2,83 * (1,15 + 1,05 + 0,90 + 0,90) / 4</t>
  </si>
  <si>
    <t>70</t>
  </si>
  <si>
    <t>776</t>
  </si>
  <si>
    <t>8</t>
  </si>
  <si>
    <t>Celkem:</t>
  </si>
  <si>
    <t>1,50 + 16</t>
  </si>
  <si>
    <t>Mimostav. doprava</t>
  </si>
  <si>
    <t>18</t>
  </si>
  <si>
    <t>DN celkem z obj.</t>
  </si>
  <si>
    <t>Lešení lehké pomocné, výška podlahy do 1,9 m</t>
  </si>
  <si>
    <t>2,67 * 0,49 * 3,12 - 1,00 * 0,49 * 2,10 + 4,70 * 0,20 * 2,96 - 0,90 * 0,20 * 2,00</t>
  </si>
  <si>
    <t>46</t>
  </si>
  <si>
    <t>764_</t>
  </si>
  <si>
    <t>soub.</t>
  </si>
  <si>
    <t>2,25 * 0,65 * (2,11 + 2,51) / 2 + 1,45 * 0,81 * (2,09 + 2,55) / 2 - 1,45 * 0,61 * (1,76 + 1,86) / 2</t>
  </si>
  <si>
    <t>(4,62 * 4,82 + 2,55 * 2,64) * 0,35 + 1,45 * 2,84 * (0,25 + 1,40) / 2</t>
  </si>
  <si>
    <t>71_</t>
  </si>
  <si>
    <t>Úprava povrchů vnější</t>
  </si>
  <si>
    <t>100</t>
  </si>
  <si>
    <t>108</t>
  </si>
  <si>
    <t>50</t>
  </si>
  <si>
    <t>Montáž a demontáž shozu za 2.NP</t>
  </si>
  <si>
    <t>m</t>
  </si>
  <si>
    <t>1,60 * 2,45</t>
  </si>
  <si>
    <t>968061112R00</t>
  </si>
  <si>
    <t>500</t>
  </si>
  <si>
    <t>Demontáž, zásobník elektrický tlakový  200 l</t>
  </si>
  <si>
    <t>Přemístění výkopku</t>
  </si>
  <si>
    <t>11</t>
  </si>
  <si>
    <t>RTS II / 2022</t>
  </si>
  <si>
    <t>"pozednice"</t>
  </si>
  <si>
    <t>Vodorovné přemístění výkopku z hor.1-4 do 10000 m</t>
  </si>
  <si>
    <t>32</t>
  </si>
  <si>
    <t>Rozvod potrubí</t>
  </si>
  <si>
    <t>Objednatel:</t>
  </si>
  <si>
    <t>5,40 * (1,36 + 0,46) / 2 + 4,76 * (1,36 + 0,46) / 2</t>
  </si>
  <si>
    <t>963051113R00</t>
  </si>
  <si>
    <t>Vyvěšení dřevěných dveřních křídel pl. nad 2 m2</t>
  </si>
  <si>
    <t>PSV mat</t>
  </si>
  <si>
    <t>"papuče"</t>
  </si>
  <si>
    <t>767996801R00</t>
  </si>
  <si>
    <t>20,40 + 11,00 + 2 * 8,60 + 10,90 + 2 * 8,80 + 2 * 4,40</t>
  </si>
  <si>
    <t>Krytina tvrdá</t>
  </si>
  <si>
    <t>3</t>
  </si>
  <si>
    <t>553462121</t>
  </si>
  <si>
    <t>Demontáž potrubí ocelového do DN 32-50</t>
  </si>
  <si>
    <t>2 * (3,37 + 7,90) / 2 * 4,50 + 2 * 12,20 * 7,00 / 2</t>
  </si>
  <si>
    <t>6,19 * 2,80</t>
  </si>
  <si>
    <t>102</t>
  </si>
  <si>
    <t>Zhotovitel:</t>
  </si>
  <si>
    <t>8,60 * 0,80 * 1,00 + 1,24 * 0,60 * 1,00 + 2,55 * 0,60 * 1,00 + 2,90 * 0,80 * 1,00</t>
  </si>
  <si>
    <t>96_</t>
  </si>
  <si>
    <t>Demontáž azbestocement.čtverců na bednění, do suti</t>
  </si>
  <si>
    <t>113106121R00</t>
  </si>
  <si>
    <t>Demolice</t>
  </si>
  <si>
    <t>35</t>
  </si>
  <si>
    <t>Odpojení vodovodu včetně zemních prací</t>
  </si>
  <si>
    <t>Začátek výstavby:</t>
  </si>
  <si>
    <t>(6,67 + 2 * 3,51) * 0,70 * 0,30 + 0,40 * 0,50 * 0,30</t>
  </si>
  <si>
    <t>(7 * (5,00 + 5,10) + 10 * 6,50) * 0,20 * 0,24</t>
  </si>
  <si>
    <t>4,62 * 3,60 + 2,55 * 1,10</t>
  </si>
  <si>
    <t>762811811R00</t>
  </si>
  <si>
    <t>A</t>
  </si>
  <si>
    <t>Svislé přemístění vyb. hmot nošením na H do 3,5 m</t>
  </si>
  <si>
    <t>Mont mat</t>
  </si>
  <si>
    <t>722</t>
  </si>
  <si>
    <t>963065311R00</t>
  </si>
  <si>
    <t>7,40 * 4 + 5,70 * 4 + 17,20 + 7,10 + 6,90 + 3,40 * 4</t>
  </si>
  <si>
    <t>93</t>
  </si>
  <si>
    <t>73_</t>
  </si>
  <si>
    <t>Bourání zdiva nadzákladového kamenného na MVC</t>
  </si>
  <si>
    <t>967029980VD</t>
  </si>
  <si>
    <t>101</t>
  </si>
  <si>
    <t>75</t>
  </si>
  <si>
    <t>979011311R00</t>
  </si>
  <si>
    <t>54</t>
  </si>
  <si>
    <t>9,90 * 4 + 7,20 * 18 + 7,00 * 2 + 6,05 * 4 +  5,50 * 4 + 4,60 * 4 + 4,40 * 10 + 4,00</t>
  </si>
  <si>
    <t>3,51 * 0,70 * (0,30 + 0,40) / 2 + 5,41 * 0,30 * (0,20 + 0,35) / 2 + 5,41 * 0,30 * (0,20 + 0,35) / 2</t>
  </si>
  <si>
    <t>(4,38 * 3,05 + 1,21 * 2,55 + 5,41 * 1,98 + 5,41 * 1,23 + 3,75 * 1,67 + 3,01 * 1,51) * 0,30</t>
  </si>
  <si>
    <t xml:space="preserve"> </t>
  </si>
  <si>
    <t>16_</t>
  </si>
  <si>
    <t>6,09 * 0,70 * (1,35 + 1,05) / 2 + 4,52 * 0,30 * 1,20 + (7,12 - 1,00) * 1,00 * (1,35 + 1,00) / 2</t>
  </si>
  <si>
    <t>0,44 * 0,38 * 2,60</t>
  </si>
  <si>
    <t>- 1,00 * 0,74 * 2,10 - 0,80 * 0,45 * 0,74</t>
  </si>
  <si>
    <t>(1,59 + 0,49 + 3,15) * 0,69 - 1,00 * 0,69 * 2,10</t>
  </si>
  <si>
    <t>762841812R00</t>
  </si>
  <si>
    <t>Kryty pozemních komunikací, letišť a ploch dlážděných (předlažby)</t>
  </si>
  <si>
    <t>kg</t>
  </si>
  <si>
    <t>Objednatel</t>
  </si>
  <si>
    <t>4,19 * 0,50 * 4,29 - 2 * 0,80 * 0,50 * 2,10</t>
  </si>
  <si>
    <t>57</t>
  </si>
  <si>
    <t>967031732R00</t>
  </si>
  <si>
    <t>764359811R00</t>
  </si>
  <si>
    <t>Demontáž podlah bez polštářů z dřevotřísky do 2 cm</t>
  </si>
  <si>
    <t>(Kč)</t>
  </si>
  <si>
    <t>(11 * 7,00 + 10 * 7,00) * 0,24 * 0,30 + (15 * 4,00 + 7 * 4,20) * 0,20 * 0,24 + 9,80 * 0,24 * 0,30</t>
  </si>
  <si>
    <t>(6,67 + 4,20 - 0,52) * 0,52 * 4,29 - 4 * 0,60 * 0,50 * 1,18</t>
  </si>
  <si>
    <t>4,79 * 0,50 * 3,31 - 1,60 * 2,45 * 0,50 + 2 * 2,32 * 0,50 * 3,31</t>
  </si>
  <si>
    <t>22</t>
  </si>
  <si>
    <t>115</t>
  </si>
  <si>
    <t>Odstranění PVC a koberců lepených bez podložky</t>
  </si>
  <si>
    <t>2,38 * (1,95 + 3,10) / 2 + 1,62 * 2,86 - 0,80 * 1,97</t>
  </si>
  <si>
    <t>(2,50 * 1,25 + 1,99 * 4,00) * 0,45</t>
  </si>
  <si>
    <t>Územní vlivy</t>
  </si>
  <si>
    <t>Vyvěšení dřevěných dveřních křídel pl. do 2 m2</t>
  </si>
  <si>
    <t>m3</t>
  </si>
  <si>
    <t>725</t>
  </si>
  <si>
    <t>0,68 * 0,20 * 0,30 + 4,38 * 0,80 * 0,30 + 5,41 * 0,30 * 0,30</t>
  </si>
  <si>
    <t>Demontáž krytiny střech z plechu pozinkovaného</t>
  </si>
  <si>
    <t>T</t>
  </si>
  <si>
    <t>764342842R00</t>
  </si>
  <si>
    <t>Demontáž žlabů půlkruh. rovných, rš 330 mm, do 45°</t>
  </si>
  <si>
    <t>Datum:</t>
  </si>
  <si>
    <t>91_</t>
  </si>
  <si>
    <t>Bourání příček z cihel pálených tl. 100 mm</t>
  </si>
  <si>
    <t>27</t>
  </si>
  <si>
    <t>0,45 * 0,45 * 0,60</t>
  </si>
  <si>
    <t>37</t>
  </si>
  <si>
    <t>80</t>
  </si>
  <si>
    <t>m2</t>
  </si>
  <si>
    <t>Demontáž otopných těles panelových 2řadých,2820 mm</t>
  </si>
  <si>
    <t>41</t>
  </si>
  <si>
    <t>59_</t>
  </si>
  <si>
    <t>79,10</t>
  </si>
  <si>
    <t>Přesun hmot a sutí</t>
  </si>
  <si>
    <t>NUS z rozpočtu</t>
  </si>
  <si>
    <t>Výkaz výměr</t>
  </si>
  <si>
    <t>Odkopávky nezapažené v hor. 4 do 1000 m3</t>
  </si>
  <si>
    <t>1</t>
  </si>
  <si>
    <t>5,00 + 7,90 + 6,40</t>
  </si>
  <si>
    <t>2,88 * 3,75 * 0,15</t>
  </si>
  <si>
    <t>((20,85 + 11,51 - 0,58 - 0,59 + 13,11) * 0,68 + (11,52 -0,58 - 0,59 + 7,24) * 0,69) * 3,84</t>
  </si>
  <si>
    <t>Pletivo 4hr drátěné plastifik 50x2,2x1500mmFluidex</t>
  </si>
  <si>
    <t>2 * 1,60 + 38 * 1,50 + 6 * 0,80 + 13 * 0,60</t>
  </si>
  <si>
    <t>Demontáž dřezů dvojitých v kuchyň.sestavách</t>
  </si>
  <si>
    <t>Oplechování říms z Pz plechu, rš 800 mm</t>
  </si>
  <si>
    <t>7</t>
  </si>
  <si>
    <t>Rozměry</t>
  </si>
  <si>
    <t>(65,50 + 17,50 + 33,90 + 22,50 + 32,80 + 8,70 + 6,40 + 8,40 + 6,70) * 0,15</t>
  </si>
  <si>
    <t>767911120R00</t>
  </si>
  <si>
    <t>3,15 * 1,75 * 7 + 5,60 * 1,35 * 3 + 3,75 * 1,75</t>
  </si>
  <si>
    <t>74</t>
  </si>
  <si>
    <t>Položek:</t>
  </si>
  <si>
    <t>NUS celkem</t>
  </si>
  <si>
    <t>WORK</t>
  </si>
  <si>
    <t>2 * (8,56 + 9,50) / 2 * 2,90</t>
  </si>
  <si>
    <t>979082111R00</t>
  </si>
  <si>
    <t>83</t>
  </si>
  <si>
    <t>733</t>
  </si>
  <si>
    <t>1,65 * 16</t>
  </si>
  <si>
    <t>114</t>
  </si>
  <si>
    <t>941955002R00</t>
  </si>
  <si>
    <t>Odstranění PVC a koberců lepených s podložkou</t>
  </si>
  <si>
    <t>47</t>
  </si>
  <si>
    <t>735</t>
  </si>
  <si>
    <t>((6,19 + 0,49 + 0,20) * 0,65 + 4,60 * 0,56 + (4,53 + 1,24 + 1,45) * 0,40) * 2,96</t>
  </si>
  <si>
    <t>965042241RT3</t>
  </si>
  <si>
    <t>979011329R00</t>
  </si>
  <si>
    <t>HSV mat</t>
  </si>
  <si>
    <t>591100020RA0</t>
  </si>
  <si>
    <t>968062456R00</t>
  </si>
  <si>
    <t>Demontáž oplechování parapetů,rš od 100 do 330 mm</t>
  </si>
  <si>
    <t>66</t>
  </si>
  <si>
    <t>5,15 * 0,50 * 3,50 - 1,60 * 2,45 * 0,50 + 2 * 2,32 * 0,50 * 0,50</t>
  </si>
  <si>
    <t>725110811R00</t>
  </si>
  <si>
    <t>917862111RT5</t>
  </si>
  <si>
    <t>56_</t>
  </si>
  <si>
    <t>22006990VD</t>
  </si>
  <si>
    <t>8 * 0,30 * 0,30 * 0,60</t>
  </si>
  <si>
    <t>Demontáž kotle litinového Viadrus U,G Emka 10 čl.</t>
  </si>
  <si>
    <t>969021121R00</t>
  </si>
  <si>
    <t>Vybourání vodovod., plynového vedení DN do 52 mm</t>
  </si>
  <si>
    <t>Přesun hmot pro budovy zděné výšky do 24 m</t>
  </si>
  <si>
    <t>12,00 * 4</t>
  </si>
  <si>
    <t>Konstrukce tesařské</t>
  </si>
  <si>
    <t>90</t>
  </si>
  <si>
    <t>(2 * 0,53 + 0,77) * 1,37</t>
  </si>
  <si>
    <t>89</t>
  </si>
  <si>
    <t>Vybourání dřevěných rámů oken jednoduch. pl. 2 m2</t>
  </si>
  <si>
    <t>Bourání podlah z cihel naplocho, plochy nad 1 m2</t>
  </si>
  <si>
    <t>968062246R00</t>
  </si>
  <si>
    <t>- (1,65 * 2,86 + 1,60 * 2,86 + 2 * 0,90 * 2,10) * 0,85 - 0,95 * 0,16 * 1,96</t>
  </si>
  <si>
    <t>0,54 * 0,33 * 3,55</t>
  </si>
  <si>
    <t>2 * (0,53 + 0,77) * 1,37 - 0,40 * 0,60</t>
  </si>
  <si>
    <t>(21,45 + 12,12 + 7,50 + 16,00) * 0,90 * 0,15</t>
  </si>
  <si>
    <t>88</t>
  </si>
  <si>
    <t>762331815R00</t>
  </si>
  <si>
    <t>Zkrácený popis</t>
  </si>
  <si>
    <t>Bourání cihel.kleneb na MVC,ocel.nosníky tl. 15 cm</t>
  </si>
  <si>
    <t>28</t>
  </si>
  <si>
    <t>111</t>
  </si>
  <si>
    <t>Poplatek za uložení směsi betonu a cihel skupina 170101 a 170102</t>
  </si>
  <si>
    <t>33_</t>
  </si>
  <si>
    <t>981511111R00</t>
  </si>
  <si>
    <t>12 + 13</t>
  </si>
  <si>
    <t>CELK</t>
  </si>
  <si>
    <t>65,50 + 7,10 + 10,10 + 33,90 +22,50</t>
  </si>
  <si>
    <t>Podklad ze štěrkodrti po zhutnění tloušťky 21 cm</t>
  </si>
  <si>
    <t>113</t>
  </si>
  <si>
    <t>106</t>
  </si>
  <si>
    <t>M22_</t>
  </si>
  <si>
    <t>94_</t>
  </si>
  <si>
    <t>6,0</t>
  </si>
  <si>
    <t>65</t>
  </si>
  <si>
    <t>Prorážení otvorů a ostatní bourací práce</t>
  </si>
  <si>
    <t>(2,17 * 1,10 + 1,97 * 4,15) * 0,45</t>
  </si>
  <si>
    <t>34</t>
  </si>
  <si>
    <t>62</t>
  </si>
  <si>
    <t>0,45 * 0,45 * 1,25</t>
  </si>
  <si>
    <t>Bourání příček deskových,sádrokartonových tl.10 cm</t>
  </si>
  <si>
    <t>762526811R00</t>
  </si>
  <si>
    <t>733110810R00</t>
  </si>
  <si>
    <t>979017191R00</t>
  </si>
  <si>
    <t>218</t>
  </si>
  <si>
    <t>764422210R00</t>
  </si>
  <si>
    <t>"sklepní místnost"</t>
  </si>
  <si>
    <t>Demontáž atypických ocelových konstr. do 50 kg</t>
  </si>
  <si>
    <t>Demolice konstrukcí postup.rozebráním,zdivo MVC</t>
  </si>
  <si>
    <t>Náklady (Kč) - Montáž</t>
  </si>
  <si>
    <t>Bourání kamenných.schodišťových stupňů</t>
  </si>
  <si>
    <t>Demontáž háků, sklon do 45°</t>
  </si>
  <si>
    <t>Vnitřní kanalizace</t>
  </si>
  <si>
    <t>demolice hlavního objektu</t>
  </si>
  <si>
    <t>Ing. Petr Hošek</t>
  </si>
  <si>
    <t>Demontáž azbestocement.čtverců na bednění, do suti, včetně opatření pro likvidaci</t>
  </si>
  <si>
    <t>demolice hlavního objektu a kůlny</t>
  </si>
  <si>
    <t>2,62 * (4,16 + 3,87) / 2</t>
  </si>
  <si>
    <t>3,90</t>
  </si>
  <si>
    <t>(2,60 * 0,90 + 15,56 * 0,65 + 2 * 1,95 * 0,65) * 0,30</t>
  </si>
  <si>
    <t>6,81 * 2,01 * 0,20</t>
  </si>
  <si>
    <t>7,23432</t>
  </si>
  <si>
    <t>;ztratné 5%; 0,361716</t>
  </si>
  <si>
    <t>181201102R00</t>
  </si>
  <si>
    <t>Úprava pláně v násypech v hor. 1-4, se zhutněním</t>
  </si>
  <si>
    <t>16,50 * 2,60 + 2,62 * (4,16 + 3,87) / 2</t>
  </si>
  <si>
    <t>622421121R00</t>
  </si>
  <si>
    <t>Omítka vnější stěn, MVC, hrubá zatřená</t>
  </si>
  <si>
    <t>0,82 * 4,26 + 0,46 * 3,32 + 2 * 0,52 * 3,32</t>
  </si>
  <si>
    <t>16,20 * 3,75</t>
  </si>
  <si>
    <t>762111811R00</t>
  </si>
  <si>
    <t>Demontáž stěn z hranolků, fošen nebo latí</t>
  </si>
  <si>
    <t>7,71 * 3,20 + 2,43 * 3,65</t>
  </si>
  <si>
    <t>762131811R00</t>
  </si>
  <si>
    <t>Demontáž bednění stěn z hrubých prken, latí</t>
  </si>
  <si>
    <t>762331811R00</t>
  </si>
  <si>
    <t>Demontáž konstrukcí krovů z hranolů do 120 cm2</t>
  </si>
  <si>
    <t>"krokve pergoly"</t>
  </si>
  <si>
    <t>6 * 3,00</t>
  </si>
  <si>
    <t>16 * 3,60</t>
  </si>
  <si>
    <t>5 * 1,50</t>
  </si>
  <si>
    <t>8 * 1,00</t>
  </si>
  <si>
    <t>sloupky</t>
  </si>
  <si>
    <t>5 * 1,60</t>
  </si>
  <si>
    <t>pozednice</t>
  </si>
  <si>
    <t>2 * 15,60</t>
  </si>
  <si>
    <t>vazné trámy</t>
  </si>
  <si>
    <t>5 * 2,80</t>
  </si>
  <si>
    <t>6,81 * 2,01</t>
  </si>
  <si>
    <t>762342812R00</t>
  </si>
  <si>
    <t>Demontáž laťování střech, rozteč latí do 50 cm</t>
  </si>
  <si>
    <t>764352801R00</t>
  </si>
  <si>
    <t>Demontáž žlabů půlkruh. rovných, rš 250 mm, do 45°</t>
  </si>
  <si>
    <t>16,35</t>
  </si>
  <si>
    <t>764430810R00</t>
  </si>
  <si>
    <t>Demontáž oplechování zdí, rš do 250 mm</t>
  </si>
  <si>
    <t>2 * 0,70 + 0,45</t>
  </si>
  <si>
    <t>764454802R00</t>
  </si>
  <si>
    <t>Demontáž odpadních trub kruhových,D 120 mm</t>
  </si>
  <si>
    <t>4,70</t>
  </si>
  <si>
    <t>764421870R00</t>
  </si>
  <si>
    <t>Demontáž oplechování říms,rš od 400 do 500 mm</t>
  </si>
  <si>
    <t>3,70 + 16,40 + 3,90</t>
  </si>
  <si>
    <t>764900010RA0</t>
  </si>
  <si>
    <t>Demontáž krytiny střech</t>
  </si>
  <si>
    <t>764430220R00</t>
  </si>
  <si>
    <t>Oplechování zdí z Pz plechu, rš 330 mm</t>
  </si>
  <si>
    <t>16,4</t>
  </si>
  <si>
    <t>764430230R00</t>
  </si>
  <si>
    <t>Oplechování zdí z Pz plechu, rš 400 mm</t>
  </si>
  <si>
    <t>764430240R00</t>
  </si>
  <si>
    <t>Oplechování zdí z Pz plechu, rš 500 mm</t>
  </si>
  <si>
    <t>4,20</t>
  </si>
  <si>
    <t>764430260R00</t>
  </si>
  <si>
    <t>Oplechování zdí z Pz plechu, rš 750 mm</t>
  </si>
  <si>
    <t>0,90</t>
  </si>
  <si>
    <t>6,81 * 2,01 + 7,71 * 2,43</t>
  </si>
  <si>
    <t>7,70 * 0,30 * 0,20</t>
  </si>
  <si>
    <t>8 * 2,40 * 0,14 * 0,16</t>
  </si>
  <si>
    <t>4,40 * 17,9 / 1000</t>
  </si>
  <si>
    <t>2 * 0,98 * 1,25</t>
  </si>
  <si>
    <t>0,80 * 2,00</t>
  </si>
  <si>
    <t>Demontáž ostatních prvků - okeníce aj.</t>
  </si>
  <si>
    <t>2,53 * 0,82 * (5,35 + 3,85) / 2 + 0,82 * 0,23 * (0,37 + 0,15) / 2 + 0,52 * 0,85 * (1,23 + 1,45) / 2</t>
  </si>
  <si>
    <t>7,85 * 0,52 * 3,35 + 7,85 * 0,23 * (0,37 + 0,15) / 2 - 2 * 1,00 * 1,25 * 0,52</t>
  </si>
  <si>
    <t>2 * 2,01 * 0,52 * (4,85 + 3,35) / 2 - 0,85 * 2,10 * 0,52 + 16,20 * 0,18 * 1,65</t>
  </si>
  <si>
    <t>0,45 * 0,75 * 0,70</t>
  </si>
  <si>
    <t>979081111R00</t>
  </si>
  <si>
    <t>19 * 94,57778</t>
  </si>
  <si>
    <t>Poplatek za skládku suti - směs betonu,cihel,dřeva</t>
  </si>
  <si>
    <t>Poplatek za skládku suti -azbestocementové výrobky</t>
  </si>
  <si>
    <t>Demolice kůlny</t>
  </si>
  <si>
    <t>Povrchové úpravy terénu</t>
  </si>
  <si>
    <t>18_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</si>
</sst>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6">
    <font>
      <sz val="6"/>
      <name val="Arial"/>
      <family val="0"/>
    </font>
    <font>
      <sz val="11"/>
      <name val="Calibri"/>
      <family val="0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Arial"/>
      <family val="0"/>
    </font>
    <font>
      <i/>
      <sz val="9"/>
      <color indexed="8"/>
      <name val="Arial"/>
      <family val="2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theme="0"/>
      <name val="Times New Roman"/>
      <family val="2"/>
    </font>
    <font>
      <sz val="10"/>
      <color rgb="FF000000"/>
      <name val="Arial"/>
      <family val="0"/>
    </font>
    <font>
      <sz val="12"/>
      <color rgb="FF000000"/>
      <name val="Arial"/>
      <family val="0"/>
    </font>
    <font>
      <b/>
      <sz val="10"/>
      <color rgb="FF000000"/>
      <name val="Arial"/>
      <family val="0"/>
    </font>
    <font>
      <b/>
      <sz val="20"/>
      <color rgb="FF000000"/>
      <name val="Arial"/>
      <family val="0"/>
    </font>
    <font>
      <b/>
      <sz val="12"/>
      <color rgb="FF000000"/>
      <name val="Arial"/>
      <family val="0"/>
    </font>
    <font>
      <i/>
      <sz val="8"/>
      <color rgb="FF000000"/>
      <name val="Arial"/>
      <family val="0"/>
    </font>
    <font>
      <i/>
      <sz val="9"/>
      <color rgb="FF000000"/>
      <name val="Arial"/>
      <family val="2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>
        <color rgb="FF000000"/>
      </left>
      <right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/>
      <right/>
      <top>
        <color rgb="FF000000"/>
      </top>
      <bottom style="thin">
        <color rgb="FF000000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8"/>
      </top>
      <bottom style="medium"/>
    </border>
    <border>
      <left/>
      <right/>
      <top>
        <color indexed="8"/>
      </top>
      <bottom style="medium"/>
    </border>
    <border>
      <left/>
      <right style="medium"/>
      <top>
        <color indexed="8"/>
      </top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7">
    <xf numFmtId="0" fontId="1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4" fontId="47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9" fillId="33" borderId="11" xfId="0" applyNumberFormat="1" applyFont="1" applyFill="1" applyBorder="1" applyAlignment="1" applyProtection="1">
      <alignment horizontal="center" vertical="center"/>
      <protection/>
    </xf>
    <xf numFmtId="0" fontId="48" fillId="0" borderId="12" xfId="0" applyNumberFormat="1" applyFont="1" applyFill="1" applyBorder="1" applyAlignment="1" applyProtection="1">
      <alignment horizontal="center" vertical="center"/>
      <protection/>
    </xf>
    <xf numFmtId="0" fontId="49" fillId="33" borderId="13" xfId="0" applyNumberFormat="1" applyFont="1" applyFill="1" applyBorder="1" applyAlignment="1" applyProtection="1">
      <alignment horizontal="center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8" xfId="0" applyNumberFormat="1" applyFont="1" applyFill="1" applyBorder="1" applyAlignment="1" applyProtection="1">
      <alignment horizontal="left" vertical="center"/>
      <protection/>
    </xf>
    <xf numFmtId="0" fontId="48" fillId="33" borderId="0" xfId="0" applyNumberFormat="1" applyFont="1" applyFill="1" applyBorder="1" applyAlignment="1" applyProtection="1">
      <alignment horizontal="right" vertical="center"/>
      <protection/>
    </xf>
    <xf numFmtId="0" fontId="48" fillId="0" borderId="19" xfId="0" applyNumberFormat="1" applyFont="1" applyFill="1" applyBorder="1" applyAlignment="1" applyProtection="1">
      <alignment horizontal="left" vertical="center"/>
      <protection/>
    </xf>
    <xf numFmtId="4" fontId="50" fillId="33" borderId="13" xfId="0" applyNumberFormat="1" applyFont="1" applyFill="1" applyBorder="1" applyAlignment="1" applyProtection="1">
      <alignment horizontal="righ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50" fillId="0" borderId="21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22" xfId="0" applyNumberFormat="1" applyFont="1" applyFill="1" applyBorder="1" applyAlignment="1" applyProtection="1">
      <alignment horizontal="center" vertical="center"/>
      <protection/>
    </xf>
    <xf numFmtId="4" fontId="50" fillId="33" borderId="20" xfId="0" applyNumberFormat="1" applyFont="1" applyFill="1" applyBorder="1" applyAlignment="1" applyProtection="1">
      <alignment horizontal="right" vertical="center"/>
      <protection/>
    </xf>
    <xf numFmtId="4" fontId="47" fillId="0" borderId="20" xfId="0" applyNumberFormat="1" applyFont="1" applyFill="1" applyBorder="1" applyAlignment="1" applyProtection="1">
      <alignment horizontal="right" vertical="center"/>
      <protection/>
    </xf>
    <xf numFmtId="0" fontId="48" fillId="0" borderId="23" xfId="0" applyNumberFormat="1" applyFont="1" applyFill="1" applyBorder="1" applyAlignment="1" applyProtection="1">
      <alignment horizontal="left" vertical="center"/>
      <protection/>
    </xf>
    <xf numFmtId="0" fontId="48" fillId="0" borderId="24" xfId="0" applyNumberFormat="1" applyFont="1" applyFill="1" applyBorder="1" applyAlignment="1" applyProtection="1">
      <alignment horizontal="center" vertical="center"/>
      <protection/>
    </xf>
    <xf numFmtId="0" fontId="48" fillId="0" borderId="25" xfId="0" applyNumberFormat="1" applyFont="1" applyFill="1" applyBorder="1" applyAlignment="1" applyProtection="1">
      <alignment horizontal="center" vertical="center"/>
      <protection/>
    </xf>
    <xf numFmtId="0" fontId="50" fillId="0" borderId="26" xfId="0" applyNumberFormat="1" applyFont="1" applyFill="1" applyBorder="1" applyAlignment="1" applyProtection="1">
      <alignment horizontal="left" vertical="center"/>
      <protection/>
    </xf>
    <xf numFmtId="4" fontId="47" fillId="0" borderId="27" xfId="0" applyNumberFormat="1" applyFont="1" applyFill="1" applyBorder="1" applyAlignment="1" applyProtection="1">
      <alignment horizontal="right" vertical="center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28" xfId="0" applyNumberFormat="1" applyFont="1" applyFill="1" applyBorder="1" applyAlignment="1" applyProtection="1">
      <alignment horizontal="center" vertical="center"/>
      <protection/>
    </xf>
    <xf numFmtId="0" fontId="48" fillId="0" borderId="23" xfId="0" applyNumberFormat="1" applyFont="1" applyFill="1" applyBorder="1" applyAlignment="1" applyProtection="1">
      <alignment horizontal="center" vertical="center"/>
      <protection/>
    </xf>
    <xf numFmtId="4" fontId="46" fillId="0" borderId="27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27" xfId="0" applyNumberFormat="1" applyFont="1" applyFill="1" applyBorder="1" applyAlignment="1" applyProtection="1">
      <alignment horizontal="right" vertical="center"/>
      <protection/>
    </xf>
    <xf numFmtId="0" fontId="48" fillId="0" borderId="29" xfId="0" applyNumberFormat="1" applyFont="1" applyFill="1" applyBorder="1" applyAlignment="1" applyProtection="1">
      <alignment horizontal="center" vertical="center"/>
      <protection/>
    </xf>
    <xf numFmtId="4" fontId="47" fillId="0" borderId="13" xfId="0" applyNumberFormat="1" applyFont="1" applyFill="1" applyBorder="1" applyAlignment="1" applyProtection="1">
      <alignment horizontal="righ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48" fillId="0" borderId="31" xfId="0" applyNumberFormat="1" applyFont="1" applyFill="1" applyBorder="1" applyAlignment="1" applyProtection="1">
      <alignment horizontal="left" vertical="center"/>
      <protection/>
    </xf>
    <xf numFmtId="4" fontId="48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 horizontal="right" vertical="center"/>
      <protection/>
    </xf>
    <xf numFmtId="4" fontId="48" fillId="0" borderId="31" xfId="0" applyNumberFormat="1" applyFont="1" applyFill="1" applyBorder="1" applyAlignment="1" applyProtection="1">
      <alignment horizontal="right" vertical="center"/>
      <protection/>
    </xf>
    <xf numFmtId="0" fontId="48" fillId="0" borderId="33" xfId="0" applyNumberFormat="1" applyFont="1" applyFill="1" applyBorder="1" applyAlignment="1" applyProtection="1">
      <alignment horizontal="left" vertical="center"/>
      <protection/>
    </xf>
    <xf numFmtId="0" fontId="48" fillId="0" borderId="34" xfId="0" applyNumberFormat="1" applyFont="1" applyFill="1" applyBorder="1" applyAlignment="1" applyProtection="1">
      <alignment horizontal="right" vertical="center"/>
      <protection/>
    </xf>
    <xf numFmtId="0" fontId="49" fillId="33" borderId="11" xfId="0" applyNumberFormat="1" applyFont="1" applyFill="1" applyBorder="1" applyAlignment="1" applyProtection="1">
      <alignment horizontal="center" vertical="center"/>
      <protection/>
    </xf>
    <xf numFmtId="0" fontId="49" fillId="33" borderId="13" xfId="0" applyNumberFormat="1" applyFont="1" applyFill="1" applyBorder="1" applyAlignment="1" applyProtection="1">
      <alignment horizontal="center" vertical="center"/>
      <protection/>
    </xf>
    <xf numFmtId="0" fontId="50" fillId="0" borderId="21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4" fontId="47" fillId="0" borderId="20" xfId="0" applyNumberFormat="1" applyFont="1" applyFill="1" applyBorder="1" applyAlignment="1" applyProtection="1">
      <alignment horizontal="right" vertical="center"/>
      <protection/>
    </xf>
    <xf numFmtId="0" fontId="50" fillId="0" borderId="26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right" vertical="center"/>
      <protection/>
    </xf>
    <xf numFmtId="4" fontId="47" fillId="0" borderId="27" xfId="0" applyNumberFormat="1" applyFont="1" applyFill="1" applyBorder="1" applyAlignment="1" applyProtection="1">
      <alignment horizontal="right" vertical="center"/>
      <protection/>
    </xf>
    <xf numFmtId="0" fontId="47" fillId="0" borderId="27" xfId="0" applyNumberFormat="1" applyFont="1" applyFill="1" applyBorder="1" applyAlignment="1" applyProtection="1">
      <alignment horizontal="right" vertical="center"/>
      <protection/>
    </xf>
    <xf numFmtId="4" fontId="47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" fontId="47" fillId="0" borderId="10" xfId="0" applyNumberFormat="1" applyFont="1" applyFill="1" applyBorder="1" applyAlignment="1" applyProtection="1">
      <alignment horizontal="right" vertical="center"/>
      <protection/>
    </xf>
    <xf numFmtId="4" fontId="50" fillId="33" borderId="13" xfId="0" applyNumberFormat="1" applyFont="1" applyFill="1" applyBorder="1" applyAlignment="1" applyProtection="1">
      <alignment horizontal="right" vertical="center"/>
      <protection/>
    </xf>
    <xf numFmtId="4" fontId="50" fillId="33" borderId="20" xfId="0" applyNumberFormat="1" applyFont="1" applyFill="1" applyBorder="1" applyAlignment="1" applyProtection="1">
      <alignment horizontal="righ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4" fontId="46" fillId="0" borderId="27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right" vertical="center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0" fontId="46" fillId="0" borderId="36" xfId="0" applyNumberFormat="1" applyFont="1" applyFill="1" applyBorder="1" applyAlignment="1" applyProtection="1">
      <alignment horizontal="left" vertical="center"/>
      <protection/>
    </xf>
    <xf numFmtId="4" fontId="46" fillId="0" borderId="36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33" xfId="0" applyNumberFormat="1" applyFont="1" applyFill="1" applyBorder="1" applyAlignment="1" applyProtection="1">
      <alignment horizontal="left" vertical="center"/>
      <protection/>
    </xf>
    <xf numFmtId="0" fontId="48" fillId="0" borderId="34" xfId="0" applyNumberFormat="1" applyFont="1" applyFill="1" applyBorder="1" applyAlignment="1" applyProtection="1">
      <alignment horizontal="right" vertical="center"/>
      <protection/>
    </xf>
    <xf numFmtId="0" fontId="46" fillId="0" borderId="37" xfId="0" applyNumberFormat="1" applyFont="1" applyFill="1" applyBorder="1" applyAlignment="1" applyProtection="1">
      <alignment horizontal="left" vertical="center"/>
      <protection/>
    </xf>
    <xf numFmtId="4" fontId="46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37" xfId="0" applyNumberFormat="1" applyFont="1" applyFill="1" applyBorder="1" applyAlignment="1" applyProtection="1">
      <alignment/>
      <protection/>
    </xf>
    <xf numFmtId="4" fontId="52" fillId="0" borderId="38" xfId="0" applyNumberFormat="1" applyFont="1" applyFill="1" applyBorder="1" applyAlignment="1" applyProtection="1">
      <alignment horizontal="right" vertical="center"/>
      <protection/>
    </xf>
    <xf numFmtId="0" fontId="46" fillId="0" borderId="39" xfId="0" applyNumberFormat="1" applyFont="1" applyFill="1" applyBorder="1" applyAlignment="1" applyProtection="1">
      <alignment horizontal="left" vertical="center"/>
      <protection/>
    </xf>
    <xf numFmtId="0" fontId="46" fillId="0" borderId="40" xfId="0" applyNumberFormat="1" applyFont="1" applyFill="1" applyBorder="1" applyAlignment="1" applyProtection="1">
      <alignment horizontal="left" vertical="center"/>
      <protection/>
    </xf>
    <xf numFmtId="4" fontId="46" fillId="0" borderId="41" xfId="0" applyNumberFormat="1" applyFont="1" applyFill="1" applyBorder="1" applyAlignment="1" applyProtection="1">
      <alignment horizontal="right" vertical="center"/>
      <protection/>
    </xf>
    <xf numFmtId="0" fontId="48" fillId="0" borderId="18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center" vertical="center"/>
      <protection/>
    </xf>
    <xf numFmtId="0" fontId="48" fillId="0" borderId="22" xfId="0" applyNumberFormat="1" applyFont="1" applyFill="1" applyBorder="1" applyAlignment="1" applyProtection="1">
      <alignment horizontal="center" vertical="center"/>
      <protection/>
    </xf>
    <xf numFmtId="0" fontId="48" fillId="0" borderId="29" xfId="0" applyNumberFormat="1" applyFont="1" applyFill="1" applyBorder="1" applyAlignment="1" applyProtection="1">
      <alignment horizontal="center" vertical="center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28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25" xfId="0" applyNumberFormat="1" applyFont="1" applyFill="1" applyBorder="1" applyAlignment="1" applyProtection="1">
      <alignment horizontal="center" vertical="center"/>
      <protection/>
    </xf>
    <xf numFmtId="0" fontId="48" fillId="0" borderId="12" xfId="0" applyNumberFormat="1" applyFont="1" applyFill="1" applyBorder="1" applyAlignment="1" applyProtection="1">
      <alignment horizontal="center" vertical="center"/>
      <protection/>
    </xf>
    <xf numFmtId="0" fontId="46" fillId="33" borderId="16" xfId="0" applyNumberFormat="1" applyFont="1" applyFill="1" applyBorder="1" applyAlignment="1" applyProtection="1">
      <alignment horizontal="left" vertical="center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4" fontId="48" fillId="33" borderId="0" xfId="0" applyNumberFormat="1" applyFont="1" applyFill="1" applyBorder="1" applyAlignment="1" applyProtection="1">
      <alignment horizontal="right" vertical="center"/>
      <protection/>
    </xf>
    <xf numFmtId="0" fontId="48" fillId="33" borderId="0" xfId="0" applyNumberFormat="1" applyFont="1" applyFill="1" applyBorder="1" applyAlignment="1" applyProtection="1">
      <alignment horizontal="right" vertical="center"/>
      <protection/>
    </xf>
    <xf numFmtId="0" fontId="48" fillId="33" borderId="27" xfId="0" applyNumberFormat="1" applyFont="1" applyFill="1" applyBorder="1" applyAlignment="1" applyProtection="1">
      <alignment horizontal="right" vertical="center"/>
      <protection/>
    </xf>
    <xf numFmtId="0" fontId="46" fillId="0" borderId="20" xfId="0" applyNumberFormat="1" applyFont="1" applyFill="1" applyBorder="1" applyAlignment="1" applyProtection="1">
      <alignment horizontal="right" vertical="center"/>
      <protection/>
    </xf>
    <xf numFmtId="0" fontId="48" fillId="0" borderId="31" xfId="0" applyNumberFormat="1" applyFont="1" applyFill="1" applyBorder="1" applyAlignment="1" applyProtection="1">
      <alignment horizontal="left" vertical="center"/>
      <protection/>
    </xf>
    <xf numFmtId="0" fontId="48" fillId="0" borderId="19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center" vertical="center"/>
      <protection/>
    </xf>
    <xf numFmtId="0" fontId="4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32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9" xfId="0" applyNumberFormat="1" applyFont="1" applyFill="1" applyBorder="1" applyAlignment="1" applyProtection="1">
      <alignment/>
      <protection/>
    </xf>
    <xf numFmtId="0" fontId="1" fillId="0" borderId="40" xfId="0" applyNumberFormat="1" applyFont="1" applyFill="1" applyBorder="1" applyAlignment="1" applyProtection="1">
      <alignment/>
      <protection/>
    </xf>
    <xf numFmtId="0" fontId="52" fillId="0" borderId="40" xfId="0" applyNumberFormat="1" applyFont="1" applyFill="1" applyBorder="1" applyAlignment="1" applyProtection="1">
      <alignment horizontal="left" vertical="center"/>
      <protection/>
    </xf>
    <xf numFmtId="4" fontId="52" fillId="0" borderId="41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42" xfId="0" applyNumberFormat="1" applyFont="1" applyFill="1" applyBorder="1" applyAlignment="1" applyProtection="1">
      <alignment horizontal="left" vertical="center" wrapText="1"/>
      <protection/>
    </xf>
    <xf numFmtId="0" fontId="46" fillId="0" borderId="43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43" xfId="0" applyNumberFormat="1" applyFont="1" applyFill="1" applyBorder="1" applyAlignment="1" applyProtection="1">
      <alignment horizontal="left" vertical="center" wrapText="1"/>
      <protection/>
    </xf>
    <xf numFmtId="0" fontId="48" fillId="0" borderId="43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43" xfId="0" applyNumberFormat="1" applyFont="1" applyFill="1" applyBorder="1" applyAlignment="1" applyProtection="1">
      <alignment horizontal="left" vertical="center" wrapText="1"/>
      <protection/>
    </xf>
    <xf numFmtId="0" fontId="46" fillId="0" borderId="44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1" fontId="46" fillId="0" borderId="27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0" fontId="46" fillId="0" borderId="36" xfId="0" applyNumberFormat="1" applyFont="1" applyFill="1" applyBorder="1" applyAlignment="1" applyProtection="1">
      <alignment horizontal="left" vertical="center"/>
      <protection/>
    </xf>
    <xf numFmtId="14" fontId="46" fillId="0" borderId="27" xfId="0" applyNumberFormat="1" applyFont="1" applyFill="1" applyBorder="1" applyAlignment="1" applyProtection="1">
      <alignment horizontal="left" vertical="center" wrapText="1"/>
      <protection/>
    </xf>
    <xf numFmtId="0" fontId="46" fillId="0" borderId="2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45" xfId="0" applyNumberFormat="1" applyFont="1" applyFill="1" applyBorder="1" applyAlignment="1" applyProtection="1">
      <alignment horizontal="left" vertical="center"/>
      <protection/>
    </xf>
    <xf numFmtId="0" fontId="55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36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50" fillId="0" borderId="35" xfId="0" applyNumberFormat="1" applyFont="1" applyFill="1" applyBorder="1" applyAlignment="1" applyProtection="1">
      <alignment horizontal="left" vertical="center"/>
      <protection/>
    </xf>
    <xf numFmtId="0" fontId="50" fillId="0" borderId="20" xfId="0" applyNumberFormat="1" applyFont="1" applyFill="1" applyBorder="1" applyAlignment="1" applyProtection="1">
      <alignment horizontal="left" vertical="center"/>
      <protection/>
    </xf>
    <xf numFmtId="0" fontId="50" fillId="0" borderId="16" xfId="0" applyNumberFormat="1" applyFont="1" applyFill="1" applyBorder="1" applyAlignment="1" applyProtection="1">
      <alignment horizontal="left" vertical="center"/>
      <protection/>
    </xf>
    <xf numFmtId="0" fontId="50" fillId="0" borderId="27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27" xfId="0" applyNumberFormat="1" applyFont="1" applyFill="1" applyBorder="1" applyAlignment="1" applyProtection="1">
      <alignment horizontal="left" vertical="center"/>
      <protection/>
    </xf>
    <xf numFmtId="0" fontId="50" fillId="0" borderId="46" xfId="0" applyNumberFormat="1" applyFont="1" applyFill="1" applyBorder="1" applyAlignment="1" applyProtection="1">
      <alignment horizontal="left" vertical="center"/>
      <protection/>
    </xf>
    <xf numFmtId="0" fontId="50" fillId="0" borderId="13" xfId="0" applyNumberFormat="1" applyFont="1" applyFill="1" applyBorder="1" applyAlignment="1" applyProtection="1">
      <alignment horizontal="left" vertical="center"/>
      <protection/>
    </xf>
    <xf numFmtId="0" fontId="50" fillId="0" borderId="45" xfId="0" applyNumberFormat="1" applyFont="1" applyFill="1" applyBorder="1" applyAlignment="1" applyProtection="1">
      <alignment horizontal="left" vertical="center"/>
      <protection/>
    </xf>
    <xf numFmtId="0" fontId="50" fillId="0" borderId="36" xfId="0" applyNumberFormat="1" applyFont="1" applyFill="1" applyBorder="1" applyAlignment="1" applyProtection="1">
      <alignment horizontal="left" vertical="center"/>
      <protection/>
    </xf>
    <xf numFmtId="0" fontId="50" fillId="33" borderId="46" xfId="0" applyNumberFormat="1" applyFont="1" applyFill="1" applyBorder="1" applyAlignment="1" applyProtection="1">
      <alignment horizontal="left" vertical="center"/>
      <protection/>
    </xf>
    <xf numFmtId="0" fontId="50" fillId="33" borderId="45" xfId="0" applyNumberFormat="1" applyFont="1" applyFill="1" applyBorder="1" applyAlignment="1" applyProtection="1">
      <alignment horizontal="left" vertical="center"/>
      <protection/>
    </xf>
    <xf numFmtId="0" fontId="50" fillId="33" borderId="35" xfId="0" applyNumberFormat="1" applyFont="1" applyFill="1" applyBorder="1" applyAlignment="1" applyProtection="1">
      <alignment horizontal="left" vertical="center"/>
      <protection/>
    </xf>
    <xf numFmtId="0" fontId="50" fillId="33" borderId="36" xfId="0" applyNumberFormat="1" applyFont="1" applyFill="1" applyBorder="1" applyAlignment="1" applyProtection="1">
      <alignment horizontal="left" vertical="center"/>
      <protection/>
    </xf>
    <xf numFmtId="0" fontId="47" fillId="0" borderId="47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7" fillId="0" borderId="48" xfId="0" applyNumberFormat="1" applyFont="1" applyFill="1" applyBorder="1" applyAlignment="1" applyProtection="1">
      <alignment horizontal="left" vertical="center"/>
      <protection/>
    </xf>
    <xf numFmtId="0" fontId="47" fillId="0" borderId="49" xfId="0" applyNumberFormat="1" applyFont="1" applyFill="1" applyBorder="1" applyAlignment="1" applyProtection="1">
      <alignment horizontal="left" vertical="center"/>
      <protection/>
    </xf>
    <xf numFmtId="0" fontId="47" fillId="0" borderId="50" xfId="0" applyNumberFormat="1" applyFont="1" applyFill="1" applyBorder="1" applyAlignment="1" applyProtection="1">
      <alignment horizontal="left" vertical="center"/>
      <protection/>
    </xf>
    <xf numFmtId="0" fontId="47" fillId="0" borderId="51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25" xfId="0" applyNumberFormat="1" applyFont="1" applyFill="1" applyBorder="1" applyAlignment="1" applyProtection="1">
      <alignment horizontal="left" vertical="center"/>
      <protection/>
    </xf>
    <xf numFmtId="0" fontId="46" fillId="0" borderId="44" xfId="0" applyNumberFormat="1" applyFont="1" applyFill="1" applyBorder="1" applyAlignment="1" applyProtection="1">
      <alignment horizontal="left" vertical="center" wrapText="1"/>
      <protection/>
    </xf>
    <xf numFmtId="0" fontId="46" fillId="0" borderId="27" xfId="0" applyNumberFormat="1" applyFont="1" applyFill="1" applyBorder="1" applyAlignment="1" applyProtection="1">
      <alignment horizontal="left" vertical="center" wrapText="1"/>
      <protection/>
    </xf>
    <xf numFmtId="14" fontId="46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22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left" vertical="center"/>
      <protection/>
    </xf>
    <xf numFmtId="0" fontId="48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52" xfId="0" applyNumberFormat="1" applyFont="1" applyFill="1" applyBorder="1" applyAlignment="1" applyProtection="1">
      <alignment horizontal="center" vertical="center"/>
      <protection/>
    </xf>
    <xf numFmtId="0" fontId="48" fillId="0" borderId="53" xfId="0" applyNumberFormat="1" applyFont="1" applyFill="1" applyBorder="1" applyAlignment="1" applyProtection="1">
      <alignment horizontal="center" vertical="center"/>
      <protection/>
    </xf>
    <xf numFmtId="0" fontId="48" fillId="0" borderId="54" xfId="0" applyNumberFormat="1" applyFont="1" applyFill="1" applyBorder="1" applyAlignment="1" applyProtection="1">
      <alignment horizontal="center" vertical="center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6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55" xfId="0" applyNumberFormat="1" applyFont="1" applyFill="1" applyBorder="1" applyAlignment="1" applyProtection="1">
      <alignment horizontal="left" vertical="center" wrapText="1"/>
      <protection/>
    </xf>
    <xf numFmtId="0" fontId="46" fillId="0" borderId="56" xfId="0" applyNumberFormat="1" applyFont="1" applyFill="1" applyBorder="1" applyAlignment="1" applyProtection="1">
      <alignment horizontal="left" vertical="center"/>
      <protection/>
    </xf>
    <xf numFmtId="0" fontId="46" fillId="0" borderId="37" xfId="0" applyNumberFormat="1" applyFont="1" applyFill="1" applyBorder="1" applyAlignment="1" applyProtection="1">
      <alignment horizontal="left" vertical="center"/>
      <protection/>
    </xf>
    <xf numFmtId="0" fontId="46" fillId="0" borderId="37" xfId="0" applyNumberFormat="1" applyFont="1" applyFill="1" applyBorder="1" applyAlignment="1" applyProtection="1">
      <alignment horizontal="left" vertical="center" wrapText="1"/>
      <protection/>
    </xf>
    <xf numFmtId="0" fontId="46" fillId="0" borderId="56" xfId="0" applyNumberFormat="1" applyFont="1" applyFill="1" applyBorder="1" applyAlignment="1" applyProtection="1">
      <alignment horizontal="left" vertical="center" wrapText="1"/>
      <protection/>
    </xf>
    <xf numFmtId="0" fontId="48" fillId="0" borderId="56" xfId="0" applyNumberFormat="1" applyFont="1" applyFill="1" applyBorder="1" applyAlignment="1" applyProtection="1">
      <alignment horizontal="left" vertical="center" wrapText="1"/>
      <protection/>
    </xf>
    <xf numFmtId="0" fontId="48" fillId="0" borderId="56" xfId="0" applyNumberFormat="1" applyFont="1" applyFill="1" applyBorder="1" applyAlignment="1" applyProtection="1">
      <alignment horizontal="left" vertical="center"/>
      <protection/>
    </xf>
    <xf numFmtId="0" fontId="46" fillId="0" borderId="57" xfId="0" applyNumberFormat="1" applyFont="1" applyFill="1" applyBorder="1" applyAlignment="1" applyProtection="1">
      <alignment horizontal="left" vertical="center"/>
      <protection/>
    </xf>
    <xf numFmtId="0" fontId="46" fillId="0" borderId="38" xfId="0" applyNumberFormat="1" applyFont="1" applyFill="1" applyBorder="1" applyAlignment="1" applyProtection="1">
      <alignment horizontal="left" vertical="center"/>
      <protection/>
    </xf>
    <xf numFmtId="14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58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52" fillId="0" borderId="4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42" xfId="0" applyNumberFormat="1" applyFont="1" applyFill="1" applyBorder="1" applyAlignment="1" applyProtection="1">
      <alignment horizontal="left" vertical="center" wrapText="1"/>
      <protection/>
    </xf>
    <xf numFmtId="0" fontId="46" fillId="0" borderId="43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43" xfId="0" applyNumberFormat="1" applyFont="1" applyFill="1" applyBorder="1" applyAlignment="1" applyProtection="1">
      <alignment horizontal="left" vertical="center" wrapText="1"/>
      <protection/>
    </xf>
    <xf numFmtId="0" fontId="48" fillId="0" borderId="43" xfId="0" applyNumberFormat="1" applyFont="1" applyFill="1" applyBorder="1" applyAlignment="1" applyProtection="1">
      <alignment horizontal="left" vertical="center"/>
      <protection/>
    </xf>
    <xf numFmtId="0" fontId="46" fillId="0" borderId="43" xfId="0" applyNumberFormat="1" applyFont="1" applyFill="1" applyBorder="1" applyAlignment="1" applyProtection="1">
      <alignment horizontal="left" vertical="center" wrapText="1"/>
      <protection/>
    </xf>
    <xf numFmtId="0" fontId="46" fillId="0" borderId="44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 wrapText="1"/>
      <protection/>
    </xf>
    <xf numFmtId="1" fontId="46" fillId="0" borderId="27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14" fontId="46" fillId="0" borderId="27" xfId="0" applyNumberFormat="1" applyFont="1" applyFill="1" applyBorder="1" applyAlignment="1" applyProtection="1">
      <alignment horizontal="left" vertical="center" wrapText="1"/>
      <protection/>
    </xf>
    <xf numFmtId="0" fontId="46" fillId="0" borderId="2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45" xfId="0" applyNumberFormat="1" applyFont="1" applyFill="1" applyBorder="1" applyAlignment="1" applyProtection="1">
      <alignment horizontal="left" vertical="center"/>
      <protection/>
    </xf>
    <xf numFmtId="0" fontId="55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36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50" fillId="0" borderId="35" xfId="0" applyNumberFormat="1" applyFont="1" applyFill="1" applyBorder="1" applyAlignment="1" applyProtection="1">
      <alignment horizontal="left" vertical="center"/>
      <protection/>
    </xf>
    <xf numFmtId="0" fontId="50" fillId="0" borderId="20" xfId="0" applyNumberFormat="1" applyFont="1" applyFill="1" applyBorder="1" applyAlignment="1" applyProtection="1">
      <alignment horizontal="left" vertical="center"/>
      <protection/>
    </xf>
    <xf numFmtId="0" fontId="50" fillId="0" borderId="16" xfId="0" applyNumberFormat="1" applyFont="1" applyFill="1" applyBorder="1" applyAlignment="1" applyProtection="1">
      <alignment horizontal="left" vertical="center"/>
      <protection/>
    </xf>
    <xf numFmtId="0" fontId="50" fillId="0" borderId="27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27" xfId="0" applyNumberFormat="1" applyFont="1" applyFill="1" applyBorder="1" applyAlignment="1" applyProtection="1">
      <alignment horizontal="left" vertical="center"/>
      <protection/>
    </xf>
    <xf numFmtId="0" fontId="50" fillId="0" borderId="46" xfId="0" applyNumberFormat="1" applyFont="1" applyFill="1" applyBorder="1" applyAlignment="1" applyProtection="1">
      <alignment horizontal="left" vertical="center"/>
      <protection/>
    </xf>
    <xf numFmtId="0" fontId="50" fillId="0" borderId="13" xfId="0" applyNumberFormat="1" applyFont="1" applyFill="1" applyBorder="1" applyAlignment="1" applyProtection="1">
      <alignment horizontal="left" vertical="center"/>
      <protection/>
    </xf>
    <xf numFmtId="0" fontId="50" fillId="0" borderId="45" xfId="0" applyNumberFormat="1" applyFont="1" applyFill="1" applyBorder="1" applyAlignment="1" applyProtection="1">
      <alignment horizontal="left" vertical="center"/>
      <protection/>
    </xf>
    <xf numFmtId="0" fontId="50" fillId="0" borderId="36" xfId="0" applyNumberFormat="1" applyFont="1" applyFill="1" applyBorder="1" applyAlignment="1" applyProtection="1">
      <alignment horizontal="left" vertical="center"/>
      <protection/>
    </xf>
    <xf numFmtId="0" fontId="50" fillId="33" borderId="46" xfId="0" applyNumberFormat="1" applyFont="1" applyFill="1" applyBorder="1" applyAlignment="1" applyProtection="1">
      <alignment horizontal="left" vertical="center"/>
      <protection/>
    </xf>
    <xf numFmtId="0" fontId="50" fillId="33" borderId="45" xfId="0" applyNumberFormat="1" applyFont="1" applyFill="1" applyBorder="1" applyAlignment="1" applyProtection="1">
      <alignment horizontal="left" vertical="center"/>
      <protection/>
    </xf>
    <xf numFmtId="0" fontId="50" fillId="33" borderId="35" xfId="0" applyNumberFormat="1" applyFont="1" applyFill="1" applyBorder="1" applyAlignment="1" applyProtection="1">
      <alignment horizontal="left" vertical="center"/>
      <protection/>
    </xf>
    <xf numFmtId="0" fontId="50" fillId="33" borderId="36" xfId="0" applyNumberFormat="1" applyFont="1" applyFill="1" applyBorder="1" applyAlignment="1" applyProtection="1">
      <alignment horizontal="left" vertical="center"/>
      <protection/>
    </xf>
    <xf numFmtId="0" fontId="47" fillId="0" borderId="47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7" fillId="0" borderId="48" xfId="0" applyNumberFormat="1" applyFont="1" applyFill="1" applyBorder="1" applyAlignment="1" applyProtection="1">
      <alignment horizontal="left" vertical="center"/>
      <protection/>
    </xf>
    <xf numFmtId="0" fontId="47" fillId="0" borderId="49" xfId="0" applyNumberFormat="1" applyFont="1" applyFill="1" applyBorder="1" applyAlignment="1" applyProtection="1">
      <alignment horizontal="left" vertical="center"/>
      <protection/>
    </xf>
    <xf numFmtId="0" fontId="47" fillId="0" borderId="50" xfId="0" applyNumberFormat="1" applyFont="1" applyFill="1" applyBorder="1" applyAlignment="1" applyProtection="1">
      <alignment horizontal="left" vertical="center"/>
      <protection/>
    </xf>
    <xf numFmtId="0" fontId="47" fillId="0" borderId="51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25" xfId="0" applyNumberFormat="1" applyFont="1" applyFill="1" applyBorder="1" applyAlignment="1" applyProtection="1">
      <alignment horizontal="left" vertical="center"/>
      <protection/>
    </xf>
    <xf numFmtId="0" fontId="46" fillId="0" borderId="44" xfId="0" applyNumberFormat="1" applyFont="1" applyFill="1" applyBorder="1" applyAlignment="1" applyProtection="1">
      <alignment horizontal="left" vertical="center" wrapText="1"/>
      <protection/>
    </xf>
    <xf numFmtId="0" fontId="46" fillId="0" borderId="27" xfId="0" applyNumberFormat="1" applyFont="1" applyFill="1" applyBorder="1" applyAlignment="1" applyProtection="1">
      <alignment horizontal="left" vertical="center" wrapText="1"/>
      <protection/>
    </xf>
    <xf numFmtId="14" fontId="46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22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52" xfId="0" applyNumberFormat="1" applyFont="1" applyFill="1" applyBorder="1" applyAlignment="1" applyProtection="1">
      <alignment horizontal="center" vertical="center"/>
      <protection/>
    </xf>
    <xf numFmtId="0" fontId="48" fillId="0" borderId="53" xfId="0" applyNumberFormat="1" applyFont="1" applyFill="1" applyBorder="1" applyAlignment="1" applyProtection="1">
      <alignment horizontal="center" vertical="center"/>
      <protection/>
    </xf>
    <xf numFmtId="0" fontId="48" fillId="0" borderId="54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left" vertical="center"/>
      <protection/>
    </xf>
    <xf numFmtId="0" fontId="48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31" xfId="0" applyNumberFormat="1" applyFont="1" applyFill="1" applyBorder="1" applyAlignment="1" applyProtection="1">
      <alignment horizontal="left" vertical="center"/>
      <protection/>
    </xf>
    <xf numFmtId="0" fontId="46" fillId="0" borderId="40" xfId="0" applyNumberFormat="1" applyFont="1" applyFill="1" applyBorder="1" applyAlignment="1" applyProtection="1">
      <alignment horizontal="left" vertical="center"/>
      <protection/>
    </xf>
    <xf numFmtId="0" fontId="46" fillId="0" borderId="55" xfId="0" applyNumberFormat="1" applyFont="1" applyFill="1" applyBorder="1" applyAlignment="1" applyProtection="1">
      <alignment horizontal="left" vertical="center" wrapText="1"/>
      <protection/>
    </xf>
    <xf numFmtId="0" fontId="46" fillId="0" borderId="56" xfId="0" applyNumberFormat="1" applyFont="1" applyFill="1" applyBorder="1" applyAlignment="1" applyProtection="1">
      <alignment horizontal="left" vertical="center"/>
      <protection/>
    </xf>
    <xf numFmtId="0" fontId="46" fillId="0" borderId="37" xfId="0" applyNumberFormat="1" applyFont="1" applyFill="1" applyBorder="1" applyAlignment="1" applyProtection="1">
      <alignment horizontal="left" vertical="center"/>
      <protection/>
    </xf>
    <xf numFmtId="0" fontId="48" fillId="0" borderId="56" xfId="0" applyNumberFormat="1" applyFont="1" applyFill="1" applyBorder="1" applyAlignment="1" applyProtection="1">
      <alignment horizontal="left" vertical="center" wrapText="1"/>
      <protection/>
    </xf>
    <xf numFmtId="0" fontId="48" fillId="0" borderId="56" xfId="0" applyNumberFormat="1" applyFont="1" applyFill="1" applyBorder="1" applyAlignment="1" applyProtection="1">
      <alignment horizontal="left" vertical="center"/>
      <protection/>
    </xf>
    <xf numFmtId="0" fontId="46" fillId="0" borderId="56" xfId="0" applyNumberFormat="1" applyFont="1" applyFill="1" applyBorder="1" applyAlignment="1" applyProtection="1">
      <alignment horizontal="left" vertical="center" wrapText="1"/>
      <protection/>
    </xf>
    <xf numFmtId="0" fontId="46" fillId="0" borderId="57" xfId="0" applyNumberFormat="1" applyFont="1" applyFill="1" applyBorder="1" applyAlignment="1" applyProtection="1">
      <alignment horizontal="left" vertical="center"/>
      <protection/>
    </xf>
    <xf numFmtId="0" fontId="46" fillId="0" borderId="38" xfId="0" applyNumberFormat="1" applyFont="1" applyFill="1" applyBorder="1" applyAlignment="1" applyProtection="1">
      <alignment horizontal="left" vertical="center"/>
      <protection/>
    </xf>
    <xf numFmtId="0" fontId="46" fillId="0" borderId="37" xfId="0" applyNumberFormat="1" applyFont="1" applyFill="1" applyBorder="1" applyAlignment="1" applyProtection="1">
      <alignment horizontal="left" vertical="center" wrapText="1"/>
      <protection/>
    </xf>
    <xf numFmtId="14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58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olice%20ZU&#352;%20-%20k&#367;lna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ební rozpočet"/>
      <sheetName val="Stavební rozpočet - součet"/>
      <sheetName val="Výkaz výměr"/>
      <sheetName val="Krycí list rozpočtu"/>
    </sheetNames>
    <sheetDataSet>
      <sheetData sheetId="0">
        <row r="2">
          <cell r="D2" t="str">
            <v>Demolice bývalé ZUŠ</v>
          </cell>
          <cell r="L2" t="str">
            <v> </v>
          </cell>
        </row>
        <row r="4">
          <cell r="D4" t="str">
            <v>Demolice kůlny</v>
          </cell>
          <cell r="L4" t="str">
            <v> </v>
          </cell>
        </row>
        <row r="6">
          <cell r="D6" t="str">
            <v>Zábřeh, Sušilova ulice</v>
          </cell>
          <cell r="I6" t="str">
            <v> </v>
          </cell>
          <cell r="L6" t="str">
            <v> </v>
          </cell>
        </row>
        <row r="8">
          <cell r="D8" t="str">
            <v> </v>
          </cell>
          <cell r="L8" t="str">
            <v>Ing. Petr Hošek</v>
          </cell>
        </row>
        <row r="12">
          <cell r="K12">
            <v>1188.5469600000001</v>
          </cell>
          <cell r="M12">
            <v>2.3486634</v>
          </cell>
        </row>
        <row r="13">
          <cell r="AF13">
            <v>0</v>
          </cell>
          <cell r="AG13">
            <v>0</v>
          </cell>
          <cell r="AH13">
            <v>0</v>
          </cell>
          <cell r="AJ13">
            <v>0</v>
          </cell>
          <cell r="AK13">
            <v>0</v>
          </cell>
        </row>
        <row r="14">
          <cell r="AF14">
            <v>0</v>
          </cell>
          <cell r="AG14">
            <v>0</v>
          </cell>
          <cell r="AH14">
            <v>0</v>
          </cell>
          <cell r="AJ14">
            <v>0</v>
          </cell>
          <cell r="AK14">
            <v>0</v>
          </cell>
        </row>
        <row r="15">
          <cell r="K15">
            <v>4408.41554</v>
          </cell>
          <cell r="M15">
            <v>7.59604</v>
          </cell>
        </row>
        <row r="16">
          <cell r="AF16">
            <v>0</v>
          </cell>
          <cell r="AG16">
            <v>0</v>
          </cell>
          <cell r="AH16">
            <v>0</v>
          </cell>
          <cell r="AJ16">
            <v>0</v>
          </cell>
          <cell r="AK16">
            <v>0</v>
          </cell>
        </row>
        <row r="17"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</row>
        <row r="18">
          <cell r="K18">
            <v>817.8494830000001</v>
          </cell>
          <cell r="M18">
            <v>0</v>
          </cell>
        </row>
        <row r="19"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</row>
        <row r="20">
          <cell r="K20">
            <v>2448.7548</v>
          </cell>
          <cell r="M20">
            <v>0.389174076</v>
          </cell>
        </row>
        <row r="21"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K21">
            <v>0</v>
          </cell>
        </row>
        <row r="22">
          <cell r="K22">
            <v>1306.125</v>
          </cell>
          <cell r="M22">
            <v>0.3645</v>
          </cell>
        </row>
        <row r="23"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</row>
        <row r="24">
          <cell r="K24">
            <v>19283.308729</v>
          </cell>
          <cell r="M24">
            <v>4.8356212759999995</v>
          </cell>
        </row>
        <row r="25"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</row>
        <row r="26">
          <cell r="AF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</row>
        <row r="27"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</row>
        <row r="28"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</row>
        <row r="29"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</row>
        <row r="30"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</row>
        <row r="31"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</row>
        <row r="32"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</row>
        <row r="33">
          <cell r="K33">
            <v>44450.397493</v>
          </cell>
          <cell r="M33">
            <v>0.785663276</v>
          </cell>
        </row>
        <row r="34"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</row>
        <row r="35"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</row>
        <row r="36"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</row>
        <row r="37"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</row>
        <row r="38"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</row>
        <row r="39">
          <cell r="AF39">
            <v>0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</row>
        <row r="40">
          <cell r="AF40">
            <v>0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</row>
        <row r="41"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</row>
        <row r="42"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</row>
        <row r="43"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</row>
        <row r="44"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</row>
        <row r="45"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</row>
        <row r="46">
          <cell r="K46">
            <v>10661.0175</v>
          </cell>
          <cell r="M46">
            <v>0.8505</v>
          </cell>
        </row>
        <row r="47"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</row>
        <row r="48">
          <cell r="K48">
            <v>5560.6131000000005</v>
          </cell>
          <cell r="M48">
            <v>0.051228972000000005</v>
          </cell>
        </row>
        <row r="49"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</row>
        <row r="50">
          <cell r="K50">
            <v>22703.916847</v>
          </cell>
          <cell r="M50">
            <v>20.5685616972</v>
          </cell>
        </row>
        <row r="51"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</row>
        <row r="52"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</row>
        <row r="53"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</row>
        <row r="54"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</row>
        <row r="55"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</row>
        <row r="56"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</row>
        <row r="57"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</row>
        <row r="58"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</row>
        <row r="59"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</row>
        <row r="60"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</row>
        <row r="61"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</row>
        <row r="62"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</row>
        <row r="63"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</row>
        <row r="64"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</row>
        <row r="65">
          <cell r="K65">
            <v>350450.55499459995</v>
          </cell>
          <cell r="M65">
            <v>64.54226631249999</v>
          </cell>
        </row>
        <row r="66"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</row>
        <row r="67"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</row>
        <row r="68"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</row>
        <row r="69"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</row>
        <row r="70"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</row>
        <row r="72"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</row>
        <row r="74"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</row>
        <row r="75"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I46" sqref="I46"/>
    </sheetView>
  </sheetViews>
  <sheetFormatPr defaultColWidth="21.25" defaultRowHeight="15" customHeight="1"/>
  <cols>
    <col min="1" max="1" width="21.25" style="0" customWidth="1"/>
    <col min="2" max="2" width="30.5" style="0" customWidth="1"/>
    <col min="3" max="3" width="37.25" style="0" customWidth="1"/>
    <col min="4" max="4" width="21.25" style="0" customWidth="1"/>
    <col min="5" max="5" width="32.5" style="0" customWidth="1"/>
    <col min="6" max="6" width="38.75" style="0" customWidth="1"/>
    <col min="7" max="7" width="21.25" style="0" customWidth="1"/>
    <col min="8" max="8" width="30.75" style="0" customWidth="1"/>
    <col min="9" max="9" width="41.25" style="0" customWidth="1"/>
  </cols>
  <sheetData>
    <row r="1" spans="1:9" ht="54.75" customHeight="1">
      <c r="A1" s="116" t="s">
        <v>203</v>
      </c>
      <c r="B1" s="117"/>
      <c r="C1" s="117"/>
      <c r="D1" s="117"/>
      <c r="E1" s="117"/>
      <c r="F1" s="117"/>
      <c r="G1" s="117"/>
      <c r="H1" s="117"/>
      <c r="I1" s="117"/>
    </row>
    <row r="2" spans="1:9" ht="15" customHeight="1">
      <c r="A2" s="118" t="s">
        <v>37</v>
      </c>
      <c r="B2" s="119"/>
      <c r="C2" s="122" t="str">
        <f>'Stavební rozpočet'!D2</f>
        <v>Demolice bývalé ZUŠ</v>
      </c>
      <c r="D2" s="123"/>
      <c r="E2" s="125" t="s">
        <v>550</v>
      </c>
      <c r="F2" s="125" t="str">
        <f>'Stavební rozpočet'!L2</f>
        <v> </v>
      </c>
      <c r="G2" s="119"/>
      <c r="H2" s="125" t="s">
        <v>427</v>
      </c>
      <c r="I2" s="126" t="s">
        <v>450</v>
      </c>
    </row>
    <row r="3" spans="1:9" ht="15" customHeight="1">
      <c r="A3" s="120"/>
      <c r="B3" s="121"/>
      <c r="C3" s="124"/>
      <c r="D3" s="124"/>
      <c r="E3" s="121"/>
      <c r="F3" s="121"/>
      <c r="G3" s="121"/>
      <c r="H3" s="121"/>
      <c r="I3" s="127"/>
    </row>
    <row r="4" spans="1:9" ht="15" customHeight="1">
      <c r="A4" s="128" t="s">
        <v>364</v>
      </c>
      <c r="B4" s="121"/>
      <c r="C4" s="129" t="s">
        <v>741</v>
      </c>
      <c r="D4" s="121"/>
      <c r="E4" s="130" t="s">
        <v>448</v>
      </c>
      <c r="F4" s="130" t="str">
        <f>'Stavební rozpočet'!L4</f>
        <v> </v>
      </c>
      <c r="G4" s="121"/>
      <c r="H4" s="130" t="s">
        <v>427</v>
      </c>
      <c r="I4" s="127" t="s">
        <v>450</v>
      </c>
    </row>
    <row r="5" spans="1:9" ht="15" customHeight="1">
      <c r="A5" s="120"/>
      <c r="B5" s="121"/>
      <c r="C5" s="121"/>
      <c r="D5" s="121"/>
      <c r="E5" s="121"/>
      <c r="F5" s="121"/>
      <c r="G5" s="121"/>
      <c r="H5" s="121"/>
      <c r="I5" s="127"/>
    </row>
    <row r="6" spans="1:9" ht="15" customHeight="1">
      <c r="A6" s="128" t="s">
        <v>54</v>
      </c>
      <c r="B6" s="121"/>
      <c r="C6" s="130" t="str">
        <f>'Stavební rozpočet'!D6</f>
        <v>Zábřeh, Sušilova ulice</v>
      </c>
      <c r="D6" s="121"/>
      <c r="E6" s="130" t="s">
        <v>565</v>
      </c>
      <c r="F6" s="130" t="str">
        <f>'Stavební rozpočet'!L6</f>
        <v> </v>
      </c>
      <c r="G6" s="121"/>
      <c r="H6" s="130" t="s">
        <v>427</v>
      </c>
      <c r="I6" s="127" t="s">
        <v>450</v>
      </c>
    </row>
    <row r="7" spans="1:9" ht="15" customHeight="1">
      <c r="A7" s="120"/>
      <c r="B7" s="121"/>
      <c r="C7" s="121"/>
      <c r="D7" s="121"/>
      <c r="E7" s="121"/>
      <c r="F7" s="121"/>
      <c r="G7" s="121"/>
      <c r="H7" s="121"/>
      <c r="I7" s="127"/>
    </row>
    <row r="8" spans="1:9" ht="15" customHeight="1">
      <c r="A8" s="128" t="s">
        <v>573</v>
      </c>
      <c r="B8" s="121"/>
      <c r="C8" s="130"/>
      <c r="D8" s="121"/>
      <c r="E8" s="130" t="s">
        <v>209</v>
      </c>
      <c r="F8" s="130" t="str">
        <f>'Stavební rozpočet'!H6</f>
        <v> </v>
      </c>
      <c r="G8" s="121"/>
      <c r="H8" s="121" t="s">
        <v>658</v>
      </c>
      <c r="I8" s="131">
        <v>117</v>
      </c>
    </row>
    <row r="9" spans="1:9" ht="15" customHeight="1">
      <c r="A9" s="120"/>
      <c r="B9" s="121"/>
      <c r="C9" s="121"/>
      <c r="D9" s="121"/>
      <c r="E9" s="121"/>
      <c r="F9" s="121"/>
      <c r="G9" s="121"/>
      <c r="H9" s="121"/>
      <c r="I9" s="127"/>
    </row>
    <row r="10" spans="1:9" ht="15" customHeight="1">
      <c r="A10" s="128" t="s">
        <v>328</v>
      </c>
      <c r="B10" s="121"/>
      <c r="C10" s="130" t="str">
        <f>'Stavební rozpočet'!D8</f>
        <v> </v>
      </c>
      <c r="D10" s="121"/>
      <c r="E10" s="130" t="s">
        <v>436</v>
      </c>
      <c r="F10" s="130" t="str">
        <f>'Stavební rozpočet'!L8</f>
        <v>Ing. Petr Hošek</v>
      </c>
      <c r="G10" s="121"/>
      <c r="H10" s="121" t="s">
        <v>628</v>
      </c>
      <c r="I10" s="134">
        <v>44890</v>
      </c>
    </row>
    <row r="11" spans="1:9" ht="15" customHeight="1">
      <c r="A11" s="132"/>
      <c r="B11" s="133"/>
      <c r="C11" s="133"/>
      <c r="D11" s="133"/>
      <c r="E11" s="133"/>
      <c r="F11" s="133"/>
      <c r="G11" s="133"/>
      <c r="H11" s="133"/>
      <c r="I11" s="135"/>
    </row>
    <row r="12" spans="1:9" ht="22.5" customHeight="1">
      <c r="A12" s="136" t="s">
        <v>108</v>
      </c>
      <c r="B12" s="136"/>
      <c r="C12" s="136"/>
      <c r="D12" s="136"/>
      <c r="E12" s="136"/>
      <c r="F12" s="136"/>
      <c r="G12" s="136"/>
      <c r="H12" s="136"/>
      <c r="I12" s="136"/>
    </row>
    <row r="13" spans="1:9" ht="26.25" customHeight="1">
      <c r="A13" s="5" t="s">
        <v>578</v>
      </c>
      <c r="B13" s="137" t="s">
        <v>86</v>
      </c>
      <c r="C13" s="138"/>
      <c r="D13" s="7" t="s">
        <v>117</v>
      </c>
      <c r="E13" s="137" t="s">
        <v>240</v>
      </c>
      <c r="F13" s="138"/>
      <c r="G13" s="7" t="s">
        <v>417</v>
      </c>
      <c r="H13" s="137" t="s">
        <v>118</v>
      </c>
      <c r="I13" s="138"/>
    </row>
    <row r="14" spans="1:9" ht="15" customHeight="1">
      <c r="A14" s="18" t="s">
        <v>246</v>
      </c>
      <c r="B14" s="17" t="s">
        <v>163</v>
      </c>
      <c r="C14" s="23">
        <f>'Krycí list rozpočtu'!C14+'Krycí list rozpočtu kůlna'!C14</f>
        <v>0</v>
      </c>
      <c r="D14" s="139" t="s">
        <v>464</v>
      </c>
      <c r="E14" s="140"/>
      <c r="F14" s="23">
        <v>0</v>
      </c>
      <c r="G14" s="139" t="s">
        <v>68</v>
      </c>
      <c r="H14" s="140"/>
      <c r="I14" s="23">
        <f>ROUND(C22*(2/100),2)</f>
        <v>0</v>
      </c>
    </row>
    <row r="15" spans="1:9" ht="15" customHeight="1">
      <c r="A15" s="27" t="s">
        <v>450</v>
      </c>
      <c r="B15" s="17" t="s">
        <v>122</v>
      </c>
      <c r="C15" s="23">
        <f>'Krycí list rozpočtu'!C15+'Krycí list rozpočtu kůlna'!C15</f>
        <v>0</v>
      </c>
      <c r="D15" s="139" t="s">
        <v>62</v>
      </c>
      <c r="E15" s="140"/>
      <c r="F15" s="23">
        <v>0</v>
      </c>
      <c r="G15" s="139" t="s">
        <v>522</v>
      </c>
      <c r="H15" s="140"/>
      <c r="I15" s="23">
        <v>0</v>
      </c>
    </row>
    <row r="16" spans="1:9" ht="15" customHeight="1">
      <c r="A16" s="18" t="s">
        <v>60</v>
      </c>
      <c r="B16" s="17" t="s">
        <v>163</v>
      </c>
      <c r="C16" s="23">
        <f>'Krycí list rozpočtu'!C16+'Krycí list rozpočtu kůlna'!C16</f>
        <v>0</v>
      </c>
      <c r="D16" s="139" t="s">
        <v>476</v>
      </c>
      <c r="E16" s="140"/>
      <c r="F16" s="23">
        <v>0</v>
      </c>
      <c r="G16" s="139" t="s">
        <v>619</v>
      </c>
      <c r="H16" s="140"/>
      <c r="I16" s="23">
        <v>0</v>
      </c>
    </row>
    <row r="17" spans="1:9" ht="15" customHeight="1">
      <c r="A17" s="27" t="s">
        <v>450</v>
      </c>
      <c r="B17" s="17" t="s">
        <v>122</v>
      </c>
      <c r="C17" s="23">
        <f>'Krycí list rozpočtu'!C17+'Krycí list rozpočtu kůlna'!C17</f>
        <v>0</v>
      </c>
      <c r="D17" s="139" t="s">
        <v>450</v>
      </c>
      <c r="E17" s="140"/>
      <c r="F17" s="19" t="s">
        <v>450</v>
      </c>
      <c r="G17" s="139" t="s">
        <v>354</v>
      </c>
      <c r="H17" s="140"/>
      <c r="I17" s="23">
        <v>0</v>
      </c>
    </row>
    <row r="18" spans="1:9" ht="15" customHeight="1">
      <c r="A18" s="18" t="s">
        <v>194</v>
      </c>
      <c r="B18" s="17" t="s">
        <v>163</v>
      </c>
      <c r="C18" s="23">
        <f>'Krycí list rozpočtu'!C18+'Krycí list rozpočtu kůlna'!C18</f>
        <v>0</v>
      </c>
      <c r="D18" s="139" t="s">
        <v>450</v>
      </c>
      <c r="E18" s="140"/>
      <c r="F18" s="19" t="s">
        <v>450</v>
      </c>
      <c r="G18" s="139" t="s">
        <v>429</v>
      </c>
      <c r="H18" s="140"/>
      <c r="I18" s="23">
        <v>0</v>
      </c>
    </row>
    <row r="19" spans="1:9" ht="15" customHeight="1">
      <c r="A19" s="27" t="s">
        <v>450</v>
      </c>
      <c r="B19" s="17" t="s">
        <v>122</v>
      </c>
      <c r="C19" s="23">
        <f>'Krycí list rozpočtu'!C19+'Krycí list rozpočtu kůlna'!C19</f>
        <v>0</v>
      </c>
      <c r="D19" s="139" t="s">
        <v>450</v>
      </c>
      <c r="E19" s="140"/>
      <c r="F19" s="19" t="s">
        <v>450</v>
      </c>
      <c r="G19" s="139" t="s">
        <v>641</v>
      </c>
      <c r="H19" s="140"/>
      <c r="I19" s="23">
        <v>0</v>
      </c>
    </row>
    <row r="20" spans="1:9" ht="15" customHeight="1">
      <c r="A20" s="141" t="s">
        <v>38</v>
      </c>
      <c r="B20" s="142"/>
      <c r="C20" s="23">
        <f>'Krycí list rozpočtu'!C20+'Krycí list rozpočtu kůlna'!C20</f>
        <v>0</v>
      </c>
      <c r="D20" s="139" t="s">
        <v>450</v>
      </c>
      <c r="E20" s="140"/>
      <c r="F20" s="19" t="s">
        <v>450</v>
      </c>
      <c r="G20" s="139" t="s">
        <v>450</v>
      </c>
      <c r="H20" s="140"/>
      <c r="I20" s="19" t="s">
        <v>450</v>
      </c>
    </row>
    <row r="21" spans="1:9" ht="15" customHeight="1">
      <c r="A21" s="143" t="s">
        <v>640</v>
      </c>
      <c r="B21" s="144"/>
      <c r="C21" s="23">
        <f>'Krycí list rozpočtu'!C21+'Krycí list rozpočtu kůlna'!C21</f>
        <v>0</v>
      </c>
      <c r="D21" s="145" t="s">
        <v>450</v>
      </c>
      <c r="E21" s="146"/>
      <c r="F21" s="35" t="s">
        <v>450</v>
      </c>
      <c r="G21" s="145" t="s">
        <v>450</v>
      </c>
      <c r="H21" s="146"/>
      <c r="I21" s="35" t="s">
        <v>450</v>
      </c>
    </row>
    <row r="22" spans="1:9" ht="16.5" customHeight="1">
      <c r="A22" s="147" t="s">
        <v>126</v>
      </c>
      <c r="B22" s="148"/>
      <c r="C22" s="37">
        <f>SUM(C14:C21)</f>
        <v>0</v>
      </c>
      <c r="D22" s="149" t="s">
        <v>344</v>
      </c>
      <c r="E22" s="148"/>
      <c r="F22" s="37">
        <f>SUM(F14:F21)</f>
        <v>0</v>
      </c>
      <c r="G22" s="149" t="s">
        <v>659</v>
      </c>
      <c r="H22" s="148"/>
      <c r="I22" s="37">
        <f>SUM(I14:I21)</f>
        <v>0</v>
      </c>
    </row>
    <row r="23" spans="4:9" ht="15" customHeight="1" thickBot="1">
      <c r="D23" s="141" t="s">
        <v>524</v>
      </c>
      <c r="E23" s="142"/>
      <c r="F23" s="3">
        <v>0</v>
      </c>
      <c r="G23" s="150" t="s">
        <v>31</v>
      </c>
      <c r="H23" s="142"/>
      <c r="I23" s="23">
        <v>0</v>
      </c>
    </row>
    <row r="24" spans="7:9" ht="15" customHeight="1">
      <c r="G24" s="141" t="s">
        <v>449</v>
      </c>
      <c r="H24" s="142"/>
      <c r="I24" s="23">
        <v>0</v>
      </c>
    </row>
    <row r="25" spans="7:9" ht="15" customHeight="1">
      <c r="G25" s="141" t="s">
        <v>499</v>
      </c>
      <c r="H25" s="142"/>
      <c r="I25" s="23">
        <v>0</v>
      </c>
    </row>
    <row r="27" spans="1:3" ht="15" customHeight="1">
      <c r="A27" s="151" t="s">
        <v>269</v>
      </c>
      <c r="B27" s="152"/>
      <c r="C27" s="16">
        <f>SUM('Stavební rozpočet'!AJ12:AJ155)</f>
        <v>0</v>
      </c>
    </row>
    <row r="28" spans="1:9" ht="15" customHeight="1">
      <c r="A28" s="153" t="s">
        <v>11</v>
      </c>
      <c r="B28" s="154"/>
      <c r="C28" s="22">
        <f>SUM('Stavební rozpočet'!AK12:AK155)</f>
        <v>0</v>
      </c>
      <c r="D28" s="152" t="s">
        <v>141</v>
      </c>
      <c r="E28" s="152"/>
      <c r="F28" s="16">
        <f>ROUND(C28*(15/100),2)</f>
        <v>0</v>
      </c>
      <c r="G28" s="152" t="s">
        <v>98</v>
      </c>
      <c r="H28" s="152"/>
      <c r="I28" s="16">
        <f>SUM(C27:C29)</f>
        <v>0</v>
      </c>
    </row>
    <row r="29" spans="1:9" ht="15" customHeight="1">
      <c r="A29" s="153" t="s">
        <v>27</v>
      </c>
      <c r="B29" s="154"/>
      <c r="C29" s="22">
        <f>C22+I22</f>
        <v>0</v>
      </c>
      <c r="D29" s="154" t="s">
        <v>487</v>
      </c>
      <c r="E29" s="154"/>
      <c r="F29" s="22">
        <f>ROUND(C29*(21/100),2)</f>
        <v>0</v>
      </c>
      <c r="G29" s="154" t="s">
        <v>268</v>
      </c>
      <c r="H29" s="154"/>
      <c r="I29" s="22">
        <f>SUM(F28:F29)+I28</f>
        <v>0</v>
      </c>
    </row>
    <row r="31" spans="1:9" ht="15" customHeight="1">
      <c r="A31" s="155" t="s">
        <v>8</v>
      </c>
      <c r="B31" s="156"/>
      <c r="C31" s="157"/>
      <c r="D31" s="156" t="s">
        <v>604</v>
      </c>
      <c r="E31" s="156"/>
      <c r="F31" s="157"/>
      <c r="G31" s="156" t="s">
        <v>445</v>
      </c>
      <c r="H31" s="156"/>
      <c r="I31" s="157"/>
    </row>
    <row r="32" spans="1:9" ht="15" customHeight="1">
      <c r="A32" s="158" t="s">
        <v>450</v>
      </c>
      <c r="B32" s="145"/>
      <c r="C32" s="159"/>
      <c r="D32" s="145" t="s">
        <v>450</v>
      </c>
      <c r="E32" s="145"/>
      <c r="F32" s="159"/>
      <c r="G32" s="145" t="s">
        <v>450</v>
      </c>
      <c r="H32" s="145"/>
      <c r="I32" s="159"/>
    </row>
    <row r="33" spans="1:9" ht="15" customHeight="1">
      <c r="A33" s="158" t="s">
        <v>450</v>
      </c>
      <c r="B33" s="145"/>
      <c r="C33" s="159"/>
      <c r="D33" s="145" t="s">
        <v>450</v>
      </c>
      <c r="E33" s="145"/>
      <c r="F33" s="159"/>
      <c r="G33" s="145" t="s">
        <v>450</v>
      </c>
      <c r="H33" s="145"/>
      <c r="I33" s="159"/>
    </row>
    <row r="34" spans="1:9" ht="15" customHeight="1">
      <c r="A34" s="158" t="s">
        <v>450</v>
      </c>
      <c r="B34" s="145"/>
      <c r="C34" s="159"/>
      <c r="D34" s="145" t="s">
        <v>450</v>
      </c>
      <c r="E34" s="145"/>
      <c r="F34" s="159"/>
      <c r="G34" s="145" t="s">
        <v>450</v>
      </c>
      <c r="H34" s="145"/>
      <c r="I34" s="159"/>
    </row>
    <row r="35" spans="1:9" ht="15" customHeight="1" thickBot="1">
      <c r="A35" s="160" t="s">
        <v>123</v>
      </c>
      <c r="B35" s="161"/>
      <c r="C35" s="162"/>
      <c r="D35" s="161" t="s">
        <v>123</v>
      </c>
      <c r="E35" s="161"/>
      <c r="F35" s="162"/>
      <c r="G35" s="161" t="s">
        <v>123</v>
      </c>
      <c r="H35" s="161"/>
      <c r="I35" s="162"/>
    </row>
    <row r="36" ht="15" customHeight="1">
      <c r="A36" s="30"/>
    </row>
    <row r="37" spans="1:9" ht="12.75" customHeight="1">
      <c r="A37" s="130" t="s">
        <v>450</v>
      </c>
      <c r="B37" s="121"/>
      <c r="C37" s="121"/>
      <c r="D37" s="121"/>
      <c r="E37" s="121"/>
      <c r="F37" s="121"/>
      <c r="G37" s="121"/>
      <c r="H37" s="121"/>
      <c r="I37" s="121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19" bottom="0.19" header="0" footer="0"/>
  <pageSetup firstPageNumber="0" useFirstPageNumber="1"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C16" sqref="C16"/>
    </sheetView>
  </sheetViews>
  <sheetFormatPr defaultColWidth="21.25" defaultRowHeight="15" customHeight="1"/>
  <cols>
    <col min="1" max="1" width="10.75" style="0" customWidth="1"/>
    <col min="2" max="2" width="30.5" style="0" customWidth="1"/>
    <col min="3" max="3" width="37.25" style="0" customWidth="1"/>
    <col min="4" max="4" width="11.75" style="0" customWidth="1"/>
    <col min="5" max="5" width="32.5" style="0" customWidth="1"/>
    <col min="6" max="6" width="38.75" style="0" customWidth="1"/>
    <col min="7" max="7" width="10.75" style="0" customWidth="1"/>
    <col min="8" max="8" width="30.75" style="0" customWidth="1"/>
    <col min="9" max="9" width="41.25" style="0" customWidth="1"/>
  </cols>
  <sheetData>
    <row r="1" spans="1:9" ht="54.75" customHeight="1">
      <c r="A1" s="116" t="s">
        <v>203</v>
      </c>
      <c r="B1" s="117"/>
      <c r="C1" s="117"/>
      <c r="D1" s="117"/>
      <c r="E1" s="117"/>
      <c r="F1" s="117"/>
      <c r="G1" s="117"/>
      <c r="H1" s="117"/>
      <c r="I1" s="117"/>
    </row>
    <row r="2" spans="1:9" ht="15" customHeight="1">
      <c r="A2" s="118" t="s">
        <v>37</v>
      </c>
      <c r="B2" s="119"/>
      <c r="C2" s="122" t="str">
        <f>'Stavební rozpočet'!D2</f>
        <v>Demolice bývalé ZUŠ</v>
      </c>
      <c r="D2" s="123"/>
      <c r="E2" s="125" t="s">
        <v>550</v>
      </c>
      <c r="F2" s="125" t="str">
        <f>'Stavební rozpočet'!L2</f>
        <v> </v>
      </c>
      <c r="G2" s="119"/>
      <c r="H2" s="125" t="s">
        <v>427</v>
      </c>
      <c r="I2" s="126" t="s">
        <v>450</v>
      </c>
    </row>
    <row r="3" spans="1:9" ht="15" customHeight="1">
      <c r="A3" s="120"/>
      <c r="B3" s="121"/>
      <c r="C3" s="124"/>
      <c r="D3" s="124"/>
      <c r="E3" s="121"/>
      <c r="F3" s="121"/>
      <c r="G3" s="121"/>
      <c r="H3" s="121"/>
      <c r="I3" s="127"/>
    </row>
    <row r="4" spans="1:9" ht="15" customHeight="1">
      <c r="A4" s="128" t="s">
        <v>364</v>
      </c>
      <c r="B4" s="121"/>
      <c r="C4" s="130" t="str">
        <f>'Stavební rozpočet'!D4</f>
        <v>demolice hlavního objektu</v>
      </c>
      <c r="D4" s="121"/>
      <c r="E4" s="130" t="s">
        <v>448</v>
      </c>
      <c r="F4" s="130" t="str">
        <f>'Stavební rozpočet'!L4</f>
        <v> </v>
      </c>
      <c r="G4" s="121"/>
      <c r="H4" s="130" t="s">
        <v>427</v>
      </c>
      <c r="I4" s="127" t="s">
        <v>450</v>
      </c>
    </row>
    <row r="5" spans="1:9" ht="15" customHeight="1">
      <c r="A5" s="120"/>
      <c r="B5" s="121"/>
      <c r="C5" s="121"/>
      <c r="D5" s="121"/>
      <c r="E5" s="121"/>
      <c r="F5" s="121"/>
      <c r="G5" s="121"/>
      <c r="H5" s="121"/>
      <c r="I5" s="127"/>
    </row>
    <row r="6" spans="1:9" ht="15" customHeight="1">
      <c r="A6" s="128" t="s">
        <v>54</v>
      </c>
      <c r="B6" s="121"/>
      <c r="C6" s="130" t="str">
        <f>'Stavební rozpočet'!D6</f>
        <v>Zábřeh, Sušilova ulice</v>
      </c>
      <c r="D6" s="121"/>
      <c r="E6" s="130" t="s">
        <v>565</v>
      </c>
      <c r="F6" s="130" t="str">
        <f>'Stavební rozpočet'!L6</f>
        <v> </v>
      </c>
      <c r="G6" s="121"/>
      <c r="H6" s="130" t="s">
        <v>427</v>
      </c>
      <c r="I6" s="127" t="s">
        <v>450</v>
      </c>
    </row>
    <row r="7" spans="1:9" ht="15" customHeight="1">
      <c r="A7" s="120"/>
      <c r="B7" s="121"/>
      <c r="C7" s="121"/>
      <c r="D7" s="121"/>
      <c r="E7" s="121"/>
      <c r="F7" s="121"/>
      <c r="G7" s="121"/>
      <c r="H7" s="121"/>
      <c r="I7" s="127"/>
    </row>
    <row r="8" spans="1:9" ht="15" customHeight="1">
      <c r="A8" s="128" t="s">
        <v>573</v>
      </c>
      <c r="B8" s="121"/>
      <c r="C8" s="130"/>
      <c r="D8" s="121"/>
      <c r="E8" s="130" t="s">
        <v>209</v>
      </c>
      <c r="F8" s="130" t="str">
        <f>'Stavební rozpočet'!H6</f>
        <v> </v>
      </c>
      <c r="G8" s="121"/>
      <c r="H8" s="121" t="s">
        <v>658</v>
      </c>
      <c r="I8" s="131">
        <v>117</v>
      </c>
    </row>
    <row r="9" spans="1:9" ht="15" customHeight="1">
      <c r="A9" s="120"/>
      <c r="B9" s="121"/>
      <c r="C9" s="121"/>
      <c r="D9" s="121"/>
      <c r="E9" s="121"/>
      <c r="F9" s="121"/>
      <c r="G9" s="121"/>
      <c r="H9" s="121"/>
      <c r="I9" s="127"/>
    </row>
    <row r="10" spans="1:9" ht="15" customHeight="1">
      <c r="A10" s="128" t="s">
        <v>328</v>
      </c>
      <c r="B10" s="121"/>
      <c r="C10" s="130" t="str">
        <f>'Stavební rozpočet'!D8</f>
        <v> </v>
      </c>
      <c r="D10" s="121"/>
      <c r="E10" s="130" t="s">
        <v>436</v>
      </c>
      <c r="F10" s="130" t="str">
        <f>'Stavební rozpočet'!L8</f>
        <v>Ing. Petr Hošek</v>
      </c>
      <c r="G10" s="121"/>
      <c r="H10" s="121" t="s">
        <v>628</v>
      </c>
      <c r="I10" s="134">
        <v>44890</v>
      </c>
    </row>
    <row r="11" spans="1:9" ht="15" customHeight="1">
      <c r="A11" s="132"/>
      <c r="B11" s="133"/>
      <c r="C11" s="133"/>
      <c r="D11" s="133"/>
      <c r="E11" s="133"/>
      <c r="F11" s="133"/>
      <c r="G11" s="133"/>
      <c r="H11" s="133"/>
      <c r="I11" s="135"/>
    </row>
    <row r="12" spans="1:9" ht="22.5" customHeight="1">
      <c r="A12" s="136" t="s">
        <v>108</v>
      </c>
      <c r="B12" s="136"/>
      <c r="C12" s="136"/>
      <c r="D12" s="136"/>
      <c r="E12" s="136"/>
      <c r="F12" s="136"/>
      <c r="G12" s="136"/>
      <c r="H12" s="136"/>
      <c r="I12" s="136"/>
    </row>
    <row r="13" spans="1:9" ht="26.25" customHeight="1">
      <c r="A13" s="5" t="s">
        <v>578</v>
      </c>
      <c r="B13" s="137" t="s">
        <v>86</v>
      </c>
      <c r="C13" s="138"/>
      <c r="D13" s="7" t="s">
        <v>117</v>
      </c>
      <c r="E13" s="137" t="s">
        <v>240</v>
      </c>
      <c r="F13" s="138"/>
      <c r="G13" s="7" t="s">
        <v>417</v>
      </c>
      <c r="H13" s="137" t="s">
        <v>118</v>
      </c>
      <c r="I13" s="138"/>
    </row>
    <row r="14" spans="1:9" ht="15" customHeight="1">
      <c r="A14" s="18" t="s">
        <v>246</v>
      </c>
      <c r="B14" s="17" t="s">
        <v>163</v>
      </c>
      <c r="C14" s="23">
        <f>SUM('Stavební rozpočet'!AB12:AB155)</f>
        <v>0</v>
      </c>
      <c r="D14" s="139" t="s">
        <v>464</v>
      </c>
      <c r="E14" s="140"/>
      <c r="F14" s="23">
        <v>0</v>
      </c>
      <c r="G14" s="139" t="s">
        <v>68</v>
      </c>
      <c r="H14" s="140"/>
      <c r="I14" s="23">
        <f>ROUND(C22*(2/100),2)</f>
        <v>0</v>
      </c>
    </row>
    <row r="15" spans="1:9" ht="15" customHeight="1">
      <c r="A15" s="27" t="s">
        <v>450</v>
      </c>
      <c r="B15" s="17" t="s">
        <v>122</v>
      </c>
      <c r="C15" s="23">
        <f>SUM('Stavební rozpočet'!AC12:AC155)</f>
        <v>0</v>
      </c>
      <c r="D15" s="139" t="s">
        <v>62</v>
      </c>
      <c r="E15" s="140"/>
      <c r="F15" s="23">
        <v>0</v>
      </c>
      <c r="G15" s="139" t="s">
        <v>522</v>
      </c>
      <c r="H15" s="140"/>
      <c r="I15" s="23">
        <v>0</v>
      </c>
    </row>
    <row r="16" spans="1:9" ht="15" customHeight="1">
      <c r="A16" s="18" t="s">
        <v>60</v>
      </c>
      <c r="B16" s="17" t="s">
        <v>163</v>
      </c>
      <c r="C16" s="23">
        <f>SUM('Stavební rozpočet'!AD12:AD155)</f>
        <v>0</v>
      </c>
      <c r="D16" s="139" t="s">
        <v>476</v>
      </c>
      <c r="E16" s="140"/>
      <c r="F16" s="23">
        <v>0</v>
      </c>
      <c r="G16" s="139" t="s">
        <v>619</v>
      </c>
      <c r="H16" s="140"/>
      <c r="I16" s="23">
        <v>0</v>
      </c>
    </row>
    <row r="17" spans="1:9" ht="15" customHeight="1">
      <c r="A17" s="27" t="s">
        <v>450</v>
      </c>
      <c r="B17" s="17" t="s">
        <v>122</v>
      </c>
      <c r="C17" s="23">
        <f>SUM('Stavební rozpočet'!AE12:AE155)</f>
        <v>0</v>
      </c>
      <c r="D17" s="139" t="s">
        <v>450</v>
      </c>
      <c r="E17" s="140"/>
      <c r="F17" s="19" t="s">
        <v>450</v>
      </c>
      <c r="G17" s="139" t="s">
        <v>354</v>
      </c>
      <c r="H17" s="140"/>
      <c r="I17" s="23">
        <v>0</v>
      </c>
    </row>
    <row r="18" spans="1:9" ht="15" customHeight="1">
      <c r="A18" s="18" t="s">
        <v>194</v>
      </c>
      <c r="B18" s="17" t="s">
        <v>163</v>
      </c>
      <c r="C18" s="23">
        <f>SUM('Stavební rozpočet'!AF12:AF155)</f>
        <v>0</v>
      </c>
      <c r="D18" s="139" t="s">
        <v>450</v>
      </c>
      <c r="E18" s="140"/>
      <c r="F18" s="19" t="s">
        <v>450</v>
      </c>
      <c r="G18" s="139" t="s">
        <v>429</v>
      </c>
      <c r="H18" s="140"/>
      <c r="I18" s="23">
        <v>0</v>
      </c>
    </row>
    <row r="19" spans="1:9" ht="15" customHeight="1">
      <c r="A19" s="27" t="s">
        <v>450</v>
      </c>
      <c r="B19" s="17" t="s">
        <v>122</v>
      </c>
      <c r="C19" s="23">
        <f>SUM('Stavební rozpočet'!AG12:AG155)</f>
        <v>0</v>
      </c>
      <c r="D19" s="139" t="s">
        <v>450</v>
      </c>
      <c r="E19" s="140"/>
      <c r="F19" s="19" t="s">
        <v>450</v>
      </c>
      <c r="G19" s="139" t="s">
        <v>641</v>
      </c>
      <c r="H19" s="140"/>
      <c r="I19" s="23">
        <v>0</v>
      </c>
    </row>
    <row r="20" spans="1:9" ht="15" customHeight="1">
      <c r="A20" s="141" t="s">
        <v>38</v>
      </c>
      <c r="B20" s="142"/>
      <c r="C20" s="23">
        <f>SUM('Stavební rozpočet'!AH12:AH155)</f>
        <v>0</v>
      </c>
      <c r="D20" s="139" t="s">
        <v>450</v>
      </c>
      <c r="E20" s="140"/>
      <c r="F20" s="19" t="s">
        <v>450</v>
      </c>
      <c r="G20" s="139" t="s">
        <v>450</v>
      </c>
      <c r="H20" s="140"/>
      <c r="I20" s="19" t="s">
        <v>450</v>
      </c>
    </row>
    <row r="21" spans="1:9" ht="15" customHeight="1">
      <c r="A21" s="143" t="s">
        <v>640</v>
      </c>
      <c r="B21" s="144"/>
      <c r="C21" s="28">
        <f>SUM('Stavební rozpočet'!Z12:Z155)</f>
        <v>0</v>
      </c>
      <c r="D21" s="145" t="s">
        <v>450</v>
      </c>
      <c r="E21" s="146"/>
      <c r="F21" s="35" t="s">
        <v>450</v>
      </c>
      <c r="G21" s="145" t="s">
        <v>450</v>
      </c>
      <c r="H21" s="146"/>
      <c r="I21" s="35" t="s">
        <v>450</v>
      </c>
    </row>
    <row r="22" spans="1:9" ht="16.5" customHeight="1">
      <c r="A22" s="147" t="s">
        <v>126</v>
      </c>
      <c r="B22" s="148"/>
      <c r="C22" s="37">
        <f>SUM(C14:C21)</f>
        <v>0</v>
      </c>
      <c r="D22" s="149" t="s">
        <v>344</v>
      </c>
      <c r="E22" s="148"/>
      <c r="F22" s="37">
        <f>SUM(F14:F21)</f>
        <v>0</v>
      </c>
      <c r="G22" s="149" t="s">
        <v>659</v>
      </c>
      <c r="H22" s="148"/>
      <c r="I22" s="37">
        <f>SUM(I14:I21)</f>
        <v>0</v>
      </c>
    </row>
    <row r="23" spans="4:9" ht="15" customHeight="1">
      <c r="D23" s="141" t="s">
        <v>524</v>
      </c>
      <c r="E23" s="142"/>
      <c r="F23" s="3">
        <v>0</v>
      </c>
      <c r="G23" s="150" t="s">
        <v>31</v>
      </c>
      <c r="H23" s="142"/>
      <c r="I23" s="23">
        <v>0</v>
      </c>
    </row>
    <row r="24" spans="7:9" ht="15" customHeight="1">
      <c r="G24" s="141" t="s">
        <v>449</v>
      </c>
      <c r="H24" s="142"/>
      <c r="I24" s="23">
        <v>0</v>
      </c>
    </row>
    <row r="25" spans="7:9" ht="15" customHeight="1">
      <c r="G25" s="141" t="s">
        <v>499</v>
      </c>
      <c r="H25" s="142"/>
      <c r="I25" s="23">
        <v>0</v>
      </c>
    </row>
    <row r="27" spans="1:3" ht="15" customHeight="1">
      <c r="A27" s="151" t="s">
        <v>269</v>
      </c>
      <c r="B27" s="152"/>
      <c r="C27" s="16">
        <f>SUM('Stavební rozpočet'!AJ12:AJ155)</f>
        <v>0</v>
      </c>
    </row>
    <row r="28" spans="1:9" ht="15" customHeight="1">
      <c r="A28" s="153" t="s">
        <v>11</v>
      </c>
      <c r="B28" s="154"/>
      <c r="C28" s="22">
        <f>SUM('Stavební rozpočet'!AK12:AK155)</f>
        <v>0</v>
      </c>
      <c r="D28" s="152" t="s">
        <v>141</v>
      </c>
      <c r="E28" s="152"/>
      <c r="F28" s="16">
        <f>ROUND(C28*(15/100),2)</f>
        <v>0</v>
      </c>
      <c r="G28" s="152" t="s">
        <v>98</v>
      </c>
      <c r="H28" s="152"/>
      <c r="I28" s="16">
        <f>SUM(C27:C29)</f>
        <v>0</v>
      </c>
    </row>
    <row r="29" spans="1:9" ht="15" customHeight="1">
      <c r="A29" s="153" t="s">
        <v>27</v>
      </c>
      <c r="B29" s="154"/>
      <c r="C29" s="22">
        <f>SUM('Stavební rozpočet'!AL12:AL155)+(F22+I22+F23+I23+I24+I25)</f>
        <v>0</v>
      </c>
      <c r="D29" s="154" t="s">
        <v>487</v>
      </c>
      <c r="E29" s="154"/>
      <c r="F29" s="22">
        <f>ROUND(C29*(21/100),2)</f>
        <v>0</v>
      </c>
      <c r="G29" s="154" t="s">
        <v>268</v>
      </c>
      <c r="H29" s="154"/>
      <c r="I29" s="22">
        <f>SUM(F28:F29)+I28</f>
        <v>0</v>
      </c>
    </row>
    <row r="31" spans="1:9" ht="15" customHeight="1">
      <c r="A31" s="155" t="s">
        <v>8</v>
      </c>
      <c r="B31" s="156"/>
      <c r="C31" s="157"/>
      <c r="D31" s="156" t="s">
        <v>604</v>
      </c>
      <c r="E31" s="156"/>
      <c r="F31" s="157"/>
      <c r="G31" s="156" t="s">
        <v>445</v>
      </c>
      <c r="H31" s="156"/>
      <c r="I31" s="157"/>
    </row>
    <row r="32" spans="1:9" ht="15" customHeight="1">
      <c r="A32" s="158" t="s">
        <v>450</v>
      </c>
      <c r="B32" s="145"/>
      <c r="C32" s="159"/>
      <c r="D32" s="145" t="s">
        <v>450</v>
      </c>
      <c r="E32" s="145"/>
      <c r="F32" s="159"/>
      <c r="G32" s="145" t="s">
        <v>450</v>
      </c>
      <c r="H32" s="145"/>
      <c r="I32" s="159"/>
    </row>
    <row r="33" spans="1:9" ht="15" customHeight="1">
      <c r="A33" s="158" t="s">
        <v>450</v>
      </c>
      <c r="B33" s="145"/>
      <c r="C33" s="159"/>
      <c r="D33" s="145" t="s">
        <v>450</v>
      </c>
      <c r="E33" s="145"/>
      <c r="F33" s="159"/>
      <c r="G33" s="145" t="s">
        <v>450</v>
      </c>
      <c r="H33" s="145"/>
      <c r="I33" s="159"/>
    </row>
    <row r="34" spans="1:9" ht="15" customHeight="1">
      <c r="A34" s="158" t="s">
        <v>450</v>
      </c>
      <c r="B34" s="145"/>
      <c r="C34" s="159"/>
      <c r="D34" s="145" t="s">
        <v>450</v>
      </c>
      <c r="E34" s="145"/>
      <c r="F34" s="159"/>
      <c r="G34" s="145" t="s">
        <v>450</v>
      </c>
      <c r="H34" s="145"/>
      <c r="I34" s="159"/>
    </row>
    <row r="35" spans="1:9" ht="15" customHeight="1">
      <c r="A35" s="160" t="s">
        <v>123</v>
      </c>
      <c r="B35" s="161"/>
      <c r="C35" s="162"/>
      <c r="D35" s="161" t="s">
        <v>123</v>
      </c>
      <c r="E35" s="161"/>
      <c r="F35" s="162"/>
      <c r="G35" s="161" t="s">
        <v>123</v>
      </c>
      <c r="H35" s="161"/>
      <c r="I35" s="162"/>
    </row>
    <row r="36" ht="15" customHeight="1">
      <c r="A36" s="30"/>
    </row>
    <row r="37" spans="1:9" ht="12.75" customHeight="1">
      <c r="A37" s="130" t="s">
        <v>450</v>
      </c>
      <c r="B37" s="121"/>
      <c r="C37" s="121"/>
      <c r="D37" s="121"/>
      <c r="E37" s="121"/>
      <c r="F37" s="121"/>
      <c r="G37" s="121"/>
      <c r="H37" s="121"/>
      <c r="I37" s="121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19" bottom="0.19" header="0" footer="0"/>
  <pageSetup firstPageNumber="0" useFirstPageNumber="1"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OutlineSymbols="0" zoomScalePageLayoutView="0" workbookViewId="0" topLeftCell="A1">
      <pane ySplit="11" topLeftCell="A12" activePane="bottomLeft" state="frozen"/>
      <selection pane="topLeft" activeCell="G8" sqref="G8:G9"/>
      <selection pane="bottomLeft" activeCell="F12" sqref="F12"/>
    </sheetView>
  </sheetViews>
  <sheetFormatPr defaultColWidth="21.25" defaultRowHeight="15" customHeight="1"/>
  <cols>
    <col min="1" max="2" width="10" style="0" customWidth="1"/>
    <col min="3" max="3" width="83.25" style="0" customWidth="1"/>
    <col min="4" max="6" width="32.5" style="0" customWidth="1"/>
    <col min="7" max="7" width="43.25" style="0" customWidth="1"/>
    <col min="8" max="9" width="0" style="0" hidden="1" customWidth="1"/>
  </cols>
  <sheetData>
    <row r="1" spans="1:7" ht="54.75" customHeight="1">
      <c r="A1" s="117" t="s">
        <v>304</v>
      </c>
      <c r="B1" s="117"/>
      <c r="C1" s="117"/>
      <c r="D1" s="117"/>
      <c r="E1" s="117"/>
      <c r="F1" s="117"/>
      <c r="G1" s="117"/>
    </row>
    <row r="2" spans="1:7" ht="15" customHeight="1">
      <c r="A2" s="118" t="s">
        <v>37</v>
      </c>
      <c r="B2" s="119"/>
      <c r="C2" s="122" t="str">
        <f>'Stavební rozpočet'!D2</f>
        <v>Demolice bývalé ZUŠ</v>
      </c>
      <c r="D2" s="119" t="s">
        <v>3</v>
      </c>
      <c r="E2" s="119" t="s">
        <v>595</v>
      </c>
      <c r="F2" s="125" t="s">
        <v>550</v>
      </c>
      <c r="G2" s="163" t="str">
        <f>'Stavební rozpočet'!L2</f>
        <v> </v>
      </c>
    </row>
    <row r="3" spans="1:7" ht="15" customHeight="1">
      <c r="A3" s="120"/>
      <c r="B3" s="121"/>
      <c r="C3" s="124"/>
      <c r="D3" s="121"/>
      <c r="E3" s="121"/>
      <c r="F3" s="121"/>
      <c r="G3" s="127"/>
    </row>
    <row r="4" spans="1:7" ht="15" customHeight="1">
      <c r="A4" s="128" t="s">
        <v>364</v>
      </c>
      <c r="B4" s="121"/>
      <c r="C4" s="130" t="str">
        <f>'Stavební rozpočet'!D4</f>
        <v>demolice hlavního objektu</v>
      </c>
      <c r="D4" s="121" t="s">
        <v>573</v>
      </c>
      <c r="E4" s="121"/>
      <c r="F4" s="130" t="s">
        <v>448</v>
      </c>
      <c r="G4" s="164" t="str">
        <f>'Stavební rozpočet'!L4</f>
        <v> </v>
      </c>
    </row>
    <row r="5" spans="1:7" ht="15" customHeight="1">
      <c r="A5" s="120"/>
      <c r="B5" s="121"/>
      <c r="C5" s="121"/>
      <c r="D5" s="121"/>
      <c r="E5" s="121"/>
      <c r="F5" s="121"/>
      <c r="G5" s="127"/>
    </row>
    <row r="6" spans="1:7" ht="15" customHeight="1">
      <c r="A6" s="128" t="s">
        <v>54</v>
      </c>
      <c r="B6" s="121"/>
      <c r="C6" s="130" t="str">
        <f>'Stavební rozpočet'!D6</f>
        <v>Zábřeh, Sušilova ulice</v>
      </c>
      <c r="D6" s="121" t="s">
        <v>209</v>
      </c>
      <c r="E6" s="121" t="s">
        <v>595</v>
      </c>
      <c r="F6" s="130" t="s">
        <v>565</v>
      </c>
      <c r="G6" s="164" t="str">
        <f>'Stavební rozpočet'!L6</f>
        <v> </v>
      </c>
    </row>
    <row r="7" spans="1:7" ht="15" customHeight="1">
      <c r="A7" s="120"/>
      <c r="B7" s="121"/>
      <c r="C7" s="121"/>
      <c r="D7" s="121"/>
      <c r="E7" s="121"/>
      <c r="F7" s="121"/>
      <c r="G7" s="127"/>
    </row>
    <row r="8" spans="1:7" ht="15" customHeight="1">
      <c r="A8" s="128" t="s">
        <v>436</v>
      </c>
      <c r="B8" s="121"/>
      <c r="C8" s="130" t="str">
        <f>'Stavební rozpočet'!L8</f>
        <v>Ing. Petr Hošek</v>
      </c>
      <c r="D8" s="121" t="s">
        <v>373</v>
      </c>
      <c r="E8" s="121"/>
      <c r="F8" s="121" t="s">
        <v>373</v>
      </c>
      <c r="G8" s="134">
        <v>44890</v>
      </c>
    </row>
    <row r="9" spans="1:7" ht="15" customHeight="1">
      <c r="A9" s="120"/>
      <c r="B9" s="121"/>
      <c r="C9" s="121"/>
      <c r="D9" s="121"/>
      <c r="E9" s="121"/>
      <c r="F9" s="121"/>
      <c r="G9" s="127"/>
    </row>
    <row r="10" spans="1:7" ht="15" customHeight="1">
      <c r="A10" s="15" t="s">
        <v>479</v>
      </c>
      <c r="B10" s="8" t="s">
        <v>211</v>
      </c>
      <c r="C10" s="24" t="s">
        <v>703</v>
      </c>
      <c r="D10" s="32" t="s">
        <v>338</v>
      </c>
      <c r="E10" s="32" t="s">
        <v>734</v>
      </c>
      <c r="F10" s="32" t="s">
        <v>33</v>
      </c>
      <c r="G10" s="25" t="s">
        <v>275</v>
      </c>
    </row>
    <row r="11" spans="1:9" ht="15" customHeight="1">
      <c r="A11" s="11" t="s">
        <v>450</v>
      </c>
      <c r="B11" s="1" t="s">
        <v>544</v>
      </c>
      <c r="C11" s="1" t="s">
        <v>365</v>
      </c>
      <c r="D11" s="2">
        <f>'Stavební rozpočet'!I12</f>
        <v>0</v>
      </c>
      <c r="E11" s="2">
        <f>'Stavební rozpočet'!J12</f>
        <v>0</v>
      </c>
      <c r="F11" s="2">
        <f>'Stavební rozpočet'!K12</f>
        <v>0</v>
      </c>
      <c r="G11" s="33">
        <f>'Stavební rozpočet'!M12</f>
        <v>2.9164000000000003</v>
      </c>
      <c r="H11" s="20" t="s">
        <v>625</v>
      </c>
      <c r="I11" s="2">
        <f aca="true" t="shared" si="0" ref="I11:I38">IF(H11="F",0,F11)</f>
        <v>0</v>
      </c>
    </row>
    <row r="12" spans="1:9" ht="15" customHeight="1">
      <c r="A12" s="11" t="s">
        <v>450</v>
      </c>
      <c r="B12" s="1" t="s">
        <v>473</v>
      </c>
      <c r="C12" s="1" t="s">
        <v>160</v>
      </c>
      <c r="D12" s="2">
        <f>'Stavební rozpočet'!I15</f>
        <v>0</v>
      </c>
      <c r="E12" s="2">
        <f>'Stavební rozpočet'!J15</f>
        <v>0</v>
      </c>
      <c r="F12" s="2">
        <f>'Stavební rozpočet'!K15</f>
        <v>0</v>
      </c>
      <c r="G12" s="33">
        <f>'Stavební rozpočet'!M15</f>
        <v>0</v>
      </c>
      <c r="H12" s="20" t="s">
        <v>625</v>
      </c>
      <c r="I12" s="2">
        <f t="shared" si="0"/>
        <v>0</v>
      </c>
    </row>
    <row r="13" spans="1:9" ht="15" customHeight="1">
      <c r="A13" s="11" t="s">
        <v>450</v>
      </c>
      <c r="B13" s="1" t="s">
        <v>59</v>
      </c>
      <c r="C13" s="1" t="s">
        <v>543</v>
      </c>
      <c r="D13" s="2">
        <f>'Stavební rozpočet'!I17</f>
        <v>0</v>
      </c>
      <c r="E13" s="2">
        <f>'Stavební rozpočet'!J17</f>
        <v>0</v>
      </c>
      <c r="F13" s="2">
        <f>'Stavební rozpočet'!K17</f>
        <v>0</v>
      </c>
      <c r="G13" s="33">
        <f>'Stavební rozpočet'!M17</f>
        <v>0</v>
      </c>
      <c r="H13" s="20" t="s">
        <v>625</v>
      </c>
      <c r="I13" s="2">
        <f t="shared" si="0"/>
        <v>0</v>
      </c>
    </row>
    <row r="14" spans="1:9" ht="15" customHeight="1">
      <c r="A14" s="11" t="s">
        <v>450</v>
      </c>
      <c r="B14" s="1" t="s">
        <v>452</v>
      </c>
      <c r="C14" s="1" t="s">
        <v>95</v>
      </c>
      <c r="D14" s="2">
        <f>'Stavební rozpočet'!I21</f>
        <v>0</v>
      </c>
      <c r="E14" s="2">
        <f>'Stavební rozpočet'!J21</f>
        <v>0</v>
      </c>
      <c r="F14" s="2">
        <f>'Stavební rozpočet'!K21</f>
        <v>0</v>
      </c>
      <c r="G14" s="33">
        <f>'Stavební rozpočet'!M21</f>
        <v>152.3674</v>
      </c>
      <c r="H14" s="20" t="s">
        <v>625</v>
      </c>
      <c r="I14" s="2">
        <f t="shared" si="0"/>
        <v>0</v>
      </c>
    </row>
    <row r="15" spans="1:9" ht="15" customHeight="1">
      <c r="A15" s="11" t="s">
        <v>450</v>
      </c>
      <c r="B15" s="1" t="s">
        <v>139</v>
      </c>
      <c r="C15" s="1" t="s">
        <v>361</v>
      </c>
      <c r="D15" s="2">
        <f>'Stavební rozpočet'!I24</f>
        <v>0</v>
      </c>
      <c r="E15" s="2">
        <f>'Stavební rozpočet'!J24</f>
        <v>0</v>
      </c>
      <c r="F15" s="2">
        <f>'Stavební rozpočet'!K24</f>
        <v>0</v>
      </c>
      <c r="G15" s="33">
        <f>'Stavební rozpočet'!M24</f>
        <v>0.06473999999999999</v>
      </c>
      <c r="H15" s="20" t="s">
        <v>625</v>
      </c>
      <c r="I15" s="2">
        <f t="shared" si="0"/>
        <v>0</v>
      </c>
    </row>
    <row r="16" spans="1:9" ht="15" customHeight="1">
      <c r="A16" s="11" t="s">
        <v>450</v>
      </c>
      <c r="B16" s="1" t="s">
        <v>414</v>
      </c>
      <c r="C16" s="1" t="s">
        <v>440</v>
      </c>
      <c r="D16" s="2">
        <f>'Stavební rozpočet'!I27</f>
        <v>0</v>
      </c>
      <c r="E16" s="2">
        <f>'Stavební rozpočet'!J27</f>
        <v>0</v>
      </c>
      <c r="F16" s="2">
        <f>'Stavební rozpočet'!K27</f>
        <v>0</v>
      </c>
      <c r="G16" s="33">
        <f>'Stavební rozpočet'!M27</f>
        <v>8.24229</v>
      </c>
      <c r="H16" s="20" t="s">
        <v>625</v>
      </c>
      <c r="I16" s="2">
        <f t="shared" si="0"/>
        <v>0</v>
      </c>
    </row>
    <row r="17" spans="1:9" ht="15" customHeight="1">
      <c r="A17" s="11" t="s">
        <v>450</v>
      </c>
      <c r="B17" s="1" t="s">
        <v>308</v>
      </c>
      <c r="C17" s="1" t="s">
        <v>602</v>
      </c>
      <c r="D17" s="2">
        <f>'Stavební rozpočet'!I29</f>
        <v>0</v>
      </c>
      <c r="E17" s="2">
        <f>'Stavební rozpočet'!J29</f>
        <v>0</v>
      </c>
      <c r="F17" s="2">
        <f>'Stavební rozpočet'!K29</f>
        <v>0</v>
      </c>
      <c r="G17" s="33">
        <f>'Stavební rozpočet'!M29</f>
        <v>11.91799</v>
      </c>
      <c r="H17" s="20" t="s">
        <v>625</v>
      </c>
      <c r="I17" s="2">
        <f t="shared" si="0"/>
        <v>0</v>
      </c>
    </row>
    <row r="18" spans="1:9" ht="15" customHeight="1">
      <c r="A18" s="11" t="s">
        <v>450</v>
      </c>
      <c r="B18" s="1" t="s">
        <v>723</v>
      </c>
      <c r="C18" s="1" t="s">
        <v>533</v>
      </c>
      <c r="D18" s="2">
        <f>'Stavební rozpočet'!I31</f>
        <v>0</v>
      </c>
      <c r="E18" s="2">
        <f>'Stavební rozpočet'!J31</f>
        <v>0</v>
      </c>
      <c r="F18" s="2">
        <f>'Stavební rozpočet'!K31</f>
        <v>0</v>
      </c>
      <c r="G18" s="33">
        <f>'Stavební rozpočet'!M31</f>
        <v>0.2959365</v>
      </c>
      <c r="H18" s="20" t="s">
        <v>625</v>
      </c>
      <c r="I18" s="2">
        <f t="shared" si="0"/>
        <v>0</v>
      </c>
    </row>
    <row r="19" spans="1:9" ht="15" customHeight="1">
      <c r="A19" s="11" t="s">
        <v>450</v>
      </c>
      <c r="B19" s="1" t="s">
        <v>470</v>
      </c>
      <c r="C19" s="1" t="s">
        <v>309</v>
      </c>
      <c r="D19" s="2">
        <f>'Stavební rozpočet'!I33</f>
        <v>0</v>
      </c>
      <c r="E19" s="2">
        <f>'Stavební rozpočet'!J33</f>
        <v>0</v>
      </c>
      <c r="F19" s="2">
        <f>'Stavební rozpočet'!K33</f>
        <v>0</v>
      </c>
      <c r="G19" s="33">
        <f>'Stavební rozpočet'!M33</f>
        <v>1.9185825</v>
      </c>
      <c r="H19" s="20" t="s">
        <v>625</v>
      </c>
      <c r="I19" s="2">
        <f t="shared" si="0"/>
        <v>0</v>
      </c>
    </row>
    <row r="20" spans="1:9" ht="15" customHeight="1">
      <c r="A20" s="11" t="s">
        <v>450</v>
      </c>
      <c r="B20" s="1" t="s">
        <v>421</v>
      </c>
      <c r="C20" s="1" t="s">
        <v>737</v>
      </c>
      <c r="D20" s="2">
        <f>'Stavební rozpočet'!I35</f>
        <v>0</v>
      </c>
      <c r="E20" s="2">
        <f>'Stavební rozpočet'!J35</f>
        <v>0</v>
      </c>
      <c r="F20" s="2">
        <f>'Stavební rozpočet'!K35</f>
        <v>0</v>
      </c>
      <c r="G20" s="33">
        <f>'Stavební rozpočet'!M35</f>
        <v>0</v>
      </c>
      <c r="H20" s="20" t="s">
        <v>625</v>
      </c>
      <c r="I20" s="2">
        <f t="shared" si="0"/>
        <v>0</v>
      </c>
    </row>
    <row r="21" spans="1:9" ht="15" customHeight="1">
      <c r="A21" s="11" t="s">
        <v>450</v>
      </c>
      <c r="B21" s="1" t="s">
        <v>581</v>
      </c>
      <c r="C21" s="1" t="s">
        <v>403</v>
      </c>
      <c r="D21" s="2">
        <f>'Stavební rozpočet'!I37</f>
        <v>0</v>
      </c>
      <c r="E21" s="2">
        <f>'Stavební rozpočet'!J37</f>
        <v>0</v>
      </c>
      <c r="F21" s="2">
        <f>'Stavební rozpočet'!K37</f>
        <v>0</v>
      </c>
      <c r="G21" s="33">
        <f>'Stavební rozpočet'!M37</f>
        <v>0.00828</v>
      </c>
      <c r="H21" s="20" t="s">
        <v>625</v>
      </c>
      <c r="I21" s="2">
        <f t="shared" si="0"/>
        <v>0</v>
      </c>
    </row>
    <row r="22" spans="1:9" ht="15" customHeight="1">
      <c r="A22" s="11" t="s">
        <v>450</v>
      </c>
      <c r="B22" s="1" t="s">
        <v>622</v>
      </c>
      <c r="C22" s="1" t="s">
        <v>390</v>
      </c>
      <c r="D22" s="2">
        <f>'Stavební rozpočet'!I40</f>
        <v>0</v>
      </c>
      <c r="E22" s="2">
        <f>'Stavební rozpočet'!J40</f>
        <v>0</v>
      </c>
      <c r="F22" s="2">
        <f>'Stavební rozpočet'!K40</f>
        <v>0</v>
      </c>
      <c r="G22" s="33">
        <f>'Stavební rozpočet'!M40</f>
        <v>0.87549</v>
      </c>
      <c r="H22" s="20" t="s">
        <v>625</v>
      </c>
      <c r="I22" s="2">
        <f t="shared" si="0"/>
        <v>0</v>
      </c>
    </row>
    <row r="23" spans="1:9" ht="15" customHeight="1">
      <c r="A23" s="11" t="s">
        <v>450</v>
      </c>
      <c r="B23" s="1" t="s">
        <v>251</v>
      </c>
      <c r="C23" s="1" t="s">
        <v>296</v>
      </c>
      <c r="D23" s="2">
        <f>'Stavební rozpočet'!I48</f>
        <v>0</v>
      </c>
      <c r="E23" s="2">
        <f>'Stavební rozpočet'!J48</f>
        <v>0</v>
      </c>
      <c r="F23" s="2">
        <f>'Stavební rozpočet'!K48</f>
        <v>0</v>
      </c>
      <c r="G23" s="33">
        <f>'Stavební rozpočet'!M48</f>
        <v>0.7402</v>
      </c>
      <c r="H23" s="20" t="s">
        <v>625</v>
      </c>
      <c r="I23" s="2">
        <f t="shared" si="0"/>
        <v>0</v>
      </c>
    </row>
    <row r="24" spans="1:9" ht="15" customHeight="1">
      <c r="A24" s="11" t="s">
        <v>450</v>
      </c>
      <c r="B24" s="1" t="s">
        <v>664</v>
      </c>
      <c r="C24" s="1" t="s">
        <v>549</v>
      </c>
      <c r="D24" s="2">
        <f>'Stavební rozpočet'!I50</f>
        <v>0</v>
      </c>
      <c r="E24" s="2">
        <f>'Stavební rozpočet'!J50</f>
        <v>0</v>
      </c>
      <c r="F24" s="2">
        <f>'Stavební rozpočet'!K50</f>
        <v>0</v>
      </c>
      <c r="G24" s="33">
        <f>'Stavební rozpočet'!M50</f>
        <v>1.69158</v>
      </c>
      <c r="H24" s="20" t="s">
        <v>625</v>
      </c>
      <c r="I24" s="2">
        <f t="shared" si="0"/>
        <v>0</v>
      </c>
    </row>
    <row r="25" spans="1:9" ht="15" customHeight="1">
      <c r="A25" s="11" t="s">
        <v>450</v>
      </c>
      <c r="B25" s="1" t="s">
        <v>670</v>
      </c>
      <c r="C25" s="1" t="s">
        <v>484</v>
      </c>
      <c r="D25" s="2">
        <f>'Stavební rozpočet'!I54</f>
        <v>0</v>
      </c>
      <c r="E25" s="2">
        <f>'Stavební rozpočet'!J54</f>
        <v>0</v>
      </c>
      <c r="F25" s="2">
        <f>'Stavební rozpočet'!K54</f>
        <v>0</v>
      </c>
      <c r="G25" s="33">
        <f>'Stavební rozpočet'!M54</f>
        <v>1.4596399999999998</v>
      </c>
      <c r="H25" s="20" t="s">
        <v>625</v>
      </c>
      <c r="I25" s="2">
        <f t="shared" si="0"/>
        <v>0</v>
      </c>
    </row>
    <row r="26" spans="1:9" ht="15" customHeight="1">
      <c r="A26" s="11" t="s">
        <v>450</v>
      </c>
      <c r="B26" s="1" t="s">
        <v>410</v>
      </c>
      <c r="C26" s="1" t="s">
        <v>690</v>
      </c>
      <c r="D26" s="2">
        <f>'Stavební rozpočet'!I57</f>
        <v>0</v>
      </c>
      <c r="E26" s="2">
        <f>'Stavební rozpočet'!J57</f>
        <v>0</v>
      </c>
      <c r="F26" s="2">
        <f>'Stavební rozpočet'!K57</f>
        <v>0</v>
      </c>
      <c r="G26" s="33">
        <f>'Stavební rozpočet'!M57</f>
        <v>50.978660250000004</v>
      </c>
      <c r="H26" s="20" t="s">
        <v>625</v>
      </c>
      <c r="I26" s="2">
        <f t="shared" si="0"/>
        <v>0</v>
      </c>
    </row>
    <row r="27" spans="1:9" ht="15" customHeight="1">
      <c r="A27" s="11" t="s">
        <v>450</v>
      </c>
      <c r="B27" s="1" t="s">
        <v>47</v>
      </c>
      <c r="C27" s="1" t="s">
        <v>96</v>
      </c>
      <c r="D27" s="2">
        <f>'Stavební rozpočet'!I66</f>
        <v>0</v>
      </c>
      <c r="E27" s="2">
        <f>'Stavební rozpočet'!J66</f>
        <v>0</v>
      </c>
      <c r="F27" s="2">
        <f>'Stavební rozpočet'!K66</f>
        <v>0</v>
      </c>
      <c r="G27" s="33">
        <f>'Stavební rozpočet'!M66</f>
        <v>1.51750468</v>
      </c>
      <c r="H27" s="20" t="s">
        <v>625</v>
      </c>
      <c r="I27" s="2">
        <f t="shared" si="0"/>
        <v>0</v>
      </c>
    </row>
    <row r="28" spans="1:9" ht="15" customHeight="1">
      <c r="A28" s="11" t="s">
        <v>450</v>
      </c>
      <c r="B28" s="1" t="s">
        <v>180</v>
      </c>
      <c r="C28" s="1" t="s">
        <v>558</v>
      </c>
      <c r="D28" s="2">
        <f>'Stavební rozpočet'!I79</f>
        <v>0</v>
      </c>
      <c r="E28" s="2">
        <f>'Stavební rozpočet'!J79</f>
        <v>0</v>
      </c>
      <c r="F28" s="2">
        <f>'Stavební rozpočet'!K79</f>
        <v>0</v>
      </c>
      <c r="G28" s="33">
        <f>'Stavební rozpočet'!M79</f>
        <v>4.4766925</v>
      </c>
      <c r="H28" s="20" t="s">
        <v>625</v>
      </c>
      <c r="I28" s="2">
        <f t="shared" si="0"/>
        <v>0</v>
      </c>
    </row>
    <row r="29" spans="1:9" ht="15" customHeight="1">
      <c r="A29" s="11" t="s">
        <v>450</v>
      </c>
      <c r="B29" s="1" t="s">
        <v>274</v>
      </c>
      <c r="C29" s="1" t="s">
        <v>320</v>
      </c>
      <c r="D29" s="2">
        <f>'Stavební rozpočet'!I81</f>
        <v>0</v>
      </c>
      <c r="E29" s="2">
        <f>'Stavební rozpočet'!J81</f>
        <v>0</v>
      </c>
      <c r="F29" s="2">
        <f>'Stavební rozpočet'!K81</f>
        <v>0</v>
      </c>
      <c r="G29" s="33">
        <f>'Stavební rozpočet'!M81</f>
        <v>0.15368056500000002</v>
      </c>
      <c r="H29" s="20" t="s">
        <v>625</v>
      </c>
      <c r="I29" s="2">
        <f t="shared" si="0"/>
        <v>0</v>
      </c>
    </row>
    <row r="30" spans="1:9" ht="15" customHeight="1">
      <c r="A30" s="11" t="s">
        <v>450</v>
      </c>
      <c r="B30" s="1" t="s">
        <v>306</v>
      </c>
      <c r="C30" s="1" t="s">
        <v>195</v>
      </c>
      <c r="D30" s="2">
        <f>'Stavební rozpočet'!I83</f>
        <v>0</v>
      </c>
      <c r="E30" s="2">
        <f>'Stavební rozpočet'!J83</f>
        <v>0</v>
      </c>
      <c r="F30" s="2">
        <f>'Stavební rozpočet'!K83</f>
        <v>0</v>
      </c>
      <c r="G30" s="33">
        <f>'Stavební rozpočet'!M83</f>
        <v>0.74616</v>
      </c>
      <c r="H30" s="20" t="s">
        <v>625</v>
      </c>
      <c r="I30" s="2">
        <f t="shared" si="0"/>
        <v>0</v>
      </c>
    </row>
    <row r="31" spans="1:9" ht="15" customHeight="1">
      <c r="A31" s="11" t="s">
        <v>450</v>
      </c>
      <c r="B31" s="1" t="s">
        <v>242</v>
      </c>
      <c r="C31" s="1" t="s">
        <v>85</v>
      </c>
      <c r="D31" s="2">
        <f>'Stavební rozpočet'!I88</f>
        <v>0</v>
      </c>
      <c r="E31" s="2">
        <f>'Stavební rozpočet'!J88</f>
        <v>0</v>
      </c>
      <c r="F31" s="2">
        <f>'Stavební rozpočet'!K88</f>
        <v>0</v>
      </c>
      <c r="G31" s="33">
        <f>'Stavební rozpočet'!M88</f>
        <v>6.806</v>
      </c>
      <c r="H31" s="20" t="s">
        <v>625</v>
      </c>
      <c r="I31" s="2">
        <f t="shared" si="0"/>
        <v>0</v>
      </c>
    </row>
    <row r="32" spans="1:9" ht="15" customHeight="1">
      <c r="A32" s="11" t="s">
        <v>450</v>
      </c>
      <c r="B32" s="1" t="s">
        <v>518</v>
      </c>
      <c r="C32" s="1" t="s">
        <v>435</v>
      </c>
      <c r="D32" s="2">
        <f>'Stavební rozpočet'!I90</f>
        <v>0</v>
      </c>
      <c r="E32" s="2">
        <f>'Stavební rozpočet'!J90</f>
        <v>0</v>
      </c>
      <c r="F32" s="2">
        <f>'Stavební rozpočet'!K90</f>
        <v>0</v>
      </c>
      <c r="G32" s="33">
        <f>'Stavební rozpočet'!M90</f>
        <v>0.7213</v>
      </c>
      <c r="H32" s="20" t="s">
        <v>625</v>
      </c>
      <c r="I32" s="2">
        <f t="shared" si="0"/>
        <v>0</v>
      </c>
    </row>
    <row r="33" spans="1:9" ht="15" customHeight="1">
      <c r="A33" s="11" t="s">
        <v>450</v>
      </c>
      <c r="B33" s="1" t="s">
        <v>23</v>
      </c>
      <c r="C33" s="1" t="s">
        <v>238</v>
      </c>
      <c r="D33" s="2">
        <f>'Stavební rozpočet'!I93</f>
        <v>0</v>
      </c>
      <c r="E33" s="2">
        <f>'Stavební rozpočet'!J93</f>
        <v>0</v>
      </c>
      <c r="F33" s="2">
        <f>'Stavební rozpočet'!K93</f>
        <v>0</v>
      </c>
      <c r="G33" s="33">
        <f>'Stavební rozpočet'!M93</f>
        <v>3.873275</v>
      </c>
      <c r="H33" s="20" t="s">
        <v>625</v>
      </c>
      <c r="I33" s="2">
        <f t="shared" si="0"/>
        <v>0</v>
      </c>
    </row>
    <row r="34" spans="1:9" ht="15" customHeight="1">
      <c r="A34" s="11" t="s">
        <v>450</v>
      </c>
      <c r="B34" s="1" t="s">
        <v>80</v>
      </c>
      <c r="C34" s="1" t="s">
        <v>457</v>
      </c>
      <c r="D34" s="2">
        <f>'Stavební rozpočet'!I95</f>
        <v>0</v>
      </c>
      <c r="E34" s="2">
        <f>'Stavební rozpočet'!J95</f>
        <v>0</v>
      </c>
      <c r="F34" s="2">
        <f>'Stavební rozpočet'!K95</f>
        <v>0</v>
      </c>
      <c r="G34" s="33">
        <f>'Stavební rozpočet'!M95</f>
        <v>7.896303679999999</v>
      </c>
      <c r="H34" s="20" t="s">
        <v>625</v>
      </c>
      <c r="I34" s="2">
        <f t="shared" si="0"/>
        <v>0</v>
      </c>
    </row>
    <row r="35" spans="1:9" ht="15" customHeight="1">
      <c r="A35" s="11" t="s">
        <v>450</v>
      </c>
      <c r="B35" s="1" t="s">
        <v>370</v>
      </c>
      <c r="C35" s="1" t="s">
        <v>481</v>
      </c>
      <c r="D35" s="2">
        <f>'Stavební rozpočet'!I100</f>
        <v>0</v>
      </c>
      <c r="E35" s="2">
        <f>'Stavební rozpočet'!J100</f>
        <v>0</v>
      </c>
      <c r="F35" s="2">
        <f>'Stavební rozpočet'!K100</f>
        <v>0</v>
      </c>
      <c r="G35" s="33">
        <f>'Stavební rozpočet'!M100</f>
        <v>803.6925412411999</v>
      </c>
      <c r="H35" s="20" t="s">
        <v>625</v>
      </c>
      <c r="I35" s="2">
        <f t="shared" si="0"/>
        <v>0</v>
      </c>
    </row>
    <row r="36" spans="1:9" ht="15" customHeight="1">
      <c r="A36" s="11" t="s">
        <v>450</v>
      </c>
      <c r="B36" s="1" t="s">
        <v>79</v>
      </c>
      <c r="C36" s="1" t="s">
        <v>720</v>
      </c>
      <c r="D36" s="2">
        <f>'Stavební rozpočet'!I136</f>
        <v>0</v>
      </c>
      <c r="E36" s="2">
        <f>'Stavební rozpočet'!J136</f>
        <v>0</v>
      </c>
      <c r="F36" s="2">
        <f>'Stavební rozpočet'!K136</f>
        <v>0</v>
      </c>
      <c r="G36" s="33">
        <f>'Stavební rozpočet'!M136</f>
        <v>0</v>
      </c>
      <c r="H36" s="20" t="s">
        <v>625</v>
      </c>
      <c r="I36" s="2">
        <f t="shared" si="0"/>
        <v>0</v>
      </c>
    </row>
    <row r="37" spans="1:9" ht="15" customHeight="1">
      <c r="A37" s="11" t="s">
        <v>450</v>
      </c>
      <c r="B37" s="1" t="s">
        <v>455</v>
      </c>
      <c r="C37" s="1" t="s">
        <v>570</v>
      </c>
      <c r="D37" s="2">
        <f>'Stavební rozpočet'!I141</f>
        <v>0</v>
      </c>
      <c r="E37" s="2">
        <f>'Stavební rozpočet'!J141</f>
        <v>0</v>
      </c>
      <c r="F37" s="2">
        <f>'Stavební rozpočet'!K141</f>
        <v>0</v>
      </c>
      <c r="G37" s="33">
        <f>'Stavební rozpočet'!M141</f>
        <v>1527.4744787908999</v>
      </c>
      <c r="H37" s="20" t="s">
        <v>625</v>
      </c>
      <c r="I37" s="2">
        <f t="shared" si="0"/>
        <v>0</v>
      </c>
    </row>
    <row r="38" spans="1:9" ht="15" customHeight="1" thickBot="1">
      <c r="A38" s="11" t="s">
        <v>450</v>
      </c>
      <c r="B38" s="1" t="s">
        <v>10</v>
      </c>
      <c r="C38" s="1" t="s">
        <v>351</v>
      </c>
      <c r="D38" s="2">
        <f>'Stavební rozpočet'!I153</f>
        <v>0</v>
      </c>
      <c r="E38" s="2">
        <f>'Stavební rozpočet'!J153</f>
        <v>0</v>
      </c>
      <c r="F38" s="2">
        <f>'Stavební rozpočet'!K153</f>
        <v>0</v>
      </c>
      <c r="G38" s="33">
        <f>'Stavební rozpočet'!M153</f>
        <v>0</v>
      </c>
      <c r="H38" s="20" t="s">
        <v>625</v>
      </c>
      <c r="I38" s="2">
        <f t="shared" si="0"/>
        <v>0</v>
      </c>
    </row>
    <row r="39" spans="1:7" ht="15" customHeight="1" thickBot="1">
      <c r="A39" s="39"/>
      <c r="B39" s="40"/>
      <c r="C39" s="40"/>
      <c r="D39" s="40"/>
      <c r="E39" s="41" t="s">
        <v>520</v>
      </c>
      <c r="F39" s="42">
        <f>SUM(I11:I38)</f>
        <v>0</v>
      </c>
      <c r="G39" s="43"/>
    </row>
  </sheetData>
  <sheetProtection/>
  <mergeCells count="25">
    <mergeCell ref="G2:G3"/>
    <mergeCell ref="G4:G5"/>
    <mergeCell ref="G6:G7"/>
    <mergeCell ref="G8:G9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E8:E9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58"/>
  <sheetViews>
    <sheetView showOutlineSymbols="0" zoomScalePageLayoutView="0" workbookViewId="0" topLeftCell="A1">
      <pane ySplit="11" topLeftCell="A120" activePane="bottomLeft" state="frozen"/>
      <selection pane="topLeft" activeCell="A159" sqref="A159:N159"/>
      <selection pane="bottomLeft" activeCell="H13" sqref="H13:H155"/>
    </sheetView>
  </sheetViews>
  <sheetFormatPr defaultColWidth="21.25" defaultRowHeight="15" customHeight="1"/>
  <cols>
    <col min="1" max="1" width="4.75" style="0" customWidth="1"/>
    <col min="2" max="2" width="8.75" style="0" customWidth="1"/>
    <col min="3" max="3" width="20.75" style="0" customWidth="1"/>
    <col min="4" max="4" width="2" style="0" customWidth="1"/>
    <col min="5" max="5" width="113" style="0" customWidth="1"/>
    <col min="6" max="6" width="11" style="0" customWidth="1"/>
    <col min="7" max="7" width="15" style="0" customWidth="1"/>
    <col min="8" max="8" width="16.25" style="0" customWidth="1"/>
    <col min="9" max="9" width="18.25" style="0" customWidth="1"/>
    <col min="10" max="10" width="19.25" style="0" customWidth="1"/>
    <col min="11" max="11" width="20.25" style="0" customWidth="1"/>
    <col min="12" max="13" width="13.75" style="0" customWidth="1"/>
    <col min="14" max="14" width="20.75" style="0" customWidth="1"/>
    <col min="15" max="24" width="21.25" style="0" customWidth="1"/>
    <col min="25" max="64" width="21.25" style="0" hidden="1" customWidth="1"/>
  </cols>
  <sheetData>
    <row r="1" spans="1:14" ht="54.75" customHeight="1">
      <c r="A1" s="117" t="s">
        <v>363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" customHeight="1">
      <c r="A2" s="118" t="s">
        <v>37</v>
      </c>
      <c r="B2" s="119"/>
      <c r="C2" s="119"/>
      <c r="D2" s="122" t="s">
        <v>230</v>
      </c>
      <c r="E2" s="123"/>
      <c r="F2" s="119" t="s">
        <v>3</v>
      </c>
      <c r="G2" s="119"/>
      <c r="H2" s="119" t="s">
        <v>595</v>
      </c>
      <c r="I2" s="119"/>
      <c r="J2" s="125" t="s">
        <v>550</v>
      </c>
      <c r="K2" s="119"/>
      <c r="L2" s="119" t="s">
        <v>315</v>
      </c>
      <c r="M2" s="119"/>
      <c r="N2" s="126"/>
    </row>
    <row r="3" spans="1:14" ht="15" customHeight="1">
      <c r="A3" s="120"/>
      <c r="B3" s="121"/>
      <c r="C3" s="121"/>
      <c r="D3" s="124"/>
      <c r="E3" s="124"/>
      <c r="F3" s="121"/>
      <c r="G3" s="121"/>
      <c r="H3" s="121"/>
      <c r="I3" s="121"/>
      <c r="J3" s="121"/>
      <c r="K3" s="121"/>
      <c r="L3" s="121"/>
      <c r="M3" s="121"/>
      <c r="N3" s="127"/>
    </row>
    <row r="4" spans="1:14" ht="15" customHeight="1">
      <c r="A4" s="128" t="s">
        <v>364</v>
      </c>
      <c r="B4" s="121"/>
      <c r="C4" s="121"/>
      <c r="D4" s="130" t="s">
        <v>738</v>
      </c>
      <c r="E4" s="121"/>
      <c r="F4" s="121" t="s">
        <v>573</v>
      </c>
      <c r="G4" s="121"/>
      <c r="H4" s="121"/>
      <c r="I4" s="121"/>
      <c r="J4" s="130" t="s">
        <v>448</v>
      </c>
      <c r="K4" s="121"/>
      <c r="L4" s="121" t="s">
        <v>315</v>
      </c>
      <c r="M4" s="121"/>
      <c r="N4" s="127"/>
    </row>
    <row r="5" spans="1:14" ht="15" customHeigh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7"/>
    </row>
    <row r="6" spans="1:14" ht="15" customHeight="1">
      <c r="A6" s="128" t="s">
        <v>54</v>
      </c>
      <c r="B6" s="121"/>
      <c r="C6" s="121"/>
      <c r="D6" s="130" t="s">
        <v>206</v>
      </c>
      <c r="E6" s="121"/>
      <c r="F6" s="121" t="s">
        <v>209</v>
      </c>
      <c r="G6" s="121"/>
      <c r="H6" s="121" t="s">
        <v>595</v>
      </c>
      <c r="I6" s="121"/>
      <c r="J6" s="130" t="s">
        <v>565</v>
      </c>
      <c r="K6" s="121"/>
      <c r="L6" s="121" t="s">
        <v>315</v>
      </c>
      <c r="M6" s="121"/>
      <c r="N6" s="127"/>
    </row>
    <row r="7" spans="1:14" ht="15" customHeight="1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7"/>
    </row>
    <row r="8" spans="1:14" ht="15" customHeight="1">
      <c r="A8" s="128" t="s">
        <v>328</v>
      </c>
      <c r="B8" s="121"/>
      <c r="C8" s="121"/>
      <c r="D8" s="130" t="s">
        <v>595</v>
      </c>
      <c r="E8" s="121"/>
      <c r="F8" s="121" t="s">
        <v>373</v>
      </c>
      <c r="G8" s="121"/>
      <c r="H8" s="165">
        <v>44890</v>
      </c>
      <c r="I8" s="121"/>
      <c r="J8" s="130" t="s">
        <v>436</v>
      </c>
      <c r="K8" s="121"/>
      <c r="L8" s="121" t="s">
        <v>739</v>
      </c>
      <c r="M8" s="121"/>
      <c r="N8" s="127"/>
    </row>
    <row r="9" spans="1:14" ht="15" customHeight="1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7"/>
    </row>
    <row r="10" spans="1:64" ht="15" customHeight="1">
      <c r="A10" s="13" t="s">
        <v>45</v>
      </c>
      <c r="B10" s="38" t="s">
        <v>479</v>
      </c>
      <c r="C10" s="38" t="s">
        <v>211</v>
      </c>
      <c r="D10" s="166" t="s">
        <v>703</v>
      </c>
      <c r="E10" s="167"/>
      <c r="F10" s="38" t="s">
        <v>227</v>
      </c>
      <c r="G10" s="9" t="s">
        <v>394</v>
      </c>
      <c r="H10" s="21" t="s">
        <v>205</v>
      </c>
      <c r="I10" s="170" t="s">
        <v>420</v>
      </c>
      <c r="J10" s="171"/>
      <c r="K10" s="172"/>
      <c r="L10" s="171" t="s">
        <v>104</v>
      </c>
      <c r="M10" s="171"/>
      <c r="N10" s="36" t="s">
        <v>175</v>
      </c>
      <c r="BK10" s="14" t="s">
        <v>266</v>
      </c>
      <c r="BL10" s="34" t="s">
        <v>349</v>
      </c>
    </row>
    <row r="11" spans="1:62" ht="15" customHeight="1" thickBot="1">
      <c r="A11" s="29" t="s">
        <v>595</v>
      </c>
      <c r="B11" s="10" t="s">
        <v>595</v>
      </c>
      <c r="C11" s="10" t="s">
        <v>595</v>
      </c>
      <c r="D11" s="168" t="s">
        <v>653</v>
      </c>
      <c r="E11" s="169"/>
      <c r="F11" s="10" t="s">
        <v>595</v>
      </c>
      <c r="G11" s="10" t="s">
        <v>595</v>
      </c>
      <c r="H11" s="12" t="s">
        <v>610</v>
      </c>
      <c r="I11" s="31" t="s">
        <v>29</v>
      </c>
      <c r="J11" s="4" t="s">
        <v>122</v>
      </c>
      <c r="K11" s="26" t="s">
        <v>66</v>
      </c>
      <c r="L11" s="4" t="s">
        <v>213</v>
      </c>
      <c r="M11" s="12" t="s">
        <v>66</v>
      </c>
      <c r="N11" s="6" t="s">
        <v>166</v>
      </c>
      <c r="Z11" s="14" t="s">
        <v>511</v>
      </c>
      <c r="AA11" s="14" t="s">
        <v>406</v>
      </c>
      <c r="AB11" s="14" t="s">
        <v>674</v>
      </c>
      <c r="AC11" s="14" t="s">
        <v>183</v>
      </c>
      <c r="AD11" s="14" t="s">
        <v>554</v>
      </c>
      <c r="AE11" s="14" t="s">
        <v>245</v>
      </c>
      <c r="AF11" s="14" t="s">
        <v>580</v>
      </c>
      <c r="AG11" s="14" t="s">
        <v>284</v>
      </c>
      <c r="AH11" s="14" t="s">
        <v>172</v>
      </c>
      <c r="BH11" s="14" t="s">
        <v>512</v>
      </c>
      <c r="BI11" s="14" t="s">
        <v>660</v>
      </c>
      <c r="BJ11" s="14" t="s">
        <v>711</v>
      </c>
    </row>
    <row r="12" spans="1:47" s="58" customFormat="1" ht="15" customHeight="1">
      <c r="A12" s="95" t="s">
        <v>450</v>
      </c>
      <c r="B12" s="96" t="s">
        <v>450</v>
      </c>
      <c r="C12" s="96" t="s">
        <v>544</v>
      </c>
      <c r="D12" s="173" t="s">
        <v>365</v>
      </c>
      <c r="E12" s="173"/>
      <c r="F12" s="97" t="s">
        <v>595</v>
      </c>
      <c r="G12" s="97" t="s">
        <v>595</v>
      </c>
      <c r="H12" s="97" t="s">
        <v>595</v>
      </c>
      <c r="I12" s="98">
        <f>SUM(I13:I14)</f>
        <v>0</v>
      </c>
      <c r="J12" s="98">
        <f>SUM(J13:J14)</f>
        <v>0</v>
      </c>
      <c r="K12" s="98">
        <f>SUM(K13:K14)</f>
        <v>0</v>
      </c>
      <c r="L12" s="99" t="s">
        <v>450</v>
      </c>
      <c r="M12" s="98">
        <f>SUM(M13:M14)</f>
        <v>2.9164000000000003</v>
      </c>
      <c r="N12" s="100" t="s">
        <v>450</v>
      </c>
      <c r="AI12" s="99" t="s">
        <v>450</v>
      </c>
      <c r="AS12" s="98">
        <f>SUM(AJ13:AJ14)</f>
        <v>0</v>
      </c>
      <c r="AT12" s="98">
        <f>SUM(AK13:AK14)</f>
        <v>0</v>
      </c>
      <c r="AU12" s="98">
        <f>SUM(AL13:AL14)</f>
        <v>0</v>
      </c>
    </row>
    <row r="13" spans="1:64" s="58" customFormat="1" ht="15" customHeight="1">
      <c r="A13" s="64" t="s">
        <v>644</v>
      </c>
      <c r="B13" s="65" t="s">
        <v>450</v>
      </c>
      <c r="C13" s="65" t="s">
        <v>569</v>
      </c>
      <c r="D13" s="174" t="s">
        <v>288</v>
      </c>
      <c r="E13" s="174"/>
      <c r="F13" s="65" t="s">
        <v>635</v>
      </c>
      <c r="G13" s="66">
        <v>17.8</v>
      </c>
      <c r="H13" s="66"/>
      <c r="I13" s="66">
        <f>G13*AO13</f>
        <v>0</v>
      </c>
      <c r="J13" s="66">
        <f>G13*AP13</f>
        <v>0</v>
      </c>
      <c r="K13" s="66">
        <f>G13*H13</f>
        <v>0</v>
      </c>
      <c r="L13" s="66">
        <v>0.138</v>
      </c>
      <c r="M13" s="66">
        <f>G13*L13</f>
        <v>2.4564000000000004</v>
      </c>
      <c r="N13" s="69" t="s">
        <v>545</v>
      </c>
      <c r="Z13" s="66">
        <f>IF(AQ13="5",BJ13,0)</f>
        <v>0</v>
      </c>
      <c r="AB13" s="66">
        <f>IF(AQ13="1",BH13,0)</f>
        <v>0</v>
      </c>
      <c r="AC13" s="66">
        <f>IF(AQ13="1",BI13,0)</f>
        <v>0</v>
      </c>
      <c r="AD13" s="66">
        <f>IF(AQ13="7",BH13,0)</f>
        <v>0</v>
      </c>
      <c r="AE13" s="66">
        <f>IF(AQ13="7",BI13,0)</f>
        <v>0</v>
      </c>
      <c r="AF13" s="66">
        <f>IF(AQ13="2",BH13,0)</f>
        <v>0</v>
      </c>
      <c r="AG13" s="66">
        <f>IF(AQ13="2",BI13,0)</f>
        <v>0</v>
      </c>
      <c r="AH13" s="66">
        <f>IF(AQ13="0",BJ13,0)</f>
        <v>0</v>
      </c>
      <c r="AI13" s="99" t="s">
        <v>450</v>
      </c>
      <c r="AJ13" s="66">
        <f>IF(AN13=0,K13,0)</f>
        <v>0</v>
      </c>
      <c r="AK13" s="66">
        <f>IF(AN13=15,K13,0)</f>
        <v>0</v>
      </c>
      <c r="AL13" s="66">
        <f>IF(AN13=21,K13,0)</f>
        <v>0</v>
      </c>
      <c r="AN13" s="66">
        <v>21</v>
      </c>
      <c r="AO13" s="66">
        <f>H13*0</f>
        <v>0</v>
      </c>
      <c r="AP13" s="66">
        <f>H13*(1-0)</f>
        <v>0</v>
      </c>
      <c r="AQ13" s="111" t="s">
        <v>644</v>
      </c>
      <c r="AV13" s="66">
        <f>AW13+AX13</f>
        <v>0</v>
      </c>
      <c r="AW13" s="66">
        <f>G13*AO13</f>
        <v>0</v>
      </c>
      <c r="AX13" s="66">
        <f>G13*AP13</f>
        <v>0</v>
      </c>
      <c r="AY13" s="111" t="s">
        <v>71</v>
      </c>
      <c r="AZ13" s="111" t="s">
        <v>76</v>
      </c>
      <c r="BA13" s="99" t="s">
        <v>498</v>
      </c>
      <c r="BC13" s="66">
        <f>AW13+AX13</f>
        <v>0</v>
      </c>
      <c r="BD13" s="66">
        <f>H13/(100-BE13)*100</f>
        <v>0</v>
      </c>
      <c r="BE13" s="66">
        <v>0</v>
      </c>
      <c r="BF13" s="66">
        <f>M13</f>
        <v>2.4564000000000004</v>
      </c>
      <c r="BH13" s="66">
        <f>G13*AO13</f>
        <v>0</v>
      </c>
      <c r="BI13" s="66">
        <f>G13*AP13</f>
        <v>0</v>
      </c>
      <c r="BJ13" s="66">
        <f>G13*H13</f>
        <v>0</v>
      </c>
      <c r="BK13" s="66"/>
      <c r="BL13" s="66">
        <v>11</v>
      </c>
    </row>
    <row r="14" spans="1:64" s="58" customFormat="1" ht="15" customHeight="1">
      <c r="A14" s="64" t="s">
        <v>447</v>
      </c>
      <c r="B14" s="65" t="s">
        <v>450</v>
      </c>
      <c r="C14" s="65" t="s">
        <v>204</v>
      </c>
      <c r="D14" s="174" t="s">
        <v>399</v>
      </c>
      <c r="E14" s="174"/>
      <c r="F14" s="65" t="s">
        <v>538</v>
      </c>
      <c r="G14" s="66">
        <v>2</v>
      </c>
      <c r="H14" s="66"/>
      <c r="I14" s="66">
        <f>G14*AO14</f>
        <v>0</v>
      </c>
      <c r="J14" s="66">
        <f>G14*AP14</f>
        <v>0</v>
      </c>
      <c r="K14" s="66">
        <f>G14*H14</f>
        <v>0</v>
      </c>
      <c r="L14" s="66">
        <v>0.23</v>
      </c>
      <c r="M14" s="66">
        <f>G14*L14</f>
        <v>0.46</v>
      </c>
      <c r="N14" s="69" t="s">
        <v>545</v>
      </c>
      <c r="Z14" s="66">
        <f>IF(AQ14="5",BJ14,0)</f>
        <v>0</v>
      </c>
      <c r="AB14" s="66">
        <f>IF(AQ14="1",BH14,0)</f>
        <v>0</v>
      </c>
      <c r="AC14" s="66">
        <f>IF(AQ14="1",BI14,0)</f>
        <v>0</v>
      </c>
      <c r="AD14" s="66">
        <f>IF(AQ14="7",BH14,0)</f>
        <v>0</v>
      </c>
      <c r="AE14" s="66">
        <f>IF(AQ14="7",BI14,0)</f>
        <v>0</v>
      </c>
      <c r="AF14" s="66">
        <f>IF(AQ14="2",BH14,0)</f>
        <v>0</v>
      </c>
      <c r="AG14" s="66">
        <f>IF(AQ14="2",BI14,0)</f>
        <v>0</v>
      </c>
      <c r="AH14" s="66">
        <f>IF(AQ14="0",BJ14,0)</f>
        <v>0</v>
      </c>
      <c r="AI14" s="99" t="s">
        <v>450</v>
      </c>
      <c r="AJ14" s="66">
        <f>IF(AN14=0,K14,0)</f>
        <v>0</v>
      </c>
      <c r="AK14" s="66">
        <f>IF(AN14=15,K14,0)</f>
        <v>0</v>
      </c>
      <c r="AL14" s="66">
        <f>IF(AN14=21,K14,0)</f>
        <v>0</v>
      </c>
      <c r="AN14" s="66">
        <v>21</v>
      </c>
      <c r="AO14" s="66">
        <f>H14*0</f>
        <v>0</v>
      </c>
      <c r="AP14" s="66">
        <f>H14*(1-0)</f>
        <v>0</v>
      </c>
      <c r="AQ14" s="111" t="s">
        <v>644</v>
      </c>
      <c r="AV14" s="66">
        <f>AW14+AX14</f>
        <v>0</v>
      </c>
      <c r="AW14" s="66">
        <f>G14*AO14</f>
        <v>0</v>
      </c>
      <c r="AX14" s="66">
        <f>G14*AP14</f>
        <v>0</v>
      </c>
      <c r="AY14" s="111" t="s">
        <v>71</v>
      </c>
      <c r="AZ14" s="111" t="s">
        <v>76</v>
      </c>
      <c r="BA14" s="99" t="s">
        <v>498</v>
      </c>
      <c r="BC14" s="66">
        <f>AW14+AX14</f>
        <v>0</v>
      </c>
      <c r="BD14" s="66">
        <f>H14/(100-BE14)*100</f>
        <v>0</v>
      </c>
      <c r="BE14" s="66">
        <v>0</v>
      </c>
      <c r="BF14" s="66">
        <f>M14</f>
        <v>0.46</v>
      </c>
      <c r="BH14" s="66">
        <f>G14*AO14</f>
        <v>0</v>
      </c>
      <c r="BI14" s="66">
        <f>G14*AP14</f>
        <v>0</v>
      </c>
      <c r="BJ14" s="66">
        <f>G14*H14</f>
        <v>0</v>
      </c>
      <c r="BK14" s="66"/>
      <c r="BL14" s="66">
        <v>11</v>
      </c>
    </row>
    <row r="15" spans="1:47" s="58" customFormat="1" ht="15" customHeight="1">
      <c r="A15" s="95" t="s">
        <v>450</v>
      </c>
      <c r="B15" s="96" t="s">
        <v>450</v>
      </c>
      <c r="C15" s="96" t="s">
        <v>473</v>
      </c>
      <c r="D15" s="173" t="s">
        <v>160</v>
      </c>
      <c r="E15" s="173"/>
      <c r="F15" s="97" t="s">
        <v>595</v>
      </c>
      <c r="G15" s="97" t="s">
        <v>595</v>
      </c>
      <c r="H15" s="97"/>
      <c r="I15" s="98">
        <f>SUM(I16:I16)</f>
        <v>0</v>
      </c>
      <c r="J15" s="98">
        <f>SUM(J16:J16)</f>
        <v>0</v>
      </c>
      <c r="K15" s="98">
        <f>SUM(K16:K16)</f>
        <v>0</v>
      </c>
      <c r="L15" s="99" t="s">
        <v>450</v>
      </c>
      <c r="M15" s="98">
        <f>SUM(M16:M16)</f>
        <v>0</v>
      </c>
      <c r="N15" s="100" t="s">
        <v>450</v>
      </c>
      <c r="AI15" s="99" t="s">
        <v>450</v>
      </c>
      <c r="AS15" s="98">
        <f>SUM(AJ16:AJ16)</f>
        <v>0</v>
      </c>
      <c r="AT15" s="98">
        <f>SUM(AK16:AK16)</f>
        <v>0</v>
      </c>
      <c r="AU15" s="98">
        <f>SUM(AL16:AL16)</f>
        <v>0</v>
      </c>
    </row>
    <row r="16" spans="1:64" s="58" customFormat="1" ht="15" customHeight="1">
      <c r="A16" s="64" t="s">
        <v>559</v>
      </c>
      <c r="B16" s="65" t="s">
        <v>450</v>
      </c>
      <c r="C16" s="65" t="s">
        <v>483</v>
      </c>
      <c r="D16" s="174" t="s">
        <v>643</v>
      </c>
      <c r="E16" s="174"/>
      <c r="F16" s="65" t="s">
        <v>621</v>
      </c>
      <c r="G16" s="66">
        <v>76.68516</v>
      </c>
      <c r="H16" s="66"/>
      <c r="I16" s="66">
        <f>G16*AO16</f>
        <v>0</v>
      </c>
      <c r="J16" s="66">
        <f>G16*AP16</f>
        <v>0</v>
      </c>
      <c r="K16" s="66">
        <f>G16*H16</f>
        <v>0</v>
      </c>
      <c r="L16" s="66">
        <v>0</v>
      </c>
      <c r="M16" s="66">
        <f>G16*L16</f>
        <v>0</v>
      </c>
      <c r="N16" s="69" t="s">
        <v>545</v>
      </c>
      <c r="Z16" s="66">
        <f>IF(AQ16="5",BJ16,0)</f>
        <v>0</v>
      </c>
      <c r="AB16" s="66">
        <f>IF(AQ16="1",BH16,0)</f>
        <v>0</v>
      </c>
      <c r="AC16" s="66">
        <f>IF(AQ16="1",BI16,0)</f>
        <v>0</v>
      </c>
      <c r="AD16" s="66">
        <f>IF(AQ16="7",BH16,0)</f>
        <v>0</v>
      </c>
      <c r="AE16" s="66">
        <f>IF(AQ16="7",BI16,0)</f>
        <v>0</v>
      </c>
      <c r="AF16" s="66">
        <f>IF(AQ16="2",BH16,0)</f>
        <v>0</v>
      </c>
      <c r="AG16" s="66">
        <f>IF(AQ16="2",BI16,0)</f>
        <v>0</v>
      </c>
      <c r="AH16" s="66">
        <f>IF(AQ16="0",BJ16,0)</f>
        <v>0</v>
      </c>
      <c r="AI16" s="99" t="s">
        <v>450</v>
      </c>
      <c r="AJ16" s="66">
        <f>IF(AN16=0,K16,0)</f>
        <v>0</v>
      </c>
      <c r="AK16" s="66">
        <f>IF(AN16=15,K16,0)</f>
        <v>0</v>
      </c>
      <c r="AL16" s="66">
        <f>IF(AN16=21,K16,0)</f>
        <v>0</v>
      </c>
      <c r="AN16" s="66">
        <v>21</v>
      </c>
      <c r="AO16" s="66">
        <f>H16*0</f>
        <v>0</v>
      </c>
      <c r="AP16" s="66">
        <f>H16*(1-0)</f>
        <v>0</v>
      </c>
      <c r="AQ16" s="111" t="s">
        <v>644</v>
      </c>
      <c r="AV16" s="66">
        <f>AW16+AX16</f>
        <v>0</v>
      </c>
      <c r="AW16" s="66">
        <f>G16*AO16</f>
        <v>0</v>
      </c>
      <c r="AX16" s="66">
        <f>G16*AP16</f>
        <v>0</v>
      </c>
      <c r="AY16" s="111" t="s">
        <v>341</v>
      </c>
      <c r="AZ16" s="111" t="s">
        <v>76</v>
      </c>
      <c r="BA16" s="99" t="s">
        <v>498</v>
      </c>
      <c r="BC16" s="66">
        <f>AW16+AX16</f>
        <v>0</v>
      </c>
      <c r="BD16" s="66">
        <f>H16/(100-BE16)*100</f>
        <v>0</v>
      </c>
      <c r="BE16" s="66">
        <v>0</v>
      </c>
      <c r="BF16" s="66">
        <f>M16</f>
        <v>0</v>
      </c>
      <c r="BH16" s="66">
        <f>G16*AO16</f>
        <v>0</v>
      </c>
      <c r="BI16" s="66">
        <f>G16*AP16</f>
        <v>0</v>
      </c>
      <c r="BJ16" s="66">
        <f>G16*H16</f>
        <v>0</v>
      </c>
      <c r="BK16" s="66"/>
      <c r="BL16" s="66">
        <v>12</v>
      </c>
    </row>
    <row r="17" spans="1:47" s="58" customFormat="1" ht="15" customHeight="1">
      <c r="A17" s="95" t="s">
        <v>450</v>
      </c>
      <c r="B17" s="96" t="s">
        <v>450</v>
      </c>
      <c r="C17" s="96" t="s">
        <v>59</v>
      </c>
      <c r="D17" s="173" t="s">
        <v>543</v>
      </c>
      <c r="E17" s="173"/>
      <c r="F17" s="97" t="s">
        <v>595</v>
      </c>
      <c r="G17" s="97" t="s">
        <v>595</v>
      </c>
      <c r="H17" s="97"/>
      <c r="I17" s="98">
        <f>SUM(I18:I20)</f>
        <v>0</v>
      </c>
      <c r="J17" s="98">
        <f>SUM(J18:J20)</f>
        <v>0</v>
      </c>
      <c r="K17" s="98">
        <f>SUM(K18:K20)</f>
        <v>0</v>
      </c>
      <c r="L17" s="99" t="s">
        <v>450</v>
      </c>
      <c r="M17" s="98">
        <f>SUM(M18:M20)</f>
        <v>0</v>
      </c>
      <c r="N17" s="100" t="s">
        <v>450</v>
      </c>
      <c r="AI17" s="99" t="s">
        <v>450</v>
      </c>
      <c r="AS17" s="98">
        <f>SUM(AJ18:AJ20)</f>
        <v>0</v>
      </c>
      <c r="AT17" s="98">
        <f>SUM(AK18:AK20)</f>
        <v>0</v>
      </c>
      <c r="AU17" s="98">
        <f>SUM(AL18:AL20)</f>
        <v>0</v>
      </c>
    </row>
    <row r="18" spans="1:64" s="58" customFormat="1" ht="15" customHeight="1">
      <c r="A18" s="64" t="s">
        <v>78</v>
      </c>
      <c r="B18" s="65" t="s">
        <v>450</v>
      </c>
      <c r="C18" s="65" t="s">
        <v>7</v>
      </c>
      <c r="D18" s="174" t="s">
        <v>547</v>
      </c>
      <c r="E18" s="174"/>
      <c r="F18" s="65" t="s">
        <v>621</v>
      </c>
      <c r="G18" s="66">
        <v>76.68517</v>
      </c>
      <c r="H18" s="66"/>
      <c r="I18" s="66">
        <f>G18*AO18</f>
        <v>0</v>
      </c>
      <c r="J18" s="66">
        <f>G18*AP18</f>
        <v>0</v>
      </c>
      <c r="K18" s="66">
        <f>G18*H18</f>
        <v>0</v>
      </c>
      <c r="L18" s="66">
        <v>0</v>
      </c>
      <c r="M18" s="66">
        <f>G18*L18</f>
        <v>0</v>
      </c>
      <c r="N18" s="69" t="s">
        <v>545</v>
      </c>
      <c r="Z18" s="66">
        <f>IF(AQ18="5",BJ18,0)</f>
        <v>0</v>
      </c>
      <c r="AB18" s="66">
        <f>IF(AQ18="1",BH18,0)</f>
        <v>0</v>
      </c>
      <c r="AC18" s="66">
        <f>IF(AQ18="1",BI18,0)</f>
        <v>0</v>
      </c>
      <c r="AD18" s="66">
        <f>IF(AQ18="7",BH18,0)</f>
        <v>0</v>
      </c>
      <c r="AE18" s="66">
        <f>IF(AQ18="7",BI18,0)</f>
        <v>0</v>
      </c>
      <c r="AF18" s="66">
        <f>IF(AQ18="2",BH18,0)</f>
        <v>0</v>
      </c>
      <c r="AG18" s="66">
        <f>IF(AQ18="2",BI18,0)</f>
        <v>0</v>
      </c>
      <c r="AH18" s="66">
        <f>IF(AQ18="0",BJ18,0)</f>
        <v>0</v>
      </c>
      <c r="AI18" s="99" t="s">
        <v>450</v>
      </c>
      <c r="AJ18" s="66">
        <f>IF(AN18=0,K18,0)</f>
        <v>0</v>
      </c>
      <c r="AK18" s="66">
        <f>IF(AN18=15,K18,0)</f>
        <v>0</v>
      </c>
      <c r="AL18" s="66">
        <f>IF(AN18=21,K18,0)</f>
        <v>0</v>
      </c>
      <c r="AN18" s="66">
        <v>21</v>
      </c>
      <c r="AO18" s="66">
        <f>H18*0</f>
        <v>0</v>
      </c>
      <c r="AP18" s="66">
        <f>H18*(1-0)</f>
        <v>0</v>
      </c>
      <c r="AQ18" s="111" t="s">
        <v>644</v>
      </c>
      <c r="AV18" s="66">
        <f>AW18+AX18</f>
        <v>0</v>
      </c>
      <c r="AW18" s="66">
        <f>G18*AO18</f>
        <v>0</v>
      </c>
      <c r="AX18" s="66">
        <f>G18*AP18</f>
        <v>0</v>
      </c>
      <c r="AY18" s="111" t="s">
        <v>596</v>
      </c>
      <c r="AZ18" s="111" t="s">
        <v>76</v>
      </c>
      <c r="BA18" s="99" t="s">
        <v>498</v>
      </c>
      <c r="BC18" s="66">
        <f>AW18+AX18</f>
        <v>0</v>
      </c>
      <c r="BD18" s="66">
        <f>H18/(100-BE18)*100</f>
        <v>0</v>
      </c>
      <c r="BE18" s="66">
        <v>0</v>
      </c>
      <c r="BF18" s="66">
        <f>M18</f>
        <v>0</v>
      </c>
      <c r="BH18" s="66">
        <f>G18*AO18</f>
        <v>0</v>
      </c>
      <c r="BI18" s="66">
        <f>G18*AP18</f>
        <v>0</v>
      </c>
      <c r="BJ18" s="66">
        <f>G18*H18</f>
        <v>0</v>
      </c>
      <c r="BK18" s="66"/>
      <c r="BL18" s="66">
        <v>16</v>
      </c>
    </row>
    <row r="19" spans="1:64" s="58" customFormat="1" ht="15" customHeight="1">
      <c r="A19" s="64" t="s">
        <v>355</v>
      </c>
      <c r="B19" s="65" t="s">
        <v>450</v>
      </c>
      <c r="C19" s="65" t="s">
        <v>316</v>
      </c>
      <c r="D19" s="174" t="s">
        <v>360</v>
      </c>
      <c r="E19" s="174"/>
      <c r="F19" s="65" t="s">
        <v>621</v>
      </c>
      <c r="G19" s="66">
        <v>766.8517</v>
      </c>
      <c r="H19" s="66"/>
      <c r="I19" s="66">
        <f>G19*AO19</f>
        <v>0</v>
      </c>
      <c r="J19" s="66">
        <f>G19*AP19</f>
        <v>0</v>
      </c>
      <c r="K19" s="66">
        <f>G19*H19</f>
        <v>0</v>
      </c>
      <c r="L19" s="66">
        <v>0</v>
      </c>
      <c r="M19" s="66">
        <f>G19*L19</f>
        <v>0</v>
      </c>
      <c r="N19" s="69" t="s">
        <v>545</v>
      </c>
      <c r="Z19" s="66">
        <f>IF(AQ19="5",BJ19,0)</f>
        <v>0</v>
      </c>
      <c r="AB19" s="66">
        <f>IF(AQ19="1",BH19,0)</f>
        <v>0</v>
      </c>
      <c r="AC19" s="66">
        <f>IF(AQ19="1",BI19,0)</f>
        <v>0</v>
      </c>
      <c r="AD19" s="66">
        <f>IF(AQ19="7",BH19,0)</f>
        <v>0</v>
      </c>
      <c r="AE19" s="66">
        <f>IF(AQ19="7",BI19,0)</f>
        <v>0</v>
      </c>
      <c r="AF19" s="66">
        <f>IF(AQ19="2",BH19,0)</f>
        <v>0</v>
      </c>
      <c r="AG19" s="66">
        <f>IF(AQ19="2",BI19,0)</f>
        <v>0</v>
      </c>
      <c r="AH19" s="66">
        <f>IF(AQ19="0",BJ19,0)</f>
        <v>0</v>
      </c>
      <c r="AI19" s="99" t="s">
        <v>450</v>
      </c>
      <c r="AJ19" s="66">
        <f>IF(AN19=0,K19,0)</f>
        <v>0</v>
      </c>
      <c r="AK19" s="66">
        <f>IF(AN19=15,K19,0)</f>
        <v>0</v>
      </c>
      <c r="AL19" s="66">
        <f>IF(AN19=21,K19,0)</f>
        <v>0</v>
      </c>
      <c r="AN19" s="66">
        <v>21</v>
      </c>
      <c r="AO19" s="66">
        <f>H19*0</f>
        <v>0</v>
      </c>
      <c r="AP19" s="66">
        <f>H19*(1-0)</f>
        <v>0</v>
      </c>
      <c r="AQ19" s="111" t="s">
        <v>644</v>
      </c>
      <c r="AV19" s="66">
        <f>AW19+AX19</f>
        <v>0</v>
      </c>
      <c r="AW19" s="66">
        <f>G19*AO19</f>
        <v>0</v>
      </c>
      <c r="AX19" s="66">
        <f>G19*AP19</f>
        <v>0</v>
      </c>
      <c r="AY19" s="111" t="s">
        <v>596</v>
      </c>
      <c r="AZ19" s="111" t="s">
        <v>76</v>
      </c>
      <c r="BA19" s="99" t="s">
        <v>498</v>
      </c>
      <c r="BC19" s="66">
        <f>AW19+AX19</f>
        <v>0</v>
      </c>
      <c r="BD19" s="66">
        <f>H19/(100-BE19)*100</f>
        <v>0</v>
      </c>
      <c r="BE19" s="66">
        <v>0</v>
      </c>
      <c r="BF19" s="66">
        <f>M19</f>
        <v>0</v>
      </c>
      <c r="BH19" s="66">
        <f>G19*AO19</f>
        <v>0</v>
      </c>
      <c r="BI19" s="66">
        <f>G19*AP19</f>
        <v>0</v>
      </c>
      <c r="BJ19" s="66">
        <f>G19*H19</f>
        <v>0</v>
      </c>
      <c r="BK19" s="66"/>
      <c r="BL19" s="66">
        <v>16</v>
      </c>
    </row>
    <row r="20" spans="1:64" s="58" customFormat="1" ht="15" customHeight="1">
      <c r="A20" s="64" t="s">
        <v>107</v>
      </c>
      <c r="B20" s="65" t="s">
        <v>450</v>
      </c>
      <c r="C20" s="65" t="s">
        <v>115</v>
      </c>
      <c r="D20" s="174" t="s">
        <v>707</v>
      </c>
      <c r="E20" s="174"/>
      <c r="F20" s="65" t="s">
        <v>311</v>
      </c>
      <c r="G20" s="66">
        <v>138.03329</v>
      </c>
      <c r="H20" s="66"/>
      <c r="I20" s="66">
        <f>G20*AO20</f>
        <v>0</v>
      </c>
      <c r="J20" s="66">
        <f>G20*AP20</f>
        <v>0</v>
      </c>
      <c r="K20" s="66">
        <f>G20*H20</f>
        <v>0</v>
      </c>
      <c r="L20" s="66">
        <v>0</v>
      </c>
      <c r="M20" s="66">
        <f>G20*L20</f>
        <v>0</v>
      </c>
      <c r="N20" s="69" t="s">
        <v>545</v>
      </c>
      <c r="Z20" s="66">
        <f>IF(AQ20="5",BJ20,0)</f>
        <v>0</v>
      </c>
      <c r="AB20" s="66">
        <f>IF(AQ20="1",BH20,0)</f>
        <v>0</v>
      </c>
      <c r="AC20" s="66">
        <f>IF(AQ20="1",BI20,0)</f>
        <v>0</v>
      </c>
      <c r="AD20" s="66">
        <f>IF(AQ20="7",BH20,0)</f>
        <v>0</v>
      </c>
      <c r="AE20" s="66">
        <f>IF(AQ20="7",BI20,0)</f>
        <v>0</v>
      </c>
      <c r="AF20" s="66">
        <f>IF(AQ20="2",BH20,0)</f>
        <v>0</v>
      </c>
      <c r="AG20" s="66">
        <f>IF(AQ20="2",BI20,0)</f>
        <v>0</v>
      </c>
      <c r="AH20" s="66">
        <f>IF(AQ20="0",BJ20,0)</f>
        <v>0</v>
      </c>
      <c r="AI20" s="99" t="s">
        <v>450</v>
      </c>
      <c r="AJ20" s="66">
        <f>IF(AN20=0,K20,0)</f>
        <v>0</v>
      </c>
      <c r="AK20" s="66">
        <f>IF(AN20=15,K20,0)</f>
        <v>0</v>
      </c>
      <c r="AL20" s="66">
        <f>IF(AN20=21,K20,0)</f>
        <v>0</v>
      </c>
      <c r="AN20" s="66">
        <v>21</v>
      </c>
      <c r="AO20" s="66">
        <f>H20*0</f>
        <v>0</v>
      </c>
      <c r="AP20" s="66">
        <f>H20*(1-0)</f>
        <v>0</v>
      </c>
      <c r="AQ20" s="111" t="s">
        <v>355</v>
      </c>
      <c r="AV20" s="66">
        <f>AW20+AX20</f>
        <v>0</v>
      </c>
      <c r="AW20" s="66">
        <f>G20*AO20</f>
        <v>0</v>
      </c>
      <c r="AX20" s="66">
        <f>G20*AP20</f>
        <v>0</v>
      </c>
      <c r="AY20" s="111" t="s">
        <v>596</v>
      </c>
      <c r="AZ20" s="111" t="s">
        <v>76</v>
      </c>
      <c r="BA20" s="99" t="s">
        <v>498</v>
      </c>
      <c r="BC20" s="66">
        <f>AW20+AX20</f>
        <v>0</v>
      </c>
      <c r="BD20" s="66">
        <f>H20/(100-BE20)*100</f>
        <v>0</v>
      </c>
      <c r="BE20" s="66">
        <v>0</v>
      </c>
      <c r="BF20" s="66">
        <f>M20</f>
        <v>0</v>
      </c>
      <c r="BH20" s="66">
        <f>G20*AO20</f>
        <v>0</v>
      </c>
      <c r="BI20" s="66">
        <f>G20*AP20</f>
        <v>0</v>
      </c>
      <c r="BJ20" s="66">
        <f>G20*H20</f>
        <v>0</v>
      </c>
      <c r="BK20" s="66"/>
      <c r="BL20" s="66">
        <v>16</v>
      </c>
    </row>
    <row r="21" spans="1:47" s="58" customFormat="1" ht="15" customHeight="1">
      <c r="A21" s="95" t="s">
        <v>450</v>
      </c>
      <c r="B21" s="96" t="s">
        <v>450</v>
      </c>
      <c r="C21" s="96" t="s">
        <v>452</v>
      </c>
      <c r="D21" s="173" t="s">
        <v>95</v>
      </c>
      <c r="E21" s="173"/>
      <c r="F21" s="97" t="s">
        <v>595</v>
      </c>
      <c r="G21" s="97" t="s">
        <v>595</v>
      </c>
      <c r="H21" s="97"/>
      <c r="I21" s="98">
        <f>SUM(I22:I23)</f>
        <v>0</v>
      </c>
      <c r="J21" s="98">
        <f>SUM(J22:J23)</f>
        <v>0</v>
      </c>
      <c r="K21" s="98">
        <f>SUM(K22:K23)</f>
        <v>0</v>
      </c>
      <c r="L21" s="99" t="s">
        <v>450</v>
      </c>
      <c r="M21" s="98">
        <f>SUM(M22:M23)</f>
        <v>152.3674</v>
      </c>
      <c r="N21" s="100" t="s">
        <v>450</v>
      </c>
      <c r="AI21" s="99" t="s">
        <v>450</v>
      </c>
      <c r="AS21" s="98">
        <f>SUM(AJ22:AJ23)</f>
        <v>0</v>
      </c>
      <c r="AT21" s="98">
        <f>SUM(AK22:AK23)</f>
        <v>0</v>
      </c>
      <c r="AU21" s="98">
        <f>SUM(AL22:AL23)</f>
        <v>0</v>
      </c>
    </row>
    <row r="22" spans="1:64" s="58" customFormat="1" ht="15" customHeight="1">
      <c r="A22" s="64" t="s">
        <v>652</v>
      </c>
      <c r="B22" s="65" t="s">
        <v>450</v>
      </c>
      <c r="C22" s="65" t="s">
        <v>472</v>
      </c>
      <c r="D22" s="174" t="s">
        <v>346</v>
      </c>
      <c r="E22" s="174"/>
      <c r="F22" s="65" t="s">
        <v>621</v>
      </c>
      <c r="G22" s="66">
        <v>145.11181</v>
      </c>
      <c r="H22" s="66"/>
      <c r="I22" s="66">
        <f>G22*AO22</f>
        <v>0</v>
      </c>
      <c r="J22" s="66">
        <f>G22*AP22</f>
        <v>0</v>
      </c>
      <c r="K22" s="66">
        <f>G22*H22</f>
        <v>0</v>
      </c>
      <c r="L22" s="66">
        <v>0</v>
      </c>
      <c r="M22" s="66">
        <f>G22*L22</f>
        <v>0</v>
      </c>
      <c r="N22" s="69" t="s">
        <v>545</v>
      </c>
      <c r="Z22" s="66">
        <f>IF(AQ22="5",BJ22,0)</f>
        <v>0</v>
      </c>
      <c r="AB22" s="66">
        <f>IF(AQ22="1",BH22,0)</f>
        <v>0</v>
      </c>
      <c r="AC22" s="66">
        <f>IF(AQ22="1",BI22,0)</f>
        <v>0</v>
      </c>
      <c r="AD22" s="66">
        <f>IF(AQ22="7",BH22,0)</f>
        <v>0</v>
      </c>
      <c r="AE22" s="66">
        <f>IF(AQ22="7",BI22,0)</f>
        <v>0</v>
      </c>
      <c r="AF22" s="66">
        <f>IF(AQ22="2",BH22,0)</f>
        <v>0</v>
      </c>
      <c r="AG22" s="66">
        <f>IF(AQ22="2",BI22,0)</f>
        <v>0</v>
      </c>
      <c r="AH22" s="66">
        <f>IF(AQ22="0",BJ22,0)</f>
        <v>0</v>
      </c>
      <c r="AI22" s="99" t="s">
        <v>450</v>
      </c>
      <c r="AJ22" s="66">
        <f>IF(AN22=0,K22,0)</f>
        <v>0</v>
      </c>
      <c r="AK22" s="66">
        <f>IF(AN22=15,K22,0)</f>
        <v>0</v>
      </c>
      <c r="AL22" s="66">
        <f>IF(AN22=21,K22,0)</f>
        <v>0</v>
      </c>
      <c r="AN22" s="66">
        <v>21</v>
      </c>
      <c r="AO22" s="66">
        <f>H22*0</f>
        <v>0</v>
      </c>
      <c r="AP22" s="66">
        <f>H22*(1-0)</f>
        <v>0</v>
      </c>
      <c r="AQ22" s="111" t="s">
        <v>644</v>
      </c>
      <c r="AV22" s="66">
        <f>AW22+AX22</f>
        <v>0</v>
      </c>
      <c r="AW22" s="66">
        <f>G22*AO22</f>
        <v>0</v>
      </c>
      <c r="AX22" s="66">
        <f>G22*AP22</f>
        <v>0</v>
      </c>
      <c r="AY22" s="111" t="s">
        <v>131</v>
      </c>
      <c r="AZ22" s="111" t="s">
        <v>76</v>
      </c>
      <c r="BA22" s="99" t="s">
        <v>498</v>
      </c>
      <c r="BC22" s="66">
        <f>AW22+AX22</f>
        <v>0</v>
      </c>
      <c r="BD22" s="66">
        <f>H22/(100-BE22)*100</f>
        <v>0</v>
      </c>
      <c r="BE22" s="66">
        <v>0</v>
      </c>
      <c r="BF22" s="66">
        <f>M22</f>
        <v>0</v>
      </c>
      <c r="BH22" s="66">
        <f>G22*AO22</f>
        <v>0</v>
      </c>
      <c r="BI22" s="66">
        <f>G22*AP22</f>
        <v>0</v>
      </c>
      <c r="BJ22" s="66">
        <f>G22*H22</f>
        <v>0</v>
      </c>
      <c r="BK22" s="66"/>
      <c r="BL22" s="66">
        <v>17</v>
      </c>
    </row>
    <row r="23" spans="1:64" s="58" customFormat="1" ht="15" customHeight="1">
      <c r="A23" s="64" t="s">
        <v>519</v>
      </c>
      <c r="B23" s="65" t="s">
        <v>450</v>
      </c>
      <c r="C23" s="65" t="s">
        <v>49</v>
      </c>
      <c r="D23" s="174" t="s">
        <v>366</v>
      </c>
      <c r="E23" s="174"/>
      <c r="F23" s="65" t="s">
        <v>311</v>
      </c>
      <c r="G23" s="66">
        <v>152.3674</v>
      </c>
      <c r="H23" s="66"/>
      <c r="I23" s="66">
        <f>G23*AO23</f>
        <v>0</v>
      </c>
      <c r="J23" s="66">
        <f>G23*AP23</f>
        <v>0</v>
      </c>
      <c r="K23" s="66">
        <f>G23*H23</f>
        <v>0</v>
      </c>
      <c r="L23" s="66">
        <v>1</v>
      </c>
      <c r="M23" s="66">
        <f>G23*L23</f>
        <v>152.3674</v>
      </c>
      <c r="N23" s="69" t="s">
        <v>545</v>
      </c>
      <c r="Z23" s="66">
        <f>IF(AQ23="5",BJ23,0)</f>
        <v>0</v>
      </c>
      <c r="AB23" s="66">
        <f>IF(AQ23="1",BH23,0)</f>
        <v>0</v>
      </c>
      <c r="AC23" s="66">
        <f>IF(AQ23="1",BI23,0)</f>
        <v>0</v>
      </c>
      <c r="AD23" s="66">
        <f>IF(AQ23="7",BH23,0)</f>
        <v>0</v>
      </c>
      <c r="AE23" s="66">
        <f>IF(AQ23="7",BI23,0)</f>
        <v>0</v>
      </c>
      <c r="AF23" s="66">
        <f>IF(AQ23="2",BH23,0)</f>
        <v>0</v>
      </c>
      <c r="AG23" s="66">
        <f>IF(AQ23="2",BI23,0)</f>
        <v>0</v>
      </c>
      <c r="AH23" s="66">
        <f>IF(AQ23="0",BJ23,0)</f>
        <v>0</v>
      </c>
      <c r="AI23" s="99" t="s">
        <v>450</v>
      </c>
      <c r="AJ23" s="66">
        <f>IF(AN23=0,K23,0)</f>
        <v>0</v>
      </c>
      <c r="AK23" s="66">
        <f>IF(AN23=15,K23,0)</f>
        <v>0</v>
      </c>
      <c r="AL23" s="66">
        <f>IF(AN23=21,K23,0)</f>
        <v>0</v>
      </c>
      <c r="AN23" s="66">
        <v>21</v>
      </c>
      <c r="AO23" s="66">
        <f>H23*1</f>
        <v>0</v>
      </c>
      <c r="AP23" s="66">
        <f>H23*(1-1)</f>
        <v>0</v>
      </c>
      <c r="AQ23" s="111" t="s">
        <v>644</v>
      </c>
      <c r="AV23" s="66">
        <f>AW23+AX23</f>
        <v>0</v>
      </c>
      <c r="AW23" s="66">
        <f>G23*AO23</f>
        <v>0</v>
      </c>
      <c r="AX23" s="66">
        <f>G23*AP23</f>
        <v>0</v>
      </c>
      <c r="AY23" s="111" t="s">
        <v>131</v>
      </c>
      <c r="AZ23" s="111" t="s">
        <v>76</v>
      </c>
      <c r="BA23" s="99" t="s">
        <v>498</v>
      </c>
      <c r="BC23" s="66">
        <f>AW23+AX23</f>
        <v>0</v>
      </c>
      <c r="BD23" s="66">
        <f>H23/(100-BE23)*100</f>
        <v>0</v>
      </c>
      <c r="BE23" s="66">
        <v>0</v>
      </c>
      <c r="BF23" s="66">
        <f>M23</f>
        <v>152.3674</v>
      </c>
      <c r="BH23" s="66">
        <f>G23*AO23</f>
        <v>0</v>
      </c>
      <c r="BI23" s="66">
        <f>G23*AP23</f>
        <v>0</v>
      </c>
      <c r="BJ23" s="66">
        <f>G23*H23</f>
        <v>0</v>
      </c>
      <c r="BK23" s="66"/>
      <c r="BL23" s="66">
        <v>17</v>
      </c>
    </row>
    <row r="24" spans="1:47" s="58" customFormat="1" ht="15" customHeight="1">
      <c r="A24" s="95" t="s">
        <v>450</v>
      </c>
      <c r="B24" s="96" t="s">
        <v>450</v>
      </c>
      <c r="C24" s="96" t="s">
        <v>139</v>
      </c>
      <c r="D24" s="173" t="s">
        <v>361</v>
      </c>
      <c r="E24" s="173"/>
      <c r="F24" s="97" t="s">
        <v>595</v>
      </c>
      <c r="G24" s="97" t="s">
        <v>595</v>
      </c>
      <c r="H24" s="97"/>
      <c r="I24" s="98">
        <f>SUM(I25:I26)</f>
        <v>0</v>
      </c>
      <c r="J24" s="98">
        <f>SUM(J25:J26)</f>
        <v>0</v>
      </c>
      <c r="K24" s="98">
        <f>SUM(K25:K26)</f>
        <v>0</v>
      </c>
      <c r="L24" s="99" t="s">
        <v>450</v>
      </c>
      <c r="M24" s="98">
        <f>SUM(M25:M26)</f>
        <v>0.06473999999999999</v>
      </c>
      <c r="N24" s="100" t="s">
        <v>450</v>
      </c>
      <c r="AI24" s="99" t="s">
        <v>450</v>
      </c>
      <c r="AS24" s="98">
        <f>SUM(AJ25:AJ26)</f>
        <v>0</v>
      </c>
      <c r="AT24" s="98">
        <f>SUM(AK25:AK26)</f>
        <v>0</v>
      </c>
      <c r="AU24" s="98">
        <f>SUM(AL25:AL26)</f>
        <v>0</v>
      </c>
    </row>
    <row r="25" spans="1:64" s="58" customFormat="1" ht="15" customHeight="1">
      <c r="A25" s="64" t="s">
        <v>249</v>
      </c>
      <c r="B25" s="65" t="s">
        <v>450</v>
      </c>
      <c r="C25" s="65" t="s">
        <v>112</v>
      </c>
      <c r="D25" s="174" t="s">
        <v>215</v>
      </c>
      <c r="E25" s="174"/>
      <c r="F25" s="65" t="s">
        <v>157</v>
      </c>
      <c r="G25" s="66">
        <v>2</v>
      </c>
      <c r="H25" s="66"/>
      <c r="I25" s="66">
        <f>G25*AO25</f>
        <v>0</v>
      </c>
      <c r="J25" s="66">
        <f>G25*AP25</f>
        <v>0</v>
      </c>
      <c r="K25" s="66">
        <f>G25*H25</f>
        <v>0</v>
      </c>
      <c r="L25" s="66">
        <v>0.02939</v>
      </c>
      <c r="M25" s="66">
        <f>G25*L25</f>
        <v>0.05878</v>
      </c>
      <c r="N25" s="69" t="s">
        <v>545</v>
      </c>
      <c r="Z25" s="66">
        <f>IF(AQ25="5",BJ25,0)</f>
        <v>0</v>
      </c>
      <c r="AB25" s="66">
        <f>IF(AQ25="1",BH25,0)</f>
        <v>0</v>
      </c>
      <c r="AC25" s="66">
        <f>IF(AQ25="1",BI25,0)</f>
        <v>0</v>
      </c>
      <c r="AD25" s="66">
        <f>IF(AQ25="7",BH25,0)</f>
        <v>0</v>
      </c>
      <c r="AE25" s="66">
        <f>IF(AQ25="7",BI25,0)</f>
        <v>0</v>
      </c>
      <c r="AF25" s="66">
        <f>IF(AQ25="2",BH25,0)</f>
        <v>0</v>
      </c>
      <c r="AG25" s="66">
        <f>IF(AQ25="2",BI25,0)</f>
        <v>0</v>
      </c>
      <c r="AH25" s="66">
        <f>IF(AQ25="0",BJ25,0)</f>
        <v>0</v>
      </c>
      <c r="AI25" s="99" t="s">
        <v>450</v>
      </c>
      <c r="AJ25" s="66">
        <f>IF(AN25=0,K25,0)</f>
        <v>0</v>
      </c>
      <c r="AK25" s="66">
        <f>IF(AN25=15,K25,0)</f>
        <v>0</v>
      </c>
      <c r="AL25" s="66">
        <f>IF(AN25=21,K25,0)</f>
        <v>0</v>
      </c>
      <c r="AN25" s="66">
        <v>21</v>
      </c>
      <c r="AO25" s="66">
        <f>H25*0.151935870418578</f>
        <v>0</v>
      </c>
      <c r="AP25" s="66">
        <f>H25*(1-0.151935870418578)</f>
        <v>0</v>
      </c>
      <c r="AQ25" s="111" t="s">
        <v>644</v>
      </c>
      <c r="AV25" s="66">
        <f>AW25+AX25</f>
        <v>0</v>
      </c>
      <c r="AW25" s="66">
        <f>G25*AO25</f>
        <v>0</v>
      </c>
      <c r="AX25" s="66">
        <f>G25*AP25</f>
        <v>0</v>
      </c>
      <c r="AY25" s="111" t="s">
        <v>708</v>
      </c>
      <c r="AZ25" s="111" t="s">
        <v>32</v>
      </c>
      <c r="BA25" s="99" t="s">
        <v>498</v>
      </c>
      <c r="BC25" s="66">
        <f>AW25+AX25</f>
        <v>0</v>
      </c>
      <c r="BD25" s="66">
        <f>H25/(100-BE25)*100</f>
        <v>0</v>
      </c>
      <c r="BE25" s="66">
        <v>0</v>
      </c>
      <c r="BF25" s="66">
        <f>M25</f>
        <v>0.05878</v>
      </c>
      <c r="BH25" s="66">
        <f>G25*AO25</f>
        <v>0</v>
      </c>
      <c r="BI25" s="66">
        <f>G25*AP25</f>
        <v>0</v>
      </c>
      <c r="BJ25" s="66">
        <f>G25*H25</f>
        <v>0</v>
      </c>
      <c r="BK25" s="66"/>
      <c r="BL25" s="66">
        <v>33</v>
      </c>
    </row>
    <row r="26" spans="1:64" s="58" customFormat="1" ht="15" customHeight="1">
      <c r="A26" s="64" t="s">
        <v>380</v>
      </c>
      <c r="B26" s="65" t="s">
        <v>450</v>
      </c>
      <c r="C26" s="65" t="s">
        <v>560</v>
      </c>
      <c r="D26" s="174" t="s">
        <v>53</v>
      </c>
      <c r="E26" s="174"/>
      <c r="F26" s="65" t="s">
        <v>157</v>
      </c>
      <c r="G26" s="66">
        <v>2</v>
      </c>
      <c r="H26" s="66"/>
      <c r="I26" s="66">
        <f>G26*AO26</f>
        <v>0</v>
      </c>
      <c r="J26" s="66">
        <f>G26*AP26</f>
        <v>0</v>
      </c>
      <c r="K26" s="66">
        <f>G26*H26</f>
        <v>0</v>
      </c>
      <c r="L26" s="66">
        <v>0.00298</v>
      </c>
      <c r="M26" s="66">
        <f>G26*L26</f>
        <v>0.00596</v>
      </c>
      <c r="N26" s="69" t="s">
        <v>545</v>
      </c>
      <c r="Z26" s="66">
        <f>IF(AQ26="5",BJ26,0)</f>
        <v>0</v>
      </c>
      <c r="AB26" s="66">
        <f>IF(AQ26="1",BH26,0)</f>
        <v>0</v>
      </c>
      <c r="AC26" s="66">
        <f>IF(AQ26="1",BI26,0)</f>
        <v>0</v>
      </c>
      <c r="AD26" s="66">
        <f>IF(AQ26="7",BH26,0)</f>
        <v>0</v>
      </c>
      <c r="AE26" s="66">
        <f>IF(AQ26="7",BI26,0)</f>
        <v>0</v>
      </c>
      <c r="AF26" s="66">
        <f>IF(AQ26="2",BH26,0)</f>
        <v>0</v>
      </c>
      <c r="AG26" s="66">
        <f>IF(AQ26="2",BI26,0)</f>
        <v>0</v>
      </c>
      <c r="AH26" s="66">
        <f>IF(AQ26="0",BJ26,0)</f>
        <v>0</v>
      </c>
      <c r="AI26" s="99" t="s">
        <v>450</v>
      </c>
      <c r="AJ26" s="66">
        <f>IF(AN26=0,K26,0)</f>
        <v>0</v>
      </c>
      <c r="AK26" s="66">
        <f>IF(AN26=15,K26,0)</f>
        <v>0</v>
      </c>
      <c r="AL26" s="66">
        <f>IF(AN26=21,K26,0)</f>
        <v>0</v>
      </c>
      <c r="AN26" s="66">
        <v>21</v>
      </c>
      <c r="AO26" s="66">
        <f>H26*1</f>
        <v>0</v>
      </c>
      <c r="AP26" s="66">
        <f>H26*(1-1)</f>
        <v>0</v>
      </c>
      <c r="AQ26" s="111" t="s">
        <v>644</v>
      </c>
      <c r="AV26" s="66">
        <f>AW26+AX26</f>
        <v>0</v>
      </c>
      <c r="AW26" s="66">
        <f>G26*AO26</f>
        <v>0</v>
      </c>
      <c r="AX26" s="66">
        <f>G26*AP26</f>
        <v>0</v>
      </c>
      <c r="AY26" s="111" t="s">
        <v>708</v>
      </c>
      <c r="AZ26" s="111" t="s">
        <v>32</v>
      </c>
      <c r="BA26" s="99" t="s">
        <v>498</v>
      </c>
      <c r="BC26" s="66">
        <f>AW26+AX26</f>
        <v>0</v>
      </c>
      <c r="BD26" s="66">
        <f>H26/(100-BE26)*100</f>
        <v>0</v>
      </c>
      <c r="BE26" s="66">
        <v>0</v>
      </c>
      <c r="BF26" s="66">
        <f>M26</f>
        <v>0.00596</v>
      </c>
      <c r="BH26" s="66">
        <f>G26*AO26</f>
        <v>0</v>
      </c>
      <c r="BI26" s="66">
        <f>G26*AP26</f>
        <v>0</v>
      </c>
      <c r="BJ26" s="66">
        <f>G26*H26</f>
        <v>0</v>
      </c>
      <c r="BK26" s="66"/>
      <c r="BL26" s="66">
        <v>33</v>
      </c>
    </row>
    <row r="27" spans="1:47" s="58" customFormat="1" ht="15" customHeight="1">
      <c r="A27" s="95" t="s">
        <v>450</v>
      </c>
      <c r="B27" s="96" t="s">
        <v>450</v>
      </c>
      <c r="C27" s="96" t="s">
        <v>414</v>
      </c>
      <c r="D27" s="173" t="s">
        <v>440</v>
      </c>
      <c r="E27" s="173"/>
      <c r="F27" s="97" t="s">
        <v>595</v>
      </c>
      <c r="G27" s="97" t="s">
        <v>595</v>
      </c>
      <c r="H27" s="97"/>
      <c r="I27" s="98">
        <f>SUM(I28:I28)</f>
        <v>0</v>
      </c>
      <c r="J27" s="98">
        <f>SUM(J28:J28)</f>
        <v>0</v>
      </c>
      <c r="K27" s="98">
        <f>SUM(K28:K28)</f>
        <v>0</v>
      </c>
      <c r="L27" s="99" t="s">
        <v>450</v>
      </c>
      <c r="M27" s="98">
        <f>SUM(M28:M28)</f>
        <v>8.24229</v>
      </c>
      <c r="N27" s="100" t="s">
        <v>450</v>
      </c>
      <c r="AI27" s="99" t="s">
        <v>450</v>
      </c>
      <c r="AS27" s="98">
        <f>SUM(AJ28:AJ28)</f>
        <v>0</v>
      </c>
      <c r="AT27" s="98">
        <f>SUM(AK28:AK28)</f>
        <v>0</v>
      </c>
      <c r="AU27" s="98">
        <f>SUM(AL28:AL28)</f>
        <v>0</v>
      </c>
    </row>
    <row r="28" spans="1:64" s="58" customFormat="1" ht="15" customHeight="1">
      <c r="A28" s="64" t="s">
        <v>544</v>
      </c>
      <c r="B28" s="65" t="s">
        <v>450</v>
      </c>
      <c r="C28" s="65" t="s">
        <v>105</v>
      </c>
      <c r="D28" s="174" t="s">
        <v>713</v>
      </c>
      <c r="E28" s="174"/>
      <c r="F28" s="65" t="s">
        <v>635</v>
      </c>
      <c r="G28" s="66">
        <v>17.8</v>
      </c>
      <c r="H28" s="66"/>
      <c r="I28" s="66">
        <f>G28*AO28</f>
        <v>0</v>
      </c>
      <c r="J28" s="66">
        <f>G28*AP28</f>
        <v>0</v>
      </c>
      <c r="K28" s="66">
        <f>G28*H28</f>
        <v>0</v>
      </c>
      <c r="L28" s="66">
        <v>0.46305</v>
      </c>
      <c r="M28" s="66">
        <f>G28*L28</f>
        <v>8.24229</v>
      </c>
      <c r="N28" s="69" t="s">
        <v>545</v>
      </c>
      <c r="Z28" s="66">
        <f>IF(AQ28="5",BJ28,0)</f>
        <v>0</v>
      </c>
      <c r="AB28" s="66">
        <f>IF(AQ28="1",BH28,0)</f>
        <v>0</v>
      </c>
      <c r="AC28" s="66">
        <f>IF(AQ28="1",BI28,0)</f>
        <v>0</v>
      </c>
      <c r="AD28" s="66">
        <f>IF(AQ28="7",BH28,0)</f>
        <v>0</v>
      </c>
      <c r="AE28" s="66">
        <f>IF(AQ28="7",BI28,0)</f>
        <v>0</v>
      </c>
      <c r="AF28" s="66">
        <f>IF(AQ28="2",BH28,0)</f>
        <v>0</v>
      </c>
      <c r="AG28" s="66">
        <f>IF(AQ28="2",BI28,0)</f>
        <v>0</v>
      </c>
      <c r="AH28" s="66">
        <f>IF(AQ28="0",BJ28,0)</f>
        <v>0</v>
      </c>
      <c r="AI28" s="99" t="s">
        <v>450</v>
      </c>
      <c r="AJ28" s="66">
        <f>IF(AN28=0,K28,0)</f>
        <v>0</v>
      </c>
      <c r="AK28" s="66">
        <f>IF(AN28=15,K28,0)</f>
        <v>0</v>
      </c>
      <c r="AL28" s="66">
        <f>IF(AN28=21,K28,0)</f>
        <v>0</v>
      </c>
      <c r="AN28" s="66">
        <v>21</v>
      </c>
      <c r="AO28" s="66">
        <f>H28*0.857177419354839</f>
        <v>0</v>
      </c>
      <c r="AP28" s="66">
        <f>H28*(1-0.857177419354839)</f>
        <v>0</v>
      </c>
      <c r="AQ28" s="111" t="s">
        <v>644</v>
      </c>
      <c r="AV28" s="66">
        <f>AW28+AX28</f>
        <v>0</v>
      </c>
      <c r="AW28" s="66">
        <f>G28*AO28</f>
        <v>0</v>
      </c>
      <c r="AX28" s="66">
        <f>G28*AP28</f>
        <v>0</v>
      </c>
      <c r="AY28" s="111" t="s">
        <v>682</v>
      </c>
      <c r="AZ28" s="111" t="s">
        <v>395</v>
      </c>
      <c r="BA28" s="99" t="s">
        <v>498</v>
      </c>
      <c r="BC28" s="66">
        <f>AW28+AX28</f>
        <v>0</v>
      </c>
      <c r="BD28" s="66">
        <f>H28/(100-BE28)*100</f>
        <v>0</v>
      </c>
      <c r="BE28" s="66">
        <v>0</v>
      </c>
      <c r="BF28" s="66">
        <f>M28</f>
        <v>8.24229</v>
      </c>
      <c r="BH28" s="66">
        <f>G28*AO28</f>
        <v>0</v>
      </c>
      <c r="BI28" s="66">
        <f>G28*AP28</f>
        <v>0</v>
      </c>
      <c r="BJ28" s="66">
        <f>G28*H28</f>
        <v>0</v>
      </c>
      <c r="BK28" s="66"/>
      <c r="BL28" s="66">
        <v>56</v>
      </c>
    </row>
    <row r="29" spans="1:47" s="58" customFormat="1" ht="15" customHeight="1">
      <c r="A29" s="95" t="s">
        <v>450</v>
      </c>
      <c r="B29" s="96" t="s">
        <v>450</v>
      </c>
      <c r="C29" s="96" t="s">
        <v>308</v>
      </c>
      <c r="D29" s="173" t="s">
        <v>602</v>
      </c>
      <c r="E29" s="173"/>
      <c r="F29" s="97" t="s">
        <v>595</v>
      </c>
      <c r="G29" s="97" t="s">
        <v>595</v>
      </c>
      <c r="H29" s="97"/>
      <c r="I29" s="98">
        <f>SUM(I30:I30)</f>
        <v>0</v>
      </c>
      <c r="J29" s="98">
        <f>SUM(J30:J30)</f>
        <v>0</v>
      </c>
      <c r="K29" s="98">
        <f>SUM(K30:K30)</f>
        <v>0</v>
      </c>
      <c r="L29" s="99" t="s">
        <v>450</v>
      </c>
      <c r="M29" s="98">
        <f>SUM(M30:M30)</f>
        <v>11.91799</v>
      </c>
      <c r="N29" s="100" t="s">
        <v>450</v>
      </c>
      <c r="AI29" s="99" t="s">
        <v>450</v>
      </c>
      <c r="AS29" s="98">
        <f>SUM(AJ30:AJ30)</f>
        <v>0</v>
      </c>
      <c r="AT29" s="98">
        <f>SUM(AK30:AK30)</f>
        <v>0</v>
      </c>
      <c r="AU29" s="98">
        <f>SUM(AL30:AL30)</f>
        <v>0</v>
      </c>
    </row>
    <row r="30" spans="1:64" s="58" customFormat="1" ht="15" customHeight="1">
      <c r="A30" s="64" t="s">
        <v>473</v>
      </c>
      <c r="B30" s="65" t="s">
        <v>450</v>
      </c>
      <c r="C30" s="65" t="s">
        <v>675</v>
      </c>
      <c r="D30" s="174" t="s">
        <v>488</v>
      </c>
      <c r="E30" s="174"/>
      <c r="F30" s="65" t="s">
        <v>635</v>
      </c>
      <c r="G30" s="66">
        <v>17.8</v>
      </c>
      <c r="H30" s="66"/>
      <c r="I30" s="66">
        <f>G30*AO30</f>
        <v>0</v>
      </c>
      <c r="J30" s="66">
        <f>G30*AP30</f>
        <v>0</v>
      </c>
      <c r="K30" s="66">
        <f>G30*H30</f>
        <v>0</v>
      </c>
      <c r="L30" s="66">
        <v>0.66955</v>
      </c>
      <c r="M30" s="66">
        <f>G30*L30</f>
        <v>11.91799</v>
      </c>
      <c r="N30" s="69" t="s">
        <v>545</v>
      </c>
      <c r="Z30" s="66">
        <f>IF(AQ30="5",BJ30,0)</f>
        <v>0</v>
      </c>
      <c r="AB30" s="66">
        <f>IF(AQ30="1",BH30,0)</f>
        <v>0</v>
      </c>
      <c r="AC30" s="66">
        <f>IF(AQ30="1",BI30,0)</f>
        <v>0</v>
      </c>
      <c r="AD30" s="66">
        <f>IF(AQ30="7",BH30,0)</f>
        <v>0</v>
      </c>
      <c r="AE30" s="66">
        <f>IF(AQ30="7",BI30,0)</f>
        <v>0</v>
      </c>
      <c r="AF30" s="66">
        <f>IF(AQ30="2",BH30,0)</f>
        <v>0</v>
      </c>
      <c r="AG30" s="66">
        <f>IF(AQ30="2",BI30,0)</f>
        <v>0</v>
      </c>
      <c r="AH30" s="66">
        <f>IF(AQ30="0",BJ30,0)</f>
        <v>0</v>
      </c>
      <c r="AI30" s="99" t="s">
        <v>450</v>
      </c>
      <c r="AJ30" s="66">
        <f>IF(AN30=0,K30,0)</f>
        <v>0</v>
      </c>
      <c r="AK30" s="66">
        <f>IF(AN30=15,K30,0)</f>
        <v>0</v>
      </c>
      <c r="AL30" s="66">
        <f>IF(AN30=21,K30,0)</f>
        <v>0</v>
      </c>
      <c r="AN30" s="66">
        <v>21</v>
      </c>
      <c r="AO30" s="66">
        <f>H30*0.517237992448298</f>
        <v>0</v>
      </c>
      <c r="AP30" s="66">
        <f>H30*(1-0.517237992448298)</f>
        <v>0</v>
      </c>
      <c r="AQ30" s="111" t="s">
        <v>644</v>
      </c>
      <c r="AV30" s="66">
        <f>AW30+AX30</f>
        <v>0</v>
      </c>
      <c r="AW30" s="66">
        <f>G30*AO30</f>
        <v>0</v>
      </c>
      <c r="AX30" s="66">
        <f>G30*AP30</f>
        <v>0</v>
      </c>
      <c r="AY30" s="111" t="s">
        <v>638</v>
      </c>
      <c r="AZ30" s="111" t="s">
        <v>395</v>
      </c>
      <c r="BA30" s="99" t="s">
        <v>498</v>
      </c>
      <c r="BC30" s="66">
        <f>AW30+AX30</f>
        <v>0</v>
      </c>
      <c r="BD30" s="66">
        <f>H30/(100-BE30)*100</f>
        <v>0</v>
      </c>
      <c r="BE30" s="66">
        <v>0</v>
      </c>
      <c r="BF30" s="66">
        <f>M30</f>
        <v>11.91799</v>
      </c>
      <c r="BH30" s="66">
        <f>G30*AO30</f>
        <v>0</v>
      </c>
      <c r="BI30" s="66">
        <f>G30*AP30</f>
        <v>0</v>
      </c>
      <c r="BJ30" s="66">
        <f>G30*H30</f>
        <v>0</v>
      </c>
      <c r="BK30" s="66"/>
      <c r="BL30" s="66">
        <v>59</v>
      </c>
    </row>
    <row r="31" spans="1:47" s="58" customFormat="1" ht="15" customHeight="1">
      <c r="A31" s="95" t="s">
        <v>450</v>
      </c>
      <c r="B31" s="96" t="s">
        <v>450</v>
      </c>
      <c r="C31" s="96" t="s">
        <v>723</v>
      </c>
      <c r="D31" s="173" t="s">
        <v>533</v>
      </c>
      <c r="E31" s="173"/>
      <c r="F31" s="97" t="s">
        <v>595</v>
      </c>
      <c r="G31" s="97" t="s">
        <v>595</v>
      </c>
      <c r="H31" s="97"/>
      <c r="I31" s="98">
        <f>SUM(I32:I32)</f>
        <v>0</v>
      </c>
      <c r="J31" s="98">
        <f>SUM(J32:J32)</f>
        <v>0</v>
      </c>
      <c r="K31" s="98">
        <f>SUM(K32:K32)</f>
        <v>0</v>
      </c>
      <c r="L31" s="99" t="s">
        <v>450</v>
      </c>
      <c r="M31" s="98">
        <f>SUM(M32:M32)</f>
        <v>0.2959365</v>
      </c>
      <c r="N31" s="100" t="s">
        <v>450</v>
      </c>
      <c r="AI31" s="99" t="s">
        <v>450</v>
      </c>
      <c r="AS31" s="98">
        <f>SUM(AJ32:AJ32)</f>
        <v>0</v>
      </c>
      <c r="AT31" s="98">
        <f>SUM(AK32:AK32)</f>
        <v>0</v>
      </c>
      <c r="AU31" s="98">
        <f>SUM(AL32:AL32)</f>
        <v>0</v>
      </c>
    </row>
    <row r="32" spans="1:64" s="58" customFormat="1" ht="15" customHeight="1">
      <c r="A32" s="64" t="s">
        <v>190</v>
      </c>
      <c r="B32" s="65" t="s">
        <v>450</v>
      </c>
      <c r="C32" s="65" t="s">
        <v>149</v>
      </c>
      <c r="D32" s="174" t="s">
        <v>192</v>
      </c>
      <c r="E32" s="174"/>
      <c r="F32" s="65" t="s">
        <v>635</v>
      </c>
      <c r="G32" s="66">
        <v>6.225</v>
      </c>
      <c r="H32" s="66"/>
      <c r="I32" s="66">
        <f>G32*AO32</f>
        <v>0</v>
      </c>
      <c r="J32" s="66">
        <f>G32*AP32</f>
        <v>0</v>
      </c>
      <c r="K32" s="66">
        <f>G32*H32</f>
        <v>0</v>
      </c>
      <c r="L32" s="66">
        <v>0.04754</v>
      </c>
      <c r="M32" s="66">
        <f>G32*L32</f>
        <v>0.2959365</v>
      </c>
      <c r="N32" s="69" t="s">
        <v>545</v>
      </c>
      <c r="Z32" s="66">
        <f>IF(AQ32="5",BJ32,0)</f>
        <v>0</v>
      </c>
      <c r="AB32" s="66">
        <f>IF(AQ32="1",BH32,0)</f>
        <v>0</v>
      </c>
      <c r="AC32" s="66">
        <f>IF(AQ32="1",BI32,0)</f>
        <v>0</v>
      </c>
      <c r="AD32" s="66">
        <f>IF(AQ32="7",BH32,0)</f>
        <v>0</v>
      </c>
      <c r="AE32" s="66">
        <f>IF(AQ32="7",BI32,0)</f>
        <v>0</v>
      </c>
      <c r="AF32" s="66">
        <f>IF(AQ32="2",BH32,0)</f>
        <v>0</v>
      </c>
      <c r="AG32" s="66">
        <f>IF(AQ32="2",BI32,0)</f>
        <v>0</v>
      </c>
      <c r="AH32" s="66">
        <f>IF(AQ32="0",BJ32,0)</f>
        <v>0</v>
      </c>
      <c r="AI32" s="99" t="s">
        <v>450</v>
      </c>
      <c r="AJ32" s="66">
        <f>IF(AN32=0,K32,0)</f>
        <v>0</v>
      </c>
      <c r="AK32" s="66">
        <f>IF(AN32=15,K32,0)</f>
        <v>0</v>
      </c>
      <c r="AL32" s="66">
        <f>IF(AN32=21,K32,0)</f>
        <v>0</v>
      </c>
      <c r="AN32" s="66">
        <v>21</v>
      </c>
      <c r="AO32" s="66">
        <f>H32*0.138500869696469</f>
        <v>0</v>
      </c>
      <c r="AP32" s="66">
        <f>H32*(1-0.138500869696469)</f>
        <v>0</v>
      </c>
      <c r="AQ32" s="111" t="s">
        <v>644</v>
      </c>
      <c r="AV32" s="66">
        <f>AW32+AX32</f>
        <v>0</v>
      </c>
      <c r="AW32" s="66">
        <f>G32*AO32</f>
        <v>0</v>
      </c>
      <c r="AX32" s="66">
        <f>G32*AP32</f>
        <v>0</v>
      </c>
      <c r="AY32" s="111" t="s">
        <v>300</v>
      </c>
      <c r="AZ32" s="111" t="s">
        <v>89</v>
      </c>
      <c r="BA32" s="99" t="s">
        <v>498</v>
      </c>
      <c r="BC32" s="66">
        <f>AW32+AX32</f>
        <v>0</v>
      </c>
      <c r="BD32" s="66">
        <f>H32/(100-BE32)*100</f>
        <v>0</v>
      </c>
      <c r="BE32" s="66">
        <v>0</v>
      </c>
      <c r="BF32" s="66">
        <f>M32</f>
        <v>0.2959365</v>
      </c>
      <c r="BH32" s="66">
        <f>G32*AO32</f>
        <v>0</v>
      </c>
      <c r="BI32" s="66">
        <f>G32*AP32</f>
        <v>0</v>
      </c>
      <c r="BJ32" s="66">
        <f>G32*H32</f>
        <v>0</v>
      </c>
      <c r="BK32" s="66"/>
      <c r="BL32" s="66">
        <v>62</v>
      </c>
    </row>
    <row r="33" spans="1:47" s="58" customFormat="1" ht="15" customHeight="1">
      <c r="A33" s="95" t="s">
        <v>450</v>
      </c>
      <c r="B33" s="96" t="s">
        <v>450</v>
      </c>
      <c r="C33" s="96" t="s">
        <v>470</v>
      </c>
      <c r="D33" s="173" t="s">
        <v>309</v>
      </c>
      <c r="E33" s="173"/>
      <c r="F33" s="97" t="s">
        <v>595</v>
      </c>
      <c r="G33" s="97" t="s">
        <v>595</v>
      </c>
      <c r="H33" s="97"/>
      <c r="I33" s="98">
        <f>SUM(I34:I34)</f>
        <v>0</v>
      </c>
      <c r="J33" s="98">
        <f>SUM(J34:J34)</f>
        <v>0</v>
      </c>
      <c r="K33" s="98">
        <f>SUM(K34:K34)</f>
        <v>0</v>
      </c>
      <c r="L33" s="99" t="s">
        <v>450</v>
      </c>
      <c r="M33" s="98">
        <f>SUM(M34:M34)</f>
        <v>1.9185825</v>
      </c>
      <c r="N33" s="100" t="s">
        <v>450</v>
      </c>
      <c r="AI33" s="99" t="s">
        <v>450</v>
      </c>
      <c r="AS33" s="98">
        <f>SUM(AJ34:AJ34)</f>
        <v>0</v>
      </c>
      <c r="AT33" s="98">
        <f>SUM(AK34:AK34)</f>
        <v>0</v>
      </c>
      <c r="AU33" s="98">
        <f>SUM(AL34:AL34)</f>
        <v>0</v>
      </c>
    </row>
    <row r="34" spans="1:64" s="58" customFormat="1" ht="15" customHeight="1">
      <c r="A34" s="64" t="s">
        <v>386</v>
      </c>
      <c r="B34" s="65" t="s">
        <v>450</v>
      </c>
      <c r="C34" s="65" t="s">
        <v>226</v>
      </c>
      <c r="D34" s="174" t="s">
        <v>298</v>
      </c>
      <c r="E34" s="174"/>
      <c r="F34" s="65" t="s">
        <v>635</v>
      </c>
      <c r="G34" s="66">
        <v>319.76375</v>
      </c>
      <c r="H34" s="66"/>
      <c r="I34" s="66">
        <f>G34*AO34</f>
        <v>0</v>
      </c>
      <c r="J34" s="66">
        <f>G34*AP34</f>
        <v>0</v>
      </c>
      <c r="K34" s="66">
        <f>G34*H34</f>
        <v>0</v>
      </c>
      <c r="L34" s="66">
        <v>0.006</v>
      </c>
      <c r="M34" s="66">
        <f>G34*L34</f>
        <v>1.9185825</v>
      </c>
      <c r="N34" s="69" t="s">
        <v>545</v>
      </c>
      <c r="Z34" s="66">
        <f>IF(AQ34="5",BJ34,0)</f>
        <v>0</v>
      </c>
      <c r="AB34" s="66">
        <f>IF(AQ34="1",BH34,0)</f>
        <v>0</v>
      </c>
      <c r="AC34" s="66">
        <f>IF(AQ34="1",BI34,0)</f>
        <v>0</v>
      </c>
      <c r="AD34" s="66">
        <f>IF(AQ34="7",BH34,0)</f>
        <v>0</v>
      </c>
      <c r="AE34" s="66">
        <f>IF(AQ34="7",BI34,0)</f>
        <v>0</v>
      </c>
      <c r="AF34" s="66">
        <f>IF(AQ34="2",BH34,0)</f>
        <v>0</v>
      </c>
      <c r="AG34" s="66">
        <f>IF(AQ34="2",BI34,0)</f>
        <v>0</v>
      </c>
      <c r="AH34" s="66">
        <f>IF(AQ34="0",BJ34,0)</f>
        <v>0</v>
      </c>
      <c r="AI34" s="99" t="s">
        <v>450</v>
      </c>
      <c r="AJ34" s="66">
        <f>IF(AN34=0,K34,0)</f>
        <v>0</v>
      </c>
      <c r="AK34" s="66">
        <f>IF(AN34=15,K34,0)</f>
        <v>0</v>
      </c>
      <c r="AL34" s="66">
        <f>IF(AN34=21,K34,0)</f>
        <v>0</v>
      </c>
      <c r="AN34" s="66">
        <v>21</v>
      </c>
      <c r="AO34" s="66">
        <f>H34*0</f>
        <v>0</v>
      </c>
      <c r="AP34" s="66">
        <f>H34*(1-0)</f>
        <v>0</v>
      </c>
      <c r="AQ34" s="111" t="s">
        <v>652</v>
      </c>
      <c r="AV34" s="66">
        <f>AW34+AX34</f>
        <v>0</v>
      </c>
      <c r="AW34" s="66">
        <f>G34*AO34</f>
        <v>0</v>
      </c>
      <c r="AX34" s="66">
        <f>G34*AP34</f>
        <v>0</v>
      </c>
      <c r="AY34" s="111" t="s">
        <v>293</v>
      </c>
      <c r="AZ34" s="111" t="s">
        <v>532</v>
      </c>
      <c r="BA34" s="99" t="s">
        <v>498</v>
      </c>
      <c r="BC34" s="66">
        <f>AW34+AX34</f>
        <v>0</v>
      </c>
      <c r="BD34" s="66">
        <f>H34/(100-BE34)*100</f>
        <v>0</v>
      </c>
      <c r="BE34" s="66">
        <v>0</v>
      </c>
      <c r="BF34" s="66">
        <f>M34</f>
        <v>1.9185825</v>
      </c>
      <c r="BH34" s="66">
        <f>G34*AO34</f>
        <v>0</v>
      </c>
      <c r="BI34" s="66">
        <f>G34*AP34</f>
        <v>0</v>
      </c>
      <c r="BJ34" s="66">
        <f>G34*H34</f>
        <v>0</v>
      </c>
      <c r="BK34" s="66"/>
      <c r="BL34" s="66">
        <v>712</v>
      </c>
    </row>
    <row r="35" spans="1:47" s="58" customFormat="1" ht="15" customHeight="1">
      <c r="A35" s="95" t="s">
        <v>450</v>
      </c>
      <c r="B35" s="96" t="s">
        <v>450</v>
      </c>
      <c r="C35" s="96" t="s">
        <v>421</v>
      </c>
      <c r="D35" s="173" t="s">
        <v>737</v>
      </c>
      <c r="E35" s="173"/>
      <c r="F35" s="97" t="s">
        <v>595</v>
      </c>
      <c r="G35" s="97" t="s">
        <v>595</v>
      </c>
      <c r="H35" s="97"/>
      <c r="I35" s="98">
        <f>SUM(I36:I36)</f>
        <v>0</v>
      </c>
      <c r="J35" s="98">
        <f>SUM(J36:J36)</f>
        <v>0</v>
      </c>
      <c r="K35" s="98">
        <f>SUM(K36:K36)</f>
        <v>0</v>
      </c>
      <c r="L35" s="99" t="s">
        <v>450</v>
      </c>
      <c r="M35" s="98">
        <f>SUM(M36:M36)</f>
        <v>0</v>
      </c>
      <c r="N35" s="100" t="s">
        <v>450</v>
      </c>
      <c r="AI35" s="99" t="s">
        <v>450</v>
      </c>
      <c r="AS35" s="98">
        <f>SUM(AJ36:AJ36)</f>
        <v>0</v>
      </c>
      <c r="AT35" s="98">
        <f>SUM(AK36:AK36)</f>
        <v>0</v>
      </c>
      <c r="AU35" s="98">
        <f>SUM(AL36:AL36)</f>
        <v>0</v>
      </c>
    </row>
    <row r="36" spans="1:64" s="58" customFormat="1" ht="15" customHeight="1">
      <c r="A36" s="64" t="s">
        <v>258</v>
      </c>
      <c r="B36" s="65" t="s">
        <v>450</v>
      </c>
      <c r="C36" s="65" t="s">
        <v>151</v>
      </c>
      <c r="D36" s="174" t="s">
        <v>40</v>
      </c>
      <c r="E36" s="174"/>
      <c r="F36" s="65" t="s">
        <v>529</v>
      </c>
      <c r="G36" s="66">
        <v>1</v>
      </c>
      <c r="H36" s="66"/>
      <c r="I36" s="66">
        <f>G36*AO36</f>
        <v>0</v>
      </c>
      <c r="J36" s="66">
        <f>G36*AP36</f>
        <v>0</v>
      </c>
      <c r="K36" s="66">
        <f>G36*H36</f>
        <v>0</v>
      </c>
      <c r="L36" s="66">
        <v>0</v>
      </c>
      <c r="M36" s="66">
        <f>G36*L36</f>
        <v>0</v>
      </c>
      <c r="N36" s="69" t="s">
        <v>450</v>
      </c>
      <c r="Z36" s="66">
        <f>IF(AQ36="5",BJ36,0)</f>
        <v>0</v>
      </c>
      <c r="AB36" s="66">
        <f>IF(AQ36="1",BH36,0)</f>
        <v>0</v>
      </c>
      <c r="AC36" s="66">
        <f>IF(AQ36="1",BI36,0)</f>
        <v>0</v>
      </c>
      <c r="AD36" s="66">
        <f>IF(AQ36="7",BH36,0)</f>
        <v>0</v>
      </c>
      <c r="AE36" s="66">
        <f>IF(AQ36="7",BI36,0)</f>
        <v>0</v>
      </c>
      <c r="AF36" s="66">
        <f>IF(AQ36="2",BH36,0)</f>
        <v>0</v>
      </c>
      <c r="AG36" s="66">
        <f>IF(AQ36="2",BI36,0)</f>
        <v>0</v>
      </c>
      <c r="AH36" s="66">
        <f>IF(AQ36="0",BJ36,0)</f>
        <v>0</v>
      </c>
      <c r="AI36" s="99" t="s">
        <v>450</v>
      </c>
      <c r="AJ36" s="66">
        <f>IF(AN36=0,K36,0)</f>
        <v>0</v>
      </c>
      <c r="AK36" s="66">
        <f>IF(AN36=15,K36,0)</f>
        <v>0</v>
      </c>
      <c r="AL36" s="66">
        <f>IF(AN36=21,K36,0)</f>
        <v>0</v>
      </c>
      <c r="AN36" s="66">
        <v>21</v>
      </c>
      <c r="AO36" s="66">
        <f>H36*0</f>
        <v>0</v>
      </c>
      <c r="AP36" s="66">
        <f>H36*(1-0)</f>
        <v>0</v>
      </c>
      <c r="AQ36" s="111" t="s">
        <v>652</v>
      </c>
      <c r="AV36" s="66">
        <f>AW36+AX36</f>
        <v>0</v>
      </c>
      <c r="AW36" s="66">
        <f>G36*AO36</f>
        <v>0</v>
      </c>
      <c r="AX36" s="66">
        <f>G36*AP36</f>
        <v>0</v>
      </c>
      <c r="AY36" s="111" t="s">
        <v>101</v>
      </c>
      <c r="AZ36" s="111" t="s">
        <v>35</v>
      </c>
      <c r="BA36" s="99" t="s">
        <v>498</v>
      </c>
      <c r="BC36" s="66">
        <f>AW36+AX36</f>
        <v>0</v>
      </c>
      <c r="BD36" s="66">
        <f>H36/(100-BE36)*100</f>
        <v>0</v>
      </c>
      <c r="BE36" s="66">
        <v>0</v>
      </c>
      <c r="BF36" s="66">
        <f>M36</f>
        <v>0</v>
      </c>
      <c r="BH36" s="66">
        <f>G36*AO36</f>
        <v>0</v>
      </c>
      <c r="BI36" s="66">
        <f>G36*AP36</f>
        <v>0</v>
      </c>
      <c r="BJ36" s="66">
        <f>G36*H36</f>
        <v>0</v>
      </c>
      <c r="BK36" s="66"/>
      <c r="BL36" s="66">
        <v>721</v>
      </c>
    </row>
    <row r="37" spans="1:47" s="58" customFormat="1" ht="15" customHeight="1">
      <c r="A37" s="95" t="s">
        <v>450</v>
      </c>
      <c r="B37" s="96" t="s">
        <v>450</v>
      </c>
      <c r="C37" s="96" t="s">
        <v>581</v>
      </c>
      <c r="D37" s="173" t="s">
        <v>403</v>
      </c>
      <c r="E37" s="173"/>
      <c r="F37" s="97" t="s">
        <v>595</v>
      </c>
      <c r="G37" s="97" t="s">
        <v>595</v>
      </c>
      <c r="H37" s="97"/>
      <c r="I37" s="98">
        <f>SUM(I38:I39)</f>
        <v>0</v>
      </c>
      <c r="J37" s="98">
        <f>SUM(J38:J39)</f>
        <v>0</v>
      </c>
      <c r="K37" s="98">
        <f>SUM(K38:K39)</f>
        <v>0</v>
      </c>
      <c r="L37" s="99" t="s">
        <v>450</v>
      </c>
      <c r="M37" s="98">
        <f>SUM(M38:M39)</f>
        <v>0.00828</v>
      </c>
      <c r="N37" s="100" t="s">
        <v>450</v>
      </c>
      <c r="AI37" s="99" t="s">
        <v>450</v>
      </c>
      <c r="AS37" s="98">
        <f>SUM(AJ38:AJ39)</f>
        <v>0</v>
      </c>
      <c r="AT37" s="98">
        <f>SUM(AK38:AK39)</f>
        <v>0</v>
      </c>
      <c r="AU37" s="98">
        <f>SUM(AL38:AL39)</f>
        <v>0</v>
      </c>
    </row>
    <row r="38" spans="1:64" s="58" customFormat="1" ht="15" customHeight="1">
      <c r="A38" s="64" t="s">
        <v>59</v>
      </c>
      <c r="B38" s="65" t="s">
        <v>450</v>
      </c>
      <c r="C38" s="65" t="s">
        <v>189</v>
      </c>
      <c r="D38" s="174" t="s">
        <v>178</v>
      </c>
      <c r="E38" s="174"/>
      <c r="F38" s="65" t="s">
        <v>157</v>
      </c>
      <c r="G38" s="66">
        <v>12</v>
      </c>
      <c r="H38" s="66"/>
      <c r="I38" s="66">
        <f>G38*AO38</f>
        <v>0</v>
      </c>
      <c r="J38" s="66">
        <f>G38*AP38</f>
        <v>0</v>
      </c>
      <c r="K38" s="66">
        <f>G38*H38</f>
        <v>0</v>
      </c>
      <c r="L38" s="66">
        <v>0.00069</v>
      </c>
      <c r="M38" s="66">
        <f>G38*L38</f>
        <v>0.00828</v>
      </c>
      <c r="N38" s="69" t="s">
        <v>545</v>
      </c>
      <c r="Z38" s="66">
        <f>IF(AQ38="5",BJ38,0)</f>
        <v>0</v>
      </c>
      <c r="AB38" s="66">
        <f>IF(AQ38="1",BH38,0)</f>
        <v>0</v>
      </c>
      <c r="AC38" s="66">
        <f>IF(AQ38="1",BI38,0)</f>
        <v>0</v>
      </c>
      <c r="AD38" s="66">
        <f>IF(AQ38="7",BH38,0)</f>
        <v>0</v>
      </c>
      <c r="AE38" s="66">
        <f>IF(AQ38="7",BI38,0)</f>
        <v>0</v>
      </c>
      <c r="AF38" s="66">
        <f>IF(AQ38="2",BH38,0)</f>
        <v>0</v>
      </c>
      <c r="AG38" s="66">
        <f>IF(AQ38="2",BI38,0)</f>
        <v>0</v>
      </c>
      <c r="AH38" s="66">
        <f>IF(AQ38="0",BJ38,0)</f>
        <v>0</v>
      </c>
      <c r="AI38" s="99" t="s">
        <v>450</v>
      </c>
      <c r="AJ38" s="66">
        <f>IF(AN38=0,K38,0)</f>
        <v>0</v>
      </c>
      <c r="AK38" s="66">
        <f>IF(AN38=15,K38,0)</f>
        <v>0</v>
      </c>
      <c r="AL38" s="66">
        <f>IF(AN38=21,K38,0)</f>
        <v>0</v>
      </c>
      <c r="AN38" s="66">
        <v>21</v>
      </c>
      <c r="AO38" s="66">
        <f>H38*0</f>
        <v>0</v>
      </c>
      <c r="AP38" s="66">
        <f>H38*(1-0)</f>
        <v>0</v>
      </c>
      <c r="AQ38" s="111" t="s">
        <v>652</v>
      </c>
      <c r="AV38" s="66">
        <f>AW38+AX38</f>
        <v>0</v>
      </c>
      <c r="AW38" s="66">
        <f>G38*AO38</f>
        <v>0</v>
      </c>
      <c r="AX38" s="66">
        <f>G38*AP38</f>
        <v>0</v>
      </c>
      <c r="AY38" s="111" t="s">
        <v>415</v>
      </c>
      <c r="AZ38" s="111" t="s">
        <v>35</v>
      </c>
      <c r="BA38" s="99" t="s">
        <v>498</v>
      </c>
      <c r="BC38" s="66">
        <f>AW38+AX38</f>
        <v>0</v>
      </c>
      <c r="BD38" s="66">
        <f>H38/(100-BE38)*100</f>
        <v>0</v>
      </c>
      <c r="BE38" s="66">
        <v>0</v>
      </c>
      <c r="BF38" s="66">
        <f>M38</f>
        <v>0.00828</v>
      </c>
      <c r="BH38" s="66">
        <f>G38*AO38</f>
        <v>0</v>
      </c>
      <c r="BI38" s="66">
        <f>G38*AP38</f>
        <v>0</v>
      </c>
      <c r="BJ38" s="66">
        <f>G38*H38</f>
        <v>0</v>
      </c>
      <c r="BK38" s="66"/>
      <c r="BL38" s="66">
        <v>722</v>
      </c>
    </row>
    <row r="39" spans="1:64" s="58" customFormat="1" ht="15" customHeight="1">
      <c r="A39" s="64" t="s">
        <v>452</v>
      </c>
      <c r="B39" s="65" t="s">
        <v>450</v>
      </c>
      <c r="C39" s="65" t="s">
        <v>187</v>
      </c>
      <c r="D39" s="174" t="s">
        <v>572</v>
      </c>
      <c r="E39" s="174"/>
      <c r="F39" s="65" t="s">
        <v>529</v>
      </c>
      <c r="G39" s="66">
        <v>1</v>
      </c>
      <c r="H39" s="66"/>
      <c r="I39" s="66">
        <f>G39*AO39</f>
        <v>0</v>
      </c>
      <c r="J39" s="66">
        <f>G39*AP39</f>
        <v>0</v>
      </c>
      <c r="K39" s="66">
        <f>G39*H39</f>
        <v>0</v>
      </c>
      <c r="L39" s="66">
        <v>0</v>
      </c>
      <c r="M39" s="66">
        <f>G39*L39</f>
        <v>0</v>
      </c>
      <c r="N39" s="69" t="s">
        <v>450</v>
      </c>
      <c r="Z39" s="66">
        <f>IF(AQ39="5",BJ39,0)</f>
        <v>0</v>
      </c>
      <c r="AB39" s="66">
        <f>IF(AQ39="1",BH39,0)</f>
        <v>0</v>
      </c>
      <c r="AC39" s="66">
        <f>IF(AQ39="1",BI39,0)</f>
        <v>0</v>
      </c>
      <c r="AD39" s="66">
        <f>IF(AQ39="7",BH39,0)</f>
        <v>0</v>
      </c>
      <c r="AE39" s="66">
        <f>IF(AQ39="7",BI39,0)</f>
        <v>0</v>
      </c>
      <c r="AF39" s="66">
        <f>IF(AQ39="2",BH39,0)</f>
        <v>0</v>
      </c>
      <c r="AG39" s="66">
        <f>IF(AQ39="2",BI39,0)</f>
        <v>0</v>
      </c>
      <c r="AH39" s="66">
        <f>IF(AQ39="0",BJ39,0)</f>
        <v>0</v>
      </c>
      <c r="AI39" s="99" t="s">
        <v>450</v>
      </c>
      <c r="AJ39" s="66">
        <f>IF(AN39=0,K39,0)</f>
        <v>0</v>
      </c>
      <c r="AK39" s="66">
        <f>IF(AN39=15,K39,0)</f>
        <v>0</v>
      </c>
      <c r="AL39" s="66">
        <f>IF(AN39=21,K39,0)</f>
        <v>0</v>
      </c>
      <c r="AN39" s="66">
        <v>21</v>
      </c>
      <c r="AO39" s="66">
        <f>H39*0</f>
        <v>0</v>
      </c>
      <c r="AP39" s="66">
        <f>H39*(1-0)</f>
        <v>0</v>
      </c>
      <c r="AQ39" s="111" t="s">
        <v>652</v>
      </c>
      <c r="AV39" s="66">
        <f>AW39+AX39</f>
        <v>0</v>
      </c>
      <c r="AW39" s="66">
        <f>G39*AO39</f>
        <v>0</v>
      </c>
      <c r="AX39" s="66">
        <f>G39*AP39</f>
        <v>0</v>
      </c>
      <c r="AY39" s="111" t="s">
        <v>415</v>
      </c>
      <c r="AZ39" s="111" t="s">
        <v>35</v>
      </c>
      <c r="BA39" s="99" t="s">
        <v>498</v>
      </c>
      <c r="BC39" s="66">
        <f>AW39+AX39</f>
        <v>0</v>
      </c>
      <c r="BD39" s="66">
        <f>H39/(100-BE39)*100</f>
        <v>0</v>
      </c>
      <c r="BE39" s="66">
        <v>0</v>
      </c>
      <c r="BF39" s="66">
        <f>M39</f>
        <v>0</v>
      </c>
      <c r="BH39" s="66">
        <f>G39*AO39</f>
        <v>0</v>
      </c>
      <c r="BI39" s="66">
        <f>G39*AP39</f>
        <v>0</v>
      </c>
      <c r="BJ39" s="66">
        <f>G39*H39</f>
        <v>0</v>
      </c>
      <c r="BK39" s="66"/>
      <c r="BL39" s="66">
        <v>722</v>
      </c>
    </row>
    <row r="40" spans="1:47" s="58" customFormat="1" ht="15" customHeight="1">
      <c r="A40" s="95" t="s">
        <v>450</v>
      </c>
      <c r="B40" s="96" t="s">
        <v>450</v>
      </c>
      <c r="C40" s="96" t="s">
        <v>622</v>
      </c>
      <c r="D40" s="173" t="s">
        <v>390</v>
      </c>
      <c r="E40" s="173"/>
      <c r="F40" s="97" t="s">
        <v>595</v>
      </c>
      <c r="G40" s="97" t="s">
        <v>595</v>
      </c>
      <c r="H40" s="97"/>
      <c r="I40" s="98">
        <f>SUM(I41:I47)</f>
        <v>0</v>
      </c>
      <c r="J40" s="98">
        <f>SUM(J41:J47)</f>
        <v>0</v>
      </c>
      <c r="K40" s="98">
        <f>SUM(K41:K47)</f>
        <v>0</v>
      </c>
      <c r="L40" s="99" t="s">
        <v>450</v>
      </c>
      <c r="M40" s="98">
        <f>SUM(M41:M47)</f>
        <v>0.87549</v>
      </c>
      <c r="N40" s="100" t="s">
        <v>450</v>
      </c>
      <c r="AI40" s="99" t="s">
        <v>450</v>
      </c>
      <c r="AS40" s="98">
        <f>SUM(AJ41:AJ47)</f>
        <v>0</v>
      </c>
      <c r="AT40" s="98">
        <f>SUM(AK41:AK47)</f>
        <v>0</v>
      </c>
      <c r="AU40" s="98">
        <f>SUM(AL41:AL47)</f>
        <v>0</v>
      </c>
    </row>
    <row r="41" spans="1:64" s="58" customFormat="1" ht="15" customHeight="1">
      <c r="A41" s="64" t="s">
        <v>523</v>
      </c>
      <c r="B41" s="65" t="s">
        <v>450</v>
      </c>
      <c r="C41" s="65" t="s">
        <v>680</v>
      </c>
      <c r="D41" s="174" t="s">
        <v>147</v>
      </c>
      <c r="E41" s="174"/>
      <c r="F41" s="65" t="s">
        <v>225</v>
      </c>
      <c r="G41" s="66">
        <v>10</v>
      </c>
      <c r="H41" s="66"/>
      <c r="I41" s="66">
        <f aca="true" t="shared" si="0" ref="I41:I47">G41*AO41</f>
        <v>0</v>
      </c>
      <c r="J41" s="66">
        <f aca="true" t="shared" si="1" ref="J41:J47">G41*AP41</f>
        <v>0</v>
      </c>
      <c r="K41" s="66">
        <f aca="true" t="shared" si="2" ref="K41:K47">G41*H41</f>
        <v>0</v>
      </c>
      <c r="L41" s="66">
        <v>0.01933</v>
      </c>
      <c r="M41" s="66">
        <f aca="true" t="shared" si="3" ref="M41:M47">G41*L41</f>
        <v>0.1933</v>
      </c>
      <c r="N41" s="69" t="s">
        <v>545</v>
      </c>
      <c r="Z41" s="66">
        <f aca="true" t="shared" si="4" ref="Z41:Z47">IF(AQ41="5",BJ41,0)</f>
        <v>0</v>
      </c>
      <c r="AB41" s="66">
        <f aca="true" t="shared" si="5" ref="AB41:AB47">IF(AQ41="1",BH41,0)</f>
        <v>0</v>
      </c>
      <c r="AC41" s="66">
        <f aca="true" t="shared" si="6" ref="AC41:AC47">IF(AQ41="1",BI41,0)</f>
        <v>0</v>
      </c>
      <c r="AD41" s="66">
        <f aca="true" t="shared" si="7" ref="AD41:AD47">IF(AQ41="7",BH41,0)</f>
        <v>0</v>
      </c>
      <c r="AE41" s="66">
        <f aca="true" t="shared" si="8" ref="AE41:AE47">IF(AQ41="7",BI41,0)</f>
        <v>0</v>
      </c>
      <c r="AF41" s="66">
        <f aca="true" t="shared" si="9" ref="AF41:AF47">IF(AQ41="2",BH41,0)</f>
        <v>0</v>
      </c>
      <c r="AG41" s="66">
        <f aca="true" t="shared" si="10" ref="AG41:AG47">IF(AQ41="2",BI41,0)</f>
        <v>0</v>
      </c>
      <c r="AH41" s="66">
        <f aca="true" t="shared" si="11" ref="AH41:AH47">IF(AQ41="0",BJ41,0)</f>
        <v>0</v>
      </c>
      <c r="AI41" s="99" t="s">
        <v>450</v>
      </c>
      <c r="AJ41" s="66">
        <f aca="true" t="shared" si="12" ref="AJ41:AJ47">IF(AN41=0,K41,0)</f>
        <v>0</v>
      </c>
      <c r="AK41" s="66">
        <f aca="true" t="shared" si="13" ref="AK41:AK47">IF(AN41=15,K41,0)</f>
        <v>0</v>
      </c>
      <c r="AL41" s="66">
        <f aca="true" t="shared" si="14" ref="AL41:AL47">IF(AN41=21,K41,0)</f>
        <v>0</v>
      </c>
      <c r="AN41" s="66">
        <v>21</v>
      </c>
      <c r="AO41" s="66">
        <f aca="true" t="shared" si="15" ref="AO41:AO47">H41*0</f>
        <v>0</v>
      </c>
      <c r="AP41" s="66">
        <f aca="true" t="shared" si="16" ref="AP41:AP47">H41*(1-0)</f>
        <v>0</v>
      </c>
      <c r="AQ41" s="111" t="s">
        <v>652</v>
      </c>
      <c r="AV41" s="66">
        <f aca="true" t="shared" si="17" ref="AV41:AV47">AW41+AX41</f>
        <v>0</v>
      </c>
      <c r="AW41" s="66">
        <f aca="true" t="shared" si="18" ref="AW41:AW47">G41*AO41</f>
        <v>0</v>
      </c>
      <c r="AX41" s="66">
        <f aca="true" t="shared" si="19" ref="AX41:AX47">G41*AP41</f>
        <v>0</v>
      </c>
      <c r="AY41" s="111" t="s">
        <v>305</v>
      </c>
      <c r="AZ41" s="111" t="s">
        <v>35</v>
      </c>
      <c r="BA41" s="99" t="s">
        <v>498</v>
      </c>
      <c r="BC41" s="66">
        <f aca="true" t="shared" si="20" ref="BC41:BC47">AW41+AX41</f>
        <v>0</v>
      </c>
      <c r="BD41" s="66">
        <f aca="true" t="shared" si="21" ref="BD41:BD47">H41/(100-BE41)*100</f>
        <v>0</v>
      </c>
      <c r="BE41" s="66">
        <v>0</v>
      </c>
      <c r="BF41" s="66">
        <f aca="true" t="shared" si="22" ref="BF41:BF47">M41</f>
        <v>0.1933</v>
      </c>
      <c r="BH41" s="66">
        <f aca="true" t="shared" si="23" ref="BH41:BH47">G41*AO41</f>
        <v>0</v>
      </c>
      <c r="BI41" s="66">
        <f aca="true" t="shared" si="24" ref="BI41:BI47">G41*AP41</f>
        <v>0</v>
      </c>
      <c r="BJ41" s="66">
        <f aca="true" t="shared" si="25" ref="BJ41:BJ47">G41*H41</f>
        <v>0</v>
      </c>
      <c r="BK41" s="66"/>
      <c r="BL41" s="66">
        <v>725</v>
      </c>
    </row>
    <row r="42" spans="1:64" s="58" customFormat="1" ht="15" customHeight="1">
      <c r="A42" s="64" t="s">
        <v>416</v>
      </c>
      <c r="B42" s="65" t="s">
        <v>450</v>
      </c>
      <c r="C42" s="65" t="s">
        <v>489</v>
      </c>
      <c r="D42" s="174" t="s">
        <v>257</v>
      </c>
      <c r="E42" s="174"/>
      <c r="F42" s="65" t="s">
        <v>225</v>
      </c>
      <c r="G42" s="66">
        <v>2</v>
      </c>
      <c r="H42" s="66"/>
      <c r="I42" s="66">
        <f t="shared" si="0"/>
        <v>0</v>
      </c>
      <c r="J42" s="66">
        <f t="shared" si="1"/>
        <v>0</v>
      </c>
      <c r="K42" s="66">
        <f t="shared" si="2"/>
        <v>0</v>
      </c>
      <c r="L42" s="66">
        <v>0.0284</v>
      </c>
      <c r="M42" s="66">
        <f t="shared" si="3"/>
        <v>0.0568</v>
      </c>
      <c r="N42" s="69" t="s">
        <v>545</v>
      </c>
      <c r="Z42" s="66">
        <f t="shared" si="4"/>
        <v>0</v>
      </c>
      <c r="AB42" s="66">
        <f t="shared" si="5"/>
        <v>0</v>
      </c>
      <c r="AC42" s="66">
        <f t="shared" si="6"/>
        <v>0</v>
      </c>
      <c r="AD42" s="66">
        <f t="shared" si="7"/>
        <v>0</v>
      </c>
      <c r="AE42" s="66">
        <f t="shared" si="8"/>
        <v>0</v>
      </c>
      <c r="AF42" s="66">
        <f t="shared" si="9"/>
        <v>0</v>
      </c>
      <c r="AG42" s="66">
        <f t="shared" si="10"/>
        <v>0</v>
      </c>
      <c r="AH42" s="66">
        <f t="shared" si="11"/>
        <v>0</v>
      </c>
      <c r="AI42" s="99" t="s">
        <v>450</v>
      </c>
      <c r="AJ42" s="66">
        <f t="shared" si="12"/>
        <v>0</v>
      </c>
      <c r="AK42" s="66">
        <f t="shared" si="13"/>
        <v>0</v>
      </c>
      <c r="AL42" s="66">
        <f t="shared" si="14"/>
        <v>0</v>
      </c>
      <c r="AN42" s="66">
        <v>21</v>
      </c>
      <c r="AO42" s="66">
        <f t="shared" si="15"/>
        <v>0</v>
      </c>
      <c r="AP42" s="66">
        <f t="shared" si="16"/>
        <v>0</v>
      </c>
      <c r="AQ42" s="111" t="s">
        <v>652</v>
      </c>
      <c r="AV42" s="66">
        <f t="shared" si="17"/>
        <v>0</v>
      </c>
      <c r="AW42" s="66">
        <f t="shared" si="18"/>
        <v>0</v>
      </c>
      <c r="AX42" s="66">
        <f t="shared" si="19"/>
        <v>0</v>
      </c>
      <c r="AY42" s="111" t="s">
        <v>305</v>
      </c>
      <c r="AZ42" s="111" t="s">
        <v>35</v>
      </c>
      <c r="BA42" s="99" t="s">
        <v>498</v>
      </c>
      <c r="BC42" s="66">
        <f t="shared" si="20"/>
        <v>0</v>
      </c>
      <c r="BD42" s="66">
        <f t="shared" si="21"/>
        <v>0</v>
      </c>
      <c r="BE42" s="66">
        <v>0</v>
      </c>
      <c r="BF42" s="66">
        <f t="shared" si="22"/>
        <v>0.0568</v>
      </c>
      <c r="BH42" s="66">
        <f t="shared" si="23"/>
        <v>0</v>
      </c>
      <c r="BI42" s="66">
        <f t="shared" si="24"/>
        <v>0</v>
      </c>
      <c r="BJ42" s="66">
        <f t="shared" si="25"/>
        <v>0</v>
      </c>
      <c r="BK42" s="66"/>
      <c r="BL42" s="66">
        <v>725</v>
      </c>
    </row>
    <row r="43" spans="1:64" s="58" customFormat="1" ht="15" customHeight="1">
      <c r="A43" s="64" t="s">
        <v>28</v>
      </c>
      <c r="B43" s="65" t="s">
        <v>450</v>
      </c>
      <c r="C43" s="65" t="s">
        <v>185</v>
      </c>
      <c r="D43" s="174" t="s">
        <v>542</v>
      </c>
      <c r="E43" s="174"/>
      <c r="F43" s="65" t="s">
        <v>225</v>
      </c>
      <c r="G43" s="66">
        <v>2</v>
      </c>
      <c r="H43" s="66"/>
      <c r="I43" s="66">
        <f t="shared" si="0"/>
        <v>0</v>
      </c>
      <c r="J43" s="66">
        <f t="shared" si="1"/>
        <v>0</v>
      </c>
      <c r="K43" s="66">
        <f t="shared" si="2"/>
        <v>0</v>
      </c>
      <c r="L43" s="66">
        <v>0.155</v>
      </c>
      <c r="M43" s="66">
        <f t="shared" si="3"/>
        <v>0.31</v>
      </c>
      <c r="N43" s="69" t="s">
        <v>545</v>
      </c>
      <c r="Z43" s="66">
        <f t="shared" si="4"/>
        <v>0</v>
      </c>
      <c r="AB43" s="66">
        <f t="shared" si="5"/>
        <v>0</v>
      </c>
      <c r="AC43" s="66">
        <f t="shared" si="6"/>
        <v>0</v>
      </c>
      <c r="AD43" s="66">
        <f t="shared" si="7"/>
        <v>0</v>
      </c>
      <c r="AE43" s="66">
        <f t="shared" si="8"/>
        <v>0</v>
      </c>
      <c r="AF43" s="66">
        <f t="shared" si="9"/>
        <v>0</v>
      </c>
      <c r="AG43" s="66">
        <f t="shared" si="10"/>
        <v>0</v>
      </c>
      <c r="AH43" s="66">
        <f t="shared" si="11"/>
        <v>0</v>
      </c>
      <c r="AI43" s="99" t="s">
        <v>450</v>
      </c>
      <c r="AJ43" s="66">
        <f t="shared" si="12"/>
        <v>0</v>
      </c>
      <c r="AK43" s="66">
        <f t="shared" si="13"/>
        <v>0</v>
      </c>
      <c r="AL43" s="66">
        <f t="shared" si="14"/>
        <v>0</v>
      </c>
      <c r="AN43" s="66">
        <v>21</v>
      </c>
      <c r="AO43" s="66">
        <f t="shared" si="15"/>
        <v>0</v>
      </c>
      <c r="AP43" s="66">
        <f t="shared" si="16"/>
        <v>0</v>
      </c>
      <c r="AQ43" s="111" t="s">
        <v>652</v>
      </c>
      <c r="AV43" s="66">
        <f t="shared" si="17"/>
        <v>0</v>
      </c>
      <c r="AW43" s="66">
        <f t="shared" si="18"/>
        <v>0</v>
      </c>
      <c r="AX43" s="66">
        <f t="shared" si="19"/>
        <v>0</v>
      </c>
      <c r="AY43" s="111" t="s">
        <v>305</v>
      </c>
      <c r="AZ43" s="111" t="s">
        <v>35</v>
      </c>
      <c r="BA43" s="99" t="s">
        <v>498</v>
      </c>
      <c r="BC43" s="66">
        <f t="shared" si="20"/>
        <v>0</v>
      </c>
      <c r="BD43" s="66">
        <f t="shared" si="21"/>
        <v>0</v>
      </c>
      <c r="BE43" s="66">
        <v>0</v>
      </c>
      <c r="BF43" s="66">
        <f t="shared" si="22"/>
        <v>0.31</v>
      </c>
      <c r="BH43" s="66">
        <f t="shared" si="23"/>
        <v>0</v>
      </c>
      <c r="BI43" s="66">
        <f t="shared" si="24"/>
        <v>0</v>
      </c>
      <c r="BJ43" s="66">
        <f t="shared" si="25"/>
        <v>0</v>
      </c>
      <c r="BK43" s="66"/>
      <c r="BL43" s="66">
        <v>725</v>
      </c>
    </row>
    <row r="44" spans="1:64" s="58" customFormat="1" ht="15" customHeight="1">
      <c r="A44" s="64" t="s">
        <v>459</v>
      </c>
      <c r="B44" s="65" t="s">
        <v>450</v>
      </c>
      <c r="C44" s="65" t="s">
        <v>362</v>
      </c>
      <c r="D44" s="174" t="s">
        <v>208</v>
      </c>
      <c r="E44" s="174"/>
      <c r="F44" s="65" t="s">
        <v>225</v>
      </c>
      <c r="G44" s="66">
        <v>14</v>
      </c>
      <c r="H44" s="66"/>
      <c r="I44" s="66">
        <f t="shared" si="0"/>
        <v>0</v>
      </c>
      <c r="J44" s="66">
        <f t="shared" si="1"/>
        <v>0</v>
      </c>
      <c r="K44" s="66">
        <f t="shared" si="2"/>
        <v>0</v>
      </c>
      <c r="L44" s="66">
        <v>0.01946</v>
      </c>
      <c r="M44" s="66">
        <f t="shared" si="3"/>
        <v>0.27244</v>
      </c>
      <c r="N44" s="69" t="s">
        <v>545</v>
      </c>
      <c r="Z44" s="66">
        <f t="shared" si="4"/>
        <v>0</v>
      </c>
      <c r="AB44" s="66">
        <f t="shared" si="5"/>
        <v>0</v>
      </c>
      <c r="AC44" s="66">
        <f t="shared" si="6"/>
        <v>0</v>
      </c>
      <c r="AD44" s="66">
        <f t="shared" si="7"/>
        <v>0</v>
      </c>
      <c r="AE44" s="66">
        <f t="shared" si="8"/>
        <v>0</v>
      </c>
      <c r="AF44" s="66">
        <f t="shared" si="9"/>
        <v>0</v>
      </c>
      <c r="AG44" s="66">
        <f t="shared" si="10"/>
        <v>0</v>
      </c>
      <c r="AH44" s="66">
        <f t="shared" si="11"/>
        <v>0</v>
      </c>
      <c r="AI44" s="99" t="s">
        <v>450</v>
      </c>
      <c r="AJ44" s="66">
        <f t="shared" si="12"/>
        <v>0</v>
      </c>
      <c r="AK44" s="66">
        <f t="shared" si="13"/>
        <v>0</v>
      </c>
      <c r="AL44" s="66">
        <f t="shared" si="14"/>
        <v>0</v>
      </c>
      <c r="AN44" s="66">
        <v>21</v>
      </c>
      <c r="AO44" s="66">
        <f t="shared" si="15"/>
        <v>0</v>
      </c>
      <c r="AP44" s="66">
        <f t="shared" si="16"/>
        <v>0</v>
      </c>
      <c r="AQ44" s="111" t="s">
        <v>652</v>
      </c>
      <c r="AV44" s="66">
        <f t="shared" si="17"/>
        <v>0</v>
      </c>
      <c r="AW44" s="66">
        <f t="shared" si="18"/>
        <v>0</v>
      </c>
      <c r="AX44" s="66">
        <f t="shared" si="19"/>
        <v>0</v>
      </c>
      <c r="AY44" s="111" t="s">
        <v>305</v>
      </c>
      <c r="AZ44" s="111" t="s">
        <v>35</v>
      </c>
      <c r="BA44" s="99" t="s">
        <v>498</v>
      </c>
      <c r="BC44" s="66">
        <f t="shared" si="20"/>
        <v>0</v>
      </c>
      <c r="BD44" s="66">
        <f t="shared" si="21"/>
        <v>0</v>
      </c>
      <c r="BE44" s="66">
        <v>0</v>
      </c>
      <c r="BF44" s="66">
        <f t="shared" si="22"/>
        <v>0.27244</v>
      </c>
      <c r="BH44" s="66">
        <f t="shared" si="23"/>
        <v>0</v>
      </c>
      <c r="BI44" s="66">
        <f t="shared" si="24"/>
        <v>0</v>
      </c>
      <c r="BJ44" s="66">
        <f t="shared" si="25"/>
        <v>0</v>
      </c>
      <c r="BK44" s="66"/>
      <c r="BL44" s="66">
        <v>725</v>
      </c>
    </row>
    <row r="45" spans="1:64" s="58" customFormat="1" ht="15" customHeight="1">
      <c r="A45" s="64" t="s">
        <v>614</v>
      </c>
      <c r="B45" s="65" t="s">
        <v>450</v>
      </c>
      <c r="C45" s="65" t="s">
        <v>419</v>
      </c>
      <c r="D45" s="174" t="s">
        <v>650</v>
      </c>
      <c r="E45" s="174"/>
      <c r="F45" s="65" t="s">
        <v>225</v>
      </c>
      <c r="G45" s="66">
        <v>1</v>
      </c>
      <c r="H45" s="66"/>
      <c r="I45" s="66">
        <f t="shared" si="0"/>
        <v>0</v>
      </c>
      <c r="J45" s="66">
        <f t="shared" si="1"/>
        <v>0</v>
      </c>
      <c r="K45" s="66">
        <f t="shared" si="2"/>
        <v>0</v>
      </c>
      <c r="L45" s="66">
        <v>0.0173</v>
      </c>
      <c r="M45" s="66">
        <f t="shared" si="3"/>
        <v>0.0173</v>
      </c>
      <c r="N45" s="69" t="s">
        <v>545</v>
      </c>
      <c r="Z45" s="66">
        <f t="shared" si="4"/>
        <v>0</v>
      </c>
      <c r="AB45" s="66">
        <f t="shared" si="5"/>
        <v>0</v>
      </c>
      <c r="AC45" s="66">
        <f t="shared" si="6"/>
        <v>0</v>
      </c>
      <c r="AD45" s="66">
        <f t="shared" si="7"/>
        <v>0</v>
      </c>
      <c r="AE45" s="66">
        <f t="shared" si="8"/>
        <v>0</v>
      </c>
      <c r="AF45" s="66">
        <f t="shared" si="9"/>
        <v>0</v>
      </c>
      <c r="AG45" s="66">
        <f t="shared" si="10"/>
        <v>0</v>
      </c>
      <c r="AH45" s="66">
        <f t="shared" si="11"/>
        <v>0</v>
      </c>
      <c r="AI45" s="99" t="s">
        <v>450</v>
      </c>
      <c r="AJ45" s="66">
        <f t="shared" si="12"/>
        <v>0</v>
      </c>
      <c r="AK45" s="66">
        <f t="shared" si="13"/>
        <v>0</v>
      </c>
      <c r="AL45" s="66">
        <f t="shared" si="14"/>
        <v>0</v>
      </c>
      <c r="AN45" s="66">
        <v>21</v>
      </c>
      <c r="AO45" s="66">
        <f t="shared" si="15"/>
        <v>0</v>
      </c>
      <c r="AP45" s="66">
        <f t="shared" si="16"/>
        <v>0</v>
      </c>
      <c r="AQ45" s="111" t="s">
        <v>652</v>
      </c>
      <c r="AV45" s="66">
        <f t="shared" si="17"/>
        <v>0</v>
      </c>
      <c r="AW45" s="66">
        <f t="shared" si="18"/>
        <v>0</v>
      </c>
      <c r="AX45" s="66">
        <f t="shared" si="19"/>
        <v>0</v>
      </c>
      <c r="AY45" s="111" t="s">
        <v>305</v>
      </c>
      <c r="AZ45" s="111" t="s">
        <v>35</v>
      </c>
      <c r="BA45" s="99" t="s">
        <v>498</v>
      </c>
      <c r="BC45" s="66">
        <f t="shared" si="20"/>
        <v>0</v>
      </c>
      <c r="BD45" s="66">
        <f t="shared" si="21"/>
        <v>0</v>
      </c>
      <c r="BE45" s="66">
        <v>0</v>
      </c>
      <c r="BF45" s="66">
        <f t="shared" si="22"/>
        <v>0.0173</v>
      </c>
      <c r="BH45" s="66">
        <f t="shared" si="23"/>
        <v>0</v>
      </c>
      <c r="BI45" s="66">
        <f t="shared" si="24"/>
        <v>0</v>
      </c>
      <c r="BJ45" s="66">
        <f t="shared" si="25"/>
        <v>0</v>
      </c>
      <c r="BK45" s="66"/>
      <c r="BL45" s="66">
        <v>725</v>
      </c>
    </row>
    <row r="46" spans="1:64" s="58" customFormat="1" ht="15" customHeight="1">
      <c r="A46" s="64" t="s">
        <v>303</v>
      </c>
      <c r="B46" s="65" t="s">
        <v>450</v>
      </c>
      <c r="C46" s="65" t="s">
        <v>17</v>
      </c>
      <c r="D46" s="174" t="s">
        <v>20</v>
      </c>
      <c r="E46" s="174"/>
      <c r="F46" s="65" t="s">
        <v>225</v>
      </c>
      <c r="G46" s="66">
        <v>15</v>
      </c>
      <c r="H46" s="66"/>
      <c r="I46" s="66">
        <f t="shared" si="0"/>
        <v>0</v>
      </c>
      <c r="J46" s="66">
        <f t="shared" si="1"/>
        <v>0</v>
      </c>
      <c r="K46" s="66">
        <f t="shared" si="2"/>
        <v>0</v>
      </c>
      <c r="L46" s="66">
        <v>0.00156</v>
      </c>
      <c r="M46" s="66">
        <f t="shared" si="3"/>
        <v>0.0234</v>
      </c>
      <c r="N46" s="69" t="s">
        <v>545</v>
      </c>
      <c r="Z46" s="66">
        <f t="shared" si="4"/>
        <v>0</v>
      </c>
      <c r="AB46" s="66">
        <f t="shared" si="5"/>
        <v>0</v>
      </c>
      <c r="AC46" s="66">
        <f t="shared" si="6"/>
        <v>0</v>
      </c>
      <c r="AD46" s="66">
        <f t="shared" si="7"/>
        <v>0</v>
      </c>
      <c r="AE46" s="66">
        <f t="shared" si="8"/>
        <v>0</v>
      </c>
      <c r="AF46" s="66">
        <f t="shared" si="9"/>
        <v>0</v>
      </c>
      <c r="AG46" s="66">
        <f t="shared" si="10"/>
        <v>0</v>
      </c>
      <c r="AH46" s="66">
        <f t="shared" si="11"/>
        <v>0</v>
      </c>
      <c r="AI46" s="99" t="s">
        <v>450</v>
      </c>
      <c r="AJ46" s="66">
        <f t="shared" si="12"/>
        <v>0</v>
      </c>
      <c r="AK46" s="66">
        <f t="shared" si="13"/>
        <v>0</v>
      </c>
      <c r="AL46" s="66">
        <f t="shared" si="14"/>
        <v>0</v>
      </c>
      <c r="AN46" s="66">
        <v>21</v>
      </c>
      <c r="AO46" s="66">
        <f t="shared" si="15"/>
        <v>0</v>
      </c>
      <c r="AP46" s="66">
        <f t="shared" si="16"/>
        <v>0</v>
      </c>
      <c r="AQ46" s="111" t="s">
        <v>652</v>
      </c>
      <c r="AV46" s="66">
        <f t="shared" si="17"/>
        <v>0</v>
      </c>
      <c r="AW46" s="66">
        <f t="shared" si="18"/>
        <v>0</v>
      </c>
      <c r="AX46" s="66">
        <f t="shared" si="19"/>
        <v>0</v>
      </c>
      <c r="AY46" s="111" t="s">
        <v>305</v>
      </c>
      <c r="AZ46" s="111" t="s">
        <v>35</v>
      </c>
      <c r="BA46" s="99" t="s">
        <v>498</v>
      </c>
      <c r="BC46" s="66">
        <f t="shared" si="20"/>
        <v>0</v>
      </c>
      <c r="BD46" s="66">
        <f t="shared" si="21"/>
        <v>0</v>
      </c>
      <c r="BE46" s="66">
        <v>0</v>
      </c>
      <c r="BF46" s="66">
        <f t="shared" si="22"/>
        <v>0.0234</v>
      </c>
      <c r="BH46" s="66">
        <f t="shared" si="23"/>
        <v>0</v>
      </c>
      <c r="BI46" s="66">
        <f t="shared" si="24"/>
        <v>0</v>
      </c>
      <c r="BJ46" s="66">
        <f t="shared" si="25"/>
        <v>0</v>
      </c>
      <c r="BK46" s="66"/>
      <c r="BL46" s="66">
        <v>725</v>
      </c>
    </row>
    <row r="47" spans="1:64" s="58" customFormat="1" ht="15" customHeight="1">
      <c r="A47" s="64" t="s">
        <v>61</v>
      </c>
      <c r="B47" s="65" t="s">
        <v>450</v>
      </c>
      <c r="C47" s="65" t="s">
        <v>482</v>
      </c>
      <c r="D47" s="174" t="s">
        <v>232</v>
      </c>
      <c r="E47" s="174"/>
      <c r="F47" s="65" t="s">
        <v>157</v>
      </c>
      <c r="G47" s="66">
        <v>1</v>
      </c>
      <c r="H47" s="66"/>
      <c r="I47" s="66">
        <f t="shared" si="0"/>
        <v>0</v>
      </c>
      <c r="J47" s="66">
        <f t="shared" si="1"/>
        <v>0</v>
      </c>
      <c r="K47" s="66">
        <f t="shared" si="2"/>
        <v>0</v>
      </c>
      <c r="L47" s="66">
        <v>0.00225</v>
      </c>
      <c r="M47" s="66">
        <f t="shared" si="3"/>
        <v>0.00225</v>
      </c>
      <c r="N47" s="69" t="s">
        <v>545</v>
      </c>
      <c r="Z47" s="66">
        <f t="shared" si="4"/>
        <v>0</v>
      </c>
      <c r="AB47" s="66">
        <f t="shared" si="5"/>
        <v>0</v>
      </c>
      <c r="AC47" s="66">
        <f t="shared" si="6"/>
        <v>0</v>
      </c>
      <c r="AD47" s="66">
        <f t="shared" si="7"/>
        <v>0</v>
      </c>
      <c r="AE47" s="66">
        <f t="shared" si="8"/>
        <v>0</v>
      </c>
      <c r="AF47" s="66">
        <f t="shared" si="9"/>
        <v>0</v>
      </c>
      <c r="AG47" s="66">
        <f t="shared" si="10"/>
        <v>0</v>
      </c>
      <c r="AH47" s="66">
        <f t="shared" si="11"/>
        <v>0</v>
      </c>
      <c r="AI47" s="99" t="s">
        <v>450</v>
      </c>
      <c r="AJ47" s="66">
        <f t="shared" si="12"/>
        <v>0</v>
      </c>
      <c r="AK47" s="66">
        <f t="shared" si="13"/>
        <v>0</v>
      </c>
      <c r="AL47" s="66">
        <f t="shared" si="14"/>
        <v>0</v>
      </c>
      <c r="AN47" s="66">
        <v>21</v>
      </c>
      <c r="AO47" s="66">
        <f t="shared" si="15"/>
        <v>0</v>
      </c>
      <c r="AP47" s="66">
        <f t="shared" si="16"/>
        <v>0</v>
      </c>
      <c r="AQ47" s="111" t="s">
        <v>652</v>
      </c>
      <c r="AV47" s="66">
        <f t="shared" si="17"/>
        <v>0</v>
      </c>
      <c r="AW47" s="66">
        <f t="shared" si="18"/>
        <v>0</v>
      </c>
      <c r="AX47" s="66">
        <f t="shared" si="19"/>
        <v>0</v>
      </c>
      <c r="AY47" s="111" t="s">
        <v>305</v>
      </c>
      <c r="AZ47" s="111" t="s">
        <v>35</v>
      </c>
      <c r="BA47" s="99" t="s">
        <v>498</v>
      </c>
      <c r="BC47" s="66">
        <f t="shared" si="20"/>
        <v>0</v>
      </c>
      <c r="BD47" s="66">
        <f t="shared" si="21"/>
        <v>0</v>
      </c>
      <c r="BE47" s="66">
        <v>0</v>
      </c>
      <c r="BF47" s="66">
        <f t="shared" si="22"/>
        <v>0.00225</v>
      </c>
      <c r="BH47" s="66">
        <f t="shared" si="23"/>
        <v>0</v>
      </c>
      <c r="BI47" s="66">
        <f t="shared" si="24"/>
        <v>0</v>
      </c>
      <c r="BJ47" s="66">
        <f t="shared" si="25"/>
        <v>0</v>
      </c>
      <c r="BK47" s="66"/>
      <c r="BL47" s="66">
        <v>725</v>
      </c>
    </row>
    <row r="48" spans="1:47" s="58" customFormat="1" ht="15" customHeight="1">
      <c r="A48" s="95" t="s">
        <v>450</v>
      </c>
      <c r="B48" s="96" t="s">
        <v>450</v>
      </c>
      <c r="C48" s="96" t="s">
        <v>251</v>
      </c>
      <c r="D48" s="173" t="s">
        <v>296</v>
      </c>
      <c r="E48" s="173"/>
      <c r="F48" s="97" t="s">
        <v>595</v>
      </c>
      <c r="G48" s="97" t="s">
        <v>595</v>
      </c>
      <c r="H48" s="97"/>
      <c r="I48" s="98">
        <f>SUM(I49:I49)</f>
        <v>0</v>
      </c>
      <c r="J48" s="98">
        <f>SUM(J49:J49)</f>
        <v>0</v>
      </c>
      <c r="K48" s="98">
        <f>SUM(K49:K49)</f>
        <v>0</v>
      </c>
      <c r="L48" s="99" t="s">
        <v>450</v>
      </c>
      <c r="M48" s="98">
        <f>SUM(M49:M49)</f>
        <v>0.7402</v>
      </c>
      <c r="N48" s="100" t="s">
        <v>450</v>
      </c>
      <c r="AI48" s="99" t="s">
        <v>450</v>
      </c>
      <c r="AS48" s="98">
        <f>SUM(AJ49:AJ49)</f>
        <v>0</v>
      </c>
      <c r="AT48" s="98">
        <f>SUM(AK49:AK49)</f>
        <v>0</v>
      </c>
      <c r="AU48" s="98">
        <f>SUM(AL49:AL49)</f>
        <v>0</v>
      </c>
    </row>
    <row r="49" spans="1:64" s="58" customFormat="1" ht="15" customHeight="1">
      <c r="A49" s="64" t="s">
        <v>156</v>
      </c>
      <c r="B49" s="65" t="s">
        <v>450</v>
      </c>
      <c r="C49" s="65" t="s">
        <v>173</v>
      </c>
      <c r="D49" s="174" t="s">
        <v>685</v>
      </c>
      <c r="E49" s="174"/>
      <c r="F49" s="65" t="s">
        <v>157</v>
      </c>
      <c r="G49" s="66">
        <v>2</v>
      </c>
      <c r="H49" s="66"/>
      <c r="I49" s="66">
        <f>G49*AO49</f>
        <v>0</v>
      </c>
      <c r="J49" s="66">
        <f>G49*AP49</f>
        <v>0</v>
      </c>
      <c r="K49" s="66">
        <f>G49*H49</f>
        <v>0</v>
      </c>
      <c r="L49" s="66">
        <v>0.3701</v>
      </c>
      <c r="M49" s="66">
        <f>G49*L49</f>
        <v>0.7402</v>
      </c>
      <c r="N49" s="69" t="s">
        <v>545</v>
      </c>
      <c r="Z49" s="66">
        <f>IF(AQ49="5",BJ49,0)</f>
        <v>0</v>
      </c>
      <c r="AB49" s="66">
        <f>IF(AQ49="1",BH49,0)</f>
        <v>0</v>
      </c>
      <c r="AC49" s="66">
        <f>IF(AQ49="1",BI49,0)</f>
        <v>0</v>
      </c>
      <c r="AD49" s="66">
        <f>IF(AQ49="7",BH49,0)</f>
        <v>0</v>
      </c>
      <c r="AE49" s="66">
        <f>IF(AQ49="7",BI49,0)</f>
        <v>0</v>
      </c>
      <c r="AF49" s="66">
        <f>IF(AQ49="2",BH49,0)</f>
        <v>0</v>
      </c>
      <c r="AG49" s="66">
        <f>IF(AQ49="2",BI49,0)</f>
        <v>0</v>
      </c>
      <c r="AH49" s="66">
        <f>IF(AQ49="0",BJ49,0)</f>
        <v>0</v>
      </c>
      <c r="AI49" s="99" t="s">
        <v>450</v>
      </c>
      <c r="AJ49" s="66">
        <f>IF(AN49=0,K49,0)</f>
        <v>0</v>
      </c>
      <c r="AK49" s="66">
        <f>IF(AN49=15,K49,0)</f>
        <v>0</v>
      </c>
      <c r="AL49" s="66">
        <f>IF(AN49=21,K49,0)</f>
        <v>0</v>
      </c>
      <c r="AN49" s="66">
        <v>21</v>
      </c>
      <c r="AO49" s="66">
        <f>H49*0.00447376320519636</f>
        <v>0</v>
      </c>
      <c r="AP49" s="66">
        <f>H49*(1-0.00447376320519636)</f>
        <v>0</v>
      </c>
      <c r="AQ49" s="111" t="s">
        <v>652</v>
      </c>
      <c r="AV49" s="66">
        <f>AW49+AX49</f>
        <v>0</v>
      </c>
      <c r="AW49" s="66">
        <f>G49*AO49</f>
        <v>0</v>
      </c>
      <c r="AX49" s="66">
        <f>G49*AP49</f>
        <v>0</v>
      </c>
      <c r="AY49" s="111" t="s">
        <v>181</v>
      </c>
      <c r="AZ49" s="111" t="s">
        <v>585</v>
      </c>
      <c r="BA49" s="99" t="s">
        <v>498</v>
      </c>
      <c r="BC49" s="66">
        <f>AW49+AX49</f>
        <v>0</v>
      </c>
      <c r="BD49" s="66">
        <f>H49/(100-BE49)*100</f>
        <v>0</v>
      </c>
      <c r="BE49" s="66">
        <v>0</v>
      </c>
      <c r="BF49" s="66">
        <f>M49</f>
        <v>0.7402</v>
      </c>
      <c r="BH49" s="66">
        <f>G49*AO49</f>
        <v>0</v>
      </c>
      <c r="BI49" s="66">
        <f>G49*AP49</f>
        <v>0</v>
      </c>
      <c r="BJ49" s="66">
        <f>G49*H49</f>
        <v>0</v>
      </c>
      <c r="BK49" s="66"/>
      <c r="BL49" s="66">
        <v>731</v>
      </c>
    </row>
    <row r="50" spans="1:47" s="58" customFormat="1" ht="15" customHeight="1">
      <c r="A50" s="95" t="s">
        <v>450</v>
      </c>
      <c r="B50" s="96" t="s">
        <v>450</v>
      </c>
      <c r="C50" s="96" t="s">
        <v>664</v>
      </c>
      <c r="D50" s="173" t="s">
        <v>549</v>
      </c>
      <c r="E50" s="173"/>
      <c r="F50" s="97" t="s">
        <v>595</v>
      </c>
      <c r="G50" s="97" t="s">
        <v>595</v>
      </c>
      <c r="H50" s="97"/>
      <c r="I50" s="98">
        <f>SUM(I51:I53)</f>
        <v>0</v>
      </c>
      <c r="J50" s="98">
        <f>SUM(J51:J53)</f>
        <v>0</v>
      </c>
      <c r="K50" s="98">
        <f>SUM(K51:K53)</f>
        <v>0</v>
      </c>
      <c r="L50" s="99" t="s">
        <v>450</v>
      </c>
      <c r="M50" s="98">
        <f>SUM(M51:M53)</f>
        <v>1.69158</v>
      </c>
      <c r="N50" s="100" t="s">
        <v>450</v>
      </c>
      <c r="AI50" s="99" t="s">
        <v>450</v>
      </c>
      <c r="AS50" s="98">
        <f>SUM(AJ51:AJ53)</f>
        <v>0</v>
      </c>
      <c r="AT50" s="98">
        <f>SUM(AK51:AK53)</f>
        <v>0</v>
      </c>
      <c r="AU50" s="98">
        <f>SUM(AL51:AL53)</f>
        <v>0</v>
      </c>
    </row>
    <row r="51" spans="1:64" s="58" customFormat="1" ht="15" customHeight="1">
      <c r="A51" s="64" t="s">
        <v>88</v>
      </c>
      <c r="B51" s="65" t="s">
        <v>450</v>
      </c>
      <c r="C51" s="65" t="s">
        <v>92</v>
      </c>
      <c r="D51" s="174" t="s">
        <v>561</v>
      </c>
      <c r="E51" s="174"/>
      <c r="F51" s="65" t="s">
        <v>538</v>
      </c>
      <c r="G51" s="66">
        <v>218</v>
      </c>
      <c r="H51" s="66"/>
      <c r="I51" s="66">
        <f>G51*AO51</f>
        <v>0</v>
      </c>
      <c r="J51" s="66">
        <f>G51*AP51</f>
        <v>0</v>
      </c>
      <c r="K51" s="66">
        <f>G51*H51</f>
        <v>0</v>
      </c>
      <c r="L51" s="66">
        <v>0.00537</v>
      </c>
      <c r="M51" s="66">
        <f>G51*L51</f>
        <v>1.17066</v>
      </c>
      <c r="N51" s="69" t="s">
        <v>545</v>
      </c>
      <c r="Z51" s="66">
        <f>IF(AQ51="5",BJ51,0)</f>
        <v>0</v>
      </c>
      <c r="AB51" s="66">
        <f>IF(AQ51="1",BH51,0)</f>
        <v>0</v>
      </c>
      <c r="AC51" s="66">
        <f>IF(AQ51="1",BI51,0)</f>
        <v>0</v>
      </c>
      <c r="AD51" s="66">
        <f>IF(AQ51="7",BH51,0)</f>
        <v>0</v>
      </c>
      <c r="AE51" s="66">
        <f>IF(AQ51="7",BI51,0)</f>
        <v>0</v>
      </c>
      <c r="AF51" s="66">
        <f>IF(AQ51="2",BH51,0)</f>
        <v>0</v>
      </c>
      <c r="AG51" s="66">
        <f>IF(AQ51="2",BI51,0)</f>
        <v>0</v>
      </c>
      <c r="AH51" s="66">
        <f>IF(AQ51="0",BJ51,0)</f>
        <v>0</v>
      </c>
      <c r="AI51" s="99" t="s">
        <v>450</v>
      </c>
      <c r="AJ51" s="66">
        <f>IF(AN51=0,K51,0)</f>
        <v>0</v>
      </c>
      <c r="AK51" s="66">
        <f>IF(AN51=15,K51,0)</f>
        <v>0</v>
      </c>
      <c r="AL51" s="66">
        <f>IF(AN51=21,K51,0)</f>
        <v>0</v>
      </c>
      <c r="AN51" s="66">
        <v>21</v>
      </c>
      <c r="AO51" s="66">
        <f>H51*0.218068535825545</f>
        <v>0</v>
      </c>
      <c r="AP51" s="66">
        <f>H51*(1-0.218068535825545)</f>
        <v>0</v>
      </c>
      <c r="AQ51" s="111" t="s">
        <v>652</v>
      </c>
      <c r="AV51" s="66">
        <f>AW51+AX51</f>
        <v>0</v>
      </c>
      <c r="AW51" s="66">
        <f>G51*AO51</f>
        <v>0</v>
      </c>
      <c r="AX51" s="66">
        <f>G51*AP51</f>
        <v>0</v>
      </c>
      <c r="AY51" s="111" t="s">
        <v>65</v>
      </c>
      <c r="AZ51" s="111" t="s">
        <v>585</v>
      </c>
      <c r="BA51" s="99" t="s">
        <v>498</v>
      </c>
      <c r="BC51" s="66">
        <f>AW51+AX51</f>
        <v>0</v>
      </c>
      <c r="BD51" s="66">
        <f>H51/(100-BE51)*100</f>
        <v>0</v>
      </c>
      <c r="BE51" s="66">
        <v>0</v>
      </c>
      <c r="BF51" s="66">
        <f>M51</f>
        <v>1.17066</v>
      </c>
      <c r="BH51" s="66">
        <f>G51*AO51</f>
        <v>0</v>
      </c>
      <c r="BI51" s="66">
        <f>G51*AP51</f>
        <v>0</v>
      </c>
      <c r="BJ51" s="66">
        <f>G51*H51</f>
        <v>0</v>
      </c>
      <c r="BK51" s="66"/>
      <c r="BL51" s="66">
        <v>733</v>
      </c>
    </row>
    <row r="52" spans="1:64" s="58" customFormat="1" ht="15" customHeight="1">
      <c r="A52" s="64" t="s">
        <v>631</v>
      </c>
      <c r="B52" s="65" t="s">
        <v>450</v>
      </c>
      <c r="C52" s="65" t="s">
        <v>110</v>
      </c>
      <c r="D52" s="174" t="s">
        <v>327</v>
      </c>
      <c r="E52" s="174"/>
      <c r="F52" s="65" t="s">
        <v>538</v>
      </c>
      <c r="G52" s="66">
        <v>81</v>
      </c>
      <c r="H52" s="66"/>
      <c r="I52" s="66">
        <f>G52*AO52</f>
        <v>0</v>
      </c>
      <c r="J52" s="66">
        <f>G52*AP52</f>
        <v>0</v>
      </c>
      <c r="K52" s="66">
        <f>G52*H52</f>
        <v>0</v>
      </c>
      <c r="L52" s="66">
        <v>0.00322</v>
      </c>
      <c r="M52" s="66">
        <f>G52*L52</f>
        <v>0.26082</v>
      </c>
      <c r="N52" s="69" t="s">
        <v>545</v>
      </c>
      <c r="Z52" s="66">
        <f>IF(AQ52="5",BJ52,0)</f>
        <v>0</v>
      </c>
      <c r="AB52" s="66">
        <f>IF(AQ52="1",BH52,0)</f>
        <v>0</v>
      </c>
      <c r="AC52" s="66">
        <f>IF(AQ52="1",BI52,0)</f>
        <v>0</v>
      </c>
      <c r="AD52" s="66">
        <f>IF(AQ52="7",BH52,0)</f>
        <v>0</v>
      </c>
      <c r="AE52" s="66">
        <f>IF(AQ52="7",BI52,0)</f>
        <v>0</v>
      </c>
      <c r="AF52" s="66">
        <f>IF(AQ52="2",BH52,0)</f>
        <v>0</v>
      </c>
      <c r="AG52" s="66">
        <f>IF(AQ52="2",BI52,0)</f>
        <v>0</v>
      </c>
      <c r="AH52" s="66">
        <f>IF(AQ52="0",BJ52,0)</f>
        <v>0</v>
      </c>
      <c r="AI52" s="99" t="s">
        <v>450</v>
      </c>
      <c r="AJ52" s="66">
        <f>IF(AN52=0,K52,0)</f>
        <v>0</v>
      </c>
      <c r="AK52" s="66">
        <f>IF(AN52=15,K52,0)</f>
        <v>0</v>
      </c>
      <c r="AL52" s="66">
        <f>IF(AN52=21,K52,0)</f>
        <v>0</v>
      </c>
      <c r="AN52" s="66">
        <v>21</v>
      </c>
      <c r="AO52" s="66">
        <f>H52*0.166451612903226</f>
        <v>0</v>
      </c>
      <c r="AP52" s="66">
        <f>H52*(1-0.166451612903226)</f>
        <v>0</v>
      </c>
      <c r="AQ52" s="111" t="s">
        <v>652</v>
      </c>
      <c r="AV52" s="66">
        <f>AW52+AX52</f>
        <v>0</v>
      </c>
      <c r="AW52" s="66">
        <f>G52*AO52</f>
        <v>0</v>
      </c>
      <c r="AX52" s="66">
        <f>G52*AP52</f>
        <v>0</v>
      </c>
      <c r="AY52" s="111" t="s">
        <v>65</v>
      </c>
      <c r="AZ52" s="111" t="s">
        <v>585</v>
      </c>
      <c r="BA52" s="99" t="s">
        <v>498</v>
      </c>
      <c r="BC52" s="66">
        <f>AW52+AX52</f>
        <v>0</v>
      </c>
      <c r="BD52" s="66">
        <f>H52/(100-BE52)*100</f>
        <v>0</v>
      </c>
      <c r="BE52" s="66">
        <v>0</v>
      </c>
      <c r="BF52" s="66">
        <f>M52</f>
        <v>0.26082</v>
      </c>
      <c r="BH52" s="66">
        <f>G52*AO52</f>
        <v>0</v>
      </c>
      <c r="BI52" s="66">
        <f>G52*AP52</f>
        <v>0</v>
      </c>
      <c r="BJ52" s="66">
        <f>G52*H52</f>
        <v>0</v>
      </c>
      <c r="BK52" s="66"/>
      <c r="BL52" s="66">
        <v>733</v>
      </c>
    </row>
    <row r="53" spans="1:64" s="58" customFormat="1" ht="15" customHeight="1">
      <c r="A53" s="64" t="s">
        <v>705</v>
      </c>
      <c r="B53" s="65" t="s">
        <v>450</v>
      </c>
      <c r="C53" s="65" t="s">
        <v>727</v>
      </c>
      <c r="D53" s="174" t="s">
        <v>271</v>
      </c>
      <c r="E53" s="174"/>
      <c r="F53" s="65" t="s">
        <v>538</v>
      </c>
      <c r="G53" s="66">
        <v>30</v>
      </c>
      <c r="H53" s="66"/>
      <c r="I53" s="66">
        <f>G53*AO53</f>
        <v>0</v>
      </c>
      <c r="J53" s="66">
        <f>G53*AP53</f>
        <v>0</v>
      </c>
      <c r="K53" s="66">
        <f>G53*H53</f>
        <v>0</v>
      </c>
      <c r="L53" s="66">
        <v>0.00867</v>
      </c>
      <c r="M53" s="66">
        <f>G53*L53</f>
        <v>0.2601</v>
      </c>
      <c r="N53" s="69" t="s">
        <v>545</v>
      </c>
      <c r="Z53" s="66">
        <f>IF(AQ53="5",BJ53,0)</f>
        <v>0</v>
      </c>
      <c r="AB53" s="66">
        <f>IF(AQ53="1",BH53,0)</f>
        <v>0</v>
      </c>
      <c r="AC53" s="66">
        <f>IF(AQ53="1",BI53,0)</f>
        <v>0</v>
      </c>
      <c r="AD53" s="66">
        <f>IF(AQ53="7",BH53,0)</f>
        <v>0</v>
      </c>
      <c r="AE53" s="66">
        <f>IF(AQ53="7",BI53,0)</f>
        <v>0</v>
      </c>
      <c r="AF53" s="66">
        <f>IF(AQ53="2",BH53,0)</f>
        <v>0</v>
      </c>
      <c r="AG53" s="66">
        <f>IF(AQ53="2",BI53,0)</f>
        <v>0</v>
      </c>
      <c r="AH53" s="66">
        <f>IF(AQ53="0",BJ53,0)</f>
        <v>0</v>
      </c>
      <c r="AI53" s="99" t="s">
        <v>450</v>
      </c>
      <c r="AJ53" s="66">
        <f>IF(AN53=0,K53,0)</f>
        <v>0</v>
      </c>
      <c r="AK53" s="66">
        <f>IF(AN53=15,K53,0)</f>
        <v>0</v>
      </c>
      <c r="AL53" s="66">
        <f>IF(AN53=21,K53,0)</f>
        <v>0</v>
      </c>
      <c r="AN53" s="66">
        <v>21</v>
      </c>
      <c r="AO53" s="66">
        <f>H53*0.349027237354086</f>
        <v>0</v>
      </c>
      <c r="AP53" s="66">
        <f>H53*(1-0.349027237354086)</f>
        <v>0</v>
      </c>
      <c r="AQ53" s="111" t="s">
        <v>652</v>
      </c>
      <c r="AV53" s="66">
        <f>AW53+AX53</f>
        <v>0</v>
      </c>
      <c r="AW53" s="66">
        <f>G53*AO53</f>
        <v>0</v>
      </c>
      <c r="AX53" s="66">
        <f>G53*AP53</f>
        <v>0</v>
      </c>
      <c r="AY53" s="111" t="s">
        <v>65</v>
      </c>
      <c r="AZ53" s="111" t="s">
        <v>585</v>
      </c>
      <c r="BA53" s="99" t="s">
        <v>498</v>
      </c>
      <c r="BC53" s="66">
        <f>AW53+AX53</f>
        <v>0</v>
      </c>
      <c r="BD53" s="66">
        <f>H53/(100-BE53)*100</f>
        <v>0</v>
      </c>
      <c r="BE53" s="66">
        <v>0</v>
      </c>
      <c r="BF53" s="66">
        <f>M53</f>
        <v>0.2601</v>
      </c>
      <c r="BH53" s="66">
        <f>G53*AO53</f>
        <v>0</v>
      </c>
      <c r="BI53" s="66">
        <f>G53*AP53</f>
        <v>0</v>
      </c>
      <c r="BJ53" s="66">
        <f>G53*H53</f>
        <v>0</v>
      </c>
      <c r="BK53" s="66"/>
      <c r="BL53" s="66">
        <v>733</v>
      </c>
    </row>
    <row r="54" spans="1:47" s="58" customFormat="1" ht="15" customHeight="1">
      <c r="A54" s="95" t="s">
        <v>450</v>
      </c>
      <c r="B54" s="96" t="s">
        <v>450</v>
      </c>
      <c r="C54" s="96" t="s">
        <v>670</v>
      </c>
      <c r="D54" s="173" t="s">
        <v>484</v>
      </c>
      <c r="E54" s="173"/>
      <c r="F54" s="97" t="s">
        <v>595</v>
      </c>
      <c r="G54" s="97" t="s">
        <v>595</v>
      </c>
      <c r="H54" s="97"/>
      <c r="I54" s="98">
        <f>SUM(I55:I56)</f>
        <v>0</v>
      </c>
      <c r="J54" s="98">
        <f>SUM(J55:J56)</f>
        <v>0</v>
      </c>
      <c r="K54" s="98">
        <f>SUM(K55:K56)</f>
        <v>0</v>
      </c>
      <c r="L54" s="99" t="s">
        <v>450</v>
      </c>
      <c r="M54" s="98">
        <f>SUM(M55:M56)</f>
        <v>1.4596399999999998</v>
      </c>
      <c r="N54" s="100" t="s">
        <v>450</v>
      </c>
      <c r="AI54" s="99" t="s">
        <v>450</v>
      </c>
      <c r="AS54" s="98">
        <f>SUM(AJ55:AJ56)</f>
        <v>0</v>
      </c>
      <c r="AT54" s="98">
        <f>SUM(AK55:AK56)</f>
        <v>0</v>
      </c>
      <c r="AU54" s="98">
        <f>SUM(AL55:AL56)</f>
        <v>0</v>
      </c>
    </row>
    <row r="55" spans="1:64" s="58" customFormat="1" ht="15" customHeight="1">
      <c r="A55" s="64" t="s">
        <v>43</v>
      </c>
      <c r="B55" s="65" t="s">
        <v>450</v>
      </c>
      <c r="C55" s="65" t="s">
        <v>161</v>
      </c>
      <c r="D55" s="174" t="s">
        <v>502</v>
      </c>
      <c r="E55" s="174"/>
      <c r="F55" s="65" t="s">
        <v>157</v>
      </c>
      <c r="G55" s="66">
        <v>49</v>
      </c>
      <c r="H55" s="66"/>
      <c r="I55" s="66">
        <f>G55*AO55</f>
        <v>0</v>
      </c>
      <c r="J55" s="66">
        <f>G55*AP55</f>
        <v>0</v>
      </c>
      <c r="K55" s="66">
        <f>G55*H55</f>
        <v>0</v>
      </c>
      <c r="L55" s="66">
        <v>0.02501</v>
      </c>
      <c r="M55" s="66">
        <f>G55*L55</f>
        <v>1.22549</v>
      </c>
      <c r="N55" s="69" t="s">
        <v>545</v>
      </c>
      <c r="Z55" s="66">
        <f>IF(AQ55="5",BJ55,0)</f>
        <v>0</v>
      </c>
      <c r="AB55" s="66">
        <f>IF(AQ55="1",BH55,0)</f>
        <v>0</v>
      </c>
      <c r="AC55" s="66">
        <f>IF(AQ55="1",BI55,0)</f>
        <v>0</v>
      </c>
      <c r="AD55" s="66">
        <f>IF(AQ55="7",BH55,0)</f>
        <v>0</v>
      </c>
      <c r="AE55" s="66">
        <f>IF(AQ55="7",BI55,0)</f>
        <v>0</v>
      </c>
      <c r="AF55" s="66">
        <f>IF(AQ55="2",BH55,0)</f>
        <v>0</v>
      </c>
      <c r="AG55" s="66">
        <f>IF(AQ55="2",BI55,0)</f>
        <v>0</v>
      </c>
      <c r="AH55" s="66">
        <f>IF(AQ55="0",BJ55,0)</f>
        <v>0</v>
      </c>
      <c r="AI55" s="99" t="s">
        <v>450</v>
      </c>
      <c r="AJ55" s="66">
        <f>IF(AN55=0,K55,0)</f>
        <v>0</v>
      </c>
      <c r="AK55" s="66">
        <f>IF(AN55=15,K55,0)</f>
        <v>0</v>
      </c>
      <c r="AL55" s="66">
        <f>IF(AN55=21,K55,0)</f>
        <v>0</v>
      </c>
      <c r="AN55" s="66">
        <v>21</v>
      </c>
      <c r="AO55" s="66">
        <f>H55*0.130431893687708</f>
        <v>0</v>
      </c>
      <c r="AP55" s="66">
        <f>H55*(1-0.130431893687708)</f>
        <v>0</v>
      </c>
      <c r="AQ55" s="111" t="s">
        <v>652</v>
      </c>
      <c r="AV55" s="66">
        <f>AW55+AX55</f>
        <v>0</v>
      </c>
      <c r="AW55" s="66">
        <f>G55*AO55</f>
        <v>0</v>
      </c>
      <c r="AX55" s="66">
        <f>G55*AP55</f>
        <v>0</v>
      </c>
      <c r="AY55" s="111" t="s">
        <v>375</v>
      </c>
      <c r="AZ55" s="111" t="s">
        <v>585</v>
      </c>
      <c r="BA55" s="99" t="s">
        <v>498</v>
      </c>
      <c r="BC55" s="66">
        <f>AW55+AX55</f>
        <v>0</v>
      </c>
      <c r="BD55" s="66">
        <f>H55/(100-BE55)*100</f>
        <v>0</v>
      </c>
      <c r="BE55" s="66">
        <v>0</v>
      </c>
      <c r="BF55" s="66">
        <f>M55</f>
        <v>1.22549</v>
      </c>
      <c r="BH55" s="66">
        <f>G55*AO55</f>
        <v>0</v>
      </c>
      <c r="BI55" s="66">
        <f>G55*AP55</f>
        <v>0</v>
      </c>
      <c r="BJ55" s="66">
        <f>G55*H55</f>
        <v>0</v>
      </c>
      <c r="BK55" s="66"/>
      <c r="BL55" s="66">
        <v>735</v>
      </c>
    </row>
    <row r="56" spans="1:64" s="58" customFormat="1" ht="15" customHeight="1">
      <c r="A56" s="64" t="s">
        <v>425</v>
      </c>
      <c r="B56" s="65" t="s">
        <v>450</v>
      </c>
      <c r="C56" s="65" t="s">
        <v>19</v>
      </c>
      <c r="D56" s="174" t="s">
        <v>636</v>
      </c>
      <c r="E56" s="174"/>
      <c r="F56" s="65" t="s">
        <v>157</v>
      </c>
      <c r="G56" s="66">
        <v>5</v>
      </c>
      <c r="H56" s="66"/>
      <c r="I56" s="66">
        <f>G56*AO56</f>
        <v>0</v>
      </c>
      <c r="J56" s="66">
        <f>G56*AP56</f>
        <v>0</v>
      </c>
      <c r="K56" s="66">
        <f>G56*H56</f>
        <v>0</v>
      </c>
      <c r="L56" s="66">
        <v>0.04683</v>
      </c>
      <c r="M56" s="66">
        <f>G56*L56</f>
        <v>0.23414999999999997</v>
      </c>
      <c r="N56" s="69" t="s">
        <v>545</v>
      </c>
      <c r="Z56" s="66">
        <f>IF(AQ56="5",BJ56,0)</f>
        <v>0</v>
      </c>
      <c r="AB56" s="66">
        <f>IF(AQ56="1",BH56,0)</f>
        <v>0</v>
      </c>
      <c r="AC56" s="66">
        <f>IF(AQ56="1",BI56,0)</f>
        <v>0</v>
      </c>
      <c r="AD56" s="66">
        <f>IF(AQ56="7",BH56,0)</f>
        <v>0</v>
      </c>
      <c r="AE56" s="66">
        <f>IF(AQ56="7",BI56,0)</f>
        <v>0</v>
      </c>
      <c r="AF56" s="66">
        <f>IF(AQ56="2",BH56,0)</f>
        <v>0</v>
      </c>
      <c r="AG56" s="66">
        <f>IF(AQ56="2",BI56,0)</f>
        <v>0</v>
      </c>
      <c r="AH56" s="66">
        <f>IF(AQ56="0",BJ56,0)</f>
        <v>0</v>
      </c>
      <c r="AI56" s="99" t="s">
        <v>450</v>
      </c>
      <c r="AJ56" s="66">
        <f>IF(AN56=0,K56,0)</f>
        <v>0</v>
      </c>
      <c r="AK56" s="66">
        <f>IF(AN56=15,K56,0)</f>
        <v>0</v>
      </c>
      <c r="AL56" s="66">
        <f>IF(AN56=21,K56,0)</f>
        <v>0</v>
      </c>
      <c r="AN56" s="66">
        <v>21</v>
      </c>
      <c r="AO56" s="66">
        <f>H56*0.100404071402997</f>
        <v>0</v>
      </c>
      <c r="AP56" s="66">
        <f>H56*(1-0.100404071402997)</f>
        <v>0</v>
      </c>
      <c r="AQ56" s="111" t="s">
        <v>652</v>
      </c>
      <c r="AV56" s="66">
        <f>AW56+AX56</f>
        <v>0</v>
      </c>
      <c r="AW56" s="66">
        <f>G56*AO56</f>
        <v>0</v>
      </c>
      <c r="AX56" s="66">
        <f>G56*AP56</f>
        <v>0</v>
      </c>
      <c r="AY56" s="111" t="s">
        <v>375</v>
      </c>
      <c r="AZ56" s="111" t="s">
        <v>585</v>
      </c>
      <c r="BA56" s="99" t="s">
        <v>498</v>
      </c>
      <c r="BC56" s="66">
        <f>AW56+AX56</f>
        <v>0</v>
      </c>
      <c r="BD56" s="66">
        <f>H56/(100-BE56)*100</f>
        <v>0</v>
      </c>
      <c r="BE56" s="66">
        <v>0</v>
      </c>
      <c r="BF56" s="66">
        <f>M56</f>
        <v>0.23414999999999997</v>
      </c>
      <c r="BH56" s="66">
        <f>G56*AO56</f>
        <v>0</v>
      </c>
      <c r="BI56" s="66">
        <f>G56*AP56</f>
        <v>0</v>
      </c>
      <c r="BJ56" s="66">
        <f>G56*H56</f>
        <v>0</v>
      </c>
      <c r="BK56" s="66"/>
      <c r="BL56" s="66">
        <v>735</v>
      </c>
    </row>
    <row r="57" spans="1:47" s="58" customFormat="1" ht="15" customHeight="1">
      <c r="A57" s="95" t="s">
        <v>450</v>
      </c>
      <c r="B57" s="96" t="s">
        <v>450</v>
      </c>
      <c r="C57" s="96" t="s">
        <v>410</v>
      </c>
      <c r="D57" s="173" t="s">
        <v>690</v>
      </c>
      <c r="E57" s="173"/>
      <c r="F57" s="97" t="s">
        <v>595</v>
      </c>
      <c r="G57" s="97" t="s">
        <v>595</v>
      </c>
      <c r="H57" s="97"/>
      <c r="I57" s="98">
        <f>SUM(I58:I65)</f>
        <v>0</v>
      </c>
      <c r="J57" s="98">
        <f>SUM(J58:J65)</f>
        <v>0</v>
      </c>
      <c r="K57" s="98">
        <f>SUM(K58:K65)</f>
        <v>0</v>
      </c>
      <c r="L57" s="99" t="s">
        <v>450</v>
      </c>
      <c r="M57" s="98">
        <f>SUM(M58:M65)</f>
        <v>50.978660250000004</v>
      </c>
      <c r="N57" s="100" t="s">
        <v>450</v>
      </c>
      <c r="AI57" s="99" t="s">
        <v>450</v>
      </c>
      <c r="AS57" s="98">
        <f>SUM(AJ58:AJ65)</f>
        <v>0</v>
      </c>
      <c r="AT57" s="98">
        <f>SUM(AK58:AK65)</f>
        <v>0</v>
      </c>
      <c r="AU57" s="98">
        <f>SUM(AL58:AL65)</f>
        <v>0</v>
      </c>
    </row>
    <row r="58" spans="1:64" s="58" customFormat="1" ht="15" customHeight="1">
      <c r="A58" s="64" t="s">
        <v>388</v>
      </c>
      <c r="B58" s="65" t="s">
        <v>450</v>
      </c>
      <c r="C58" s="65" t="s">
        <v>385</v>
      </c>
      <c r="D58" s="174" t="s">
        <v>299</v>
      </c>
      <c r="E58" s="174"/>
      <c r="F58" s="65" t="s">
        <v>538</v>
      </c>
      <c r="G58" s="66">
        <v>454.85</v>
      </c>
      <c r="H58" s="66"/>
      <c r="I58" s="66">
        <f aca="true" t="shared" si="26" ref="I58:I65">G58*AO58</f>
        <v>0</v>
      </c>
      <c r="J58" s="66">
        <f aca="true" t="shared" si="27" ref="J58:J65">G58*AP58</f>
        <v>0</v>
      </c>
      <c r="K58" s="66">
        <f aca="true" t="shared" si="28" ref="K58:K65">G58*H58</f>
        <v>0</v>
      </c>
      <c r="L58" s="66">
        <v>0.014</v>
      </c>
      <c r="M58" s="66">
        <f aca="true" t="shared" si="29" ref="M58:M65">G58*L58</f>
        <v>6.367900000000001</v>
      </c>
      <c r="N58" s="69" t="s">
        <v>545</v>
      </c>
      <c r="Z58" s="66">
        <f aca="true" t="shared" si="30" ref="Z58:Z65">IF(AQ58="5",BJ58,0)</f>
        <v>0</v>
      </c>
      <c r="AB58" s="66">
        <f aca="true" t="shared" si="31" ref="AB58:AB65">IF(AQ58="1",BH58,0)</f>
        <v>0</v>
      </c>
      <c r="AC58" s="66">
        <f aca="true" t="shared" si="32" ref="AC58:AC65">IF(AQ58="1",BI58,0)</f>
        <v>0</v>
      </c>
      <c r="AD58" s="66">
        <f aca="true" t="shared" si="33" ref="AD58:AD65">IF(AQ58="7",BH58,0)</f>
        <v>0</v>
      </c>
      <c r="AE58" s="66">
        <f aca="true" t="shared" si="34" ref="AE58:AE65">IF(AQ58="7",BI58,0)</f>
        <v>0</v>
      </c>
      <c r="AF58" s="66">
        <f aca="true" t="shared" si="35" ref="AF58:AF65">IF(AQ58="2",BH58,0)</f>
        <v>0</v>
      </c>
      <c r="AG58" s="66">
        <f aca="true" t="shared" si="36" ref="AG58:AG65">IF(AQ58="2",BI58,0)</f>
        <v>0</v>
      </c>
      <c r="AH58" s="66">
        <f aca="true" t="shared" si="37" ref="AH58:AH65">IF(AQ58="0",BJ58,0)</f>
        <v>0</v>
      </c>
      <c r="AI58" s="99" t="s">
        <v>450</v>
      </c>
      <c r="AJ58" s="66">
        <f aca="true" t="shared" si="38" ref="AJ58:AJ65">IF(AN58=0,K58,0)</f>
        <v>0</v>
      </c>
      <c r="AK58" s="66">
        <f aca="true" t="shared" si="39" ref="AK58:AK65">IF(AN58=15,K58,0)</f>
        <v>0</v>
      </c>
      <c r="AL58" s="66">
        <f aca="true" t="shared" si="40" ref="AL58:AL65">IF(AN58=21,K58,0)</f>
        <v>0</v>
      </c>
      <c r="AN58" s="66">
        <v>21</v>
      </c>
      <c r="AO58" s="66">
        <f>H58*0</f>
        <v>0</v>
      </c>
      <c r="AP58" s="66">
        <f>H58*(1-0)</f>
        <v>0</v>
      </c>
      <c r="AQ58" s="111" t="s">
        <v>652</v>
      </c>
      <c r="AV58" s="66">
        <f aca="true" t="shared" si="41" ref="AV58:AV65">AW58+AX58</f>
        <v>0</v>
      </c>
      <c r="AW58" s="66">
        <f aca="true" t="shared" si="42" ref="AW58:AW65">G58*AO58</f>
        <v>0</v>
      </c>
      <c r="AX58" s="66">
        <f aca="true" t="shared" si="43" ref="AX58:AX65">G58*AP58</f>
        <v>0</v>
      </c>
      <c r="AY58" s="111" t="s">
        <v>412</v>
      </c>
      <c r="AZ58" s="111" t="s">
        <v>358</v>
      </c>
      <c r="BA58" s="99" t="s">
        <v>498</v>
      </c>
      <c r="BC58" s="66">
        <f aca="true" t="shared" si="44" ref="BC58:BC65">AW58+AX58</f>
        <v>0</v>
      </c>
      <c r="BD58" s="66">
        <f aca="true" t="shared" si="45" ref="BD58:BD65">H58/(100-BE58)*100</f>
        <v>0</v>
      </c>
      <c r="BE58" s="66">
        <v>0</v>
      </c>
      <c r="BF58" s="66">
        <f aca="true" t="shared" si="46" ref="BF58:BF65">M58</f>
        <v>6.367900000000001</v>
      </c>
      <c r="BH58" s="66">
        <f aca="true" t="shared" si="47" ref="BH58:BH65">G58*AO58</f>
        <v>0</v>
      </c>
      <c r="BI58" s="66">
        <f aca="true" t="shared" si="48" ref="BI58:BI65">G58*AP58</f>
        <v>0</v>
      </c>
      <c r="BJ58" s="66">
        <f aca="true" t="shared" si="49" ref="BJ58:BJ65">G58*H58</f>
        <v>0</v>
      </c>
      <c r="BK58" s="66"/>
      <c r="BL58" s="66">
        <v>762</v>
      </c>
    </row>
    <row r="59" spans="1:64" s="58" customFormat="1" ht="15" customHeight="1">
      <c r="A59" s="64" t="s">
        <v>548</v>
      </c>
      <c r="B59" s="65" t="s">
        <v>450</v>
      </c>
      <c r="C59" s="65" t="s">
        <v>167</v>
      </c>
      <c r="D59" s="174" t="s">
        <v>458</v>
      </c>
      <c r="E59" s="174"/>
      <c r="F59" s="65" t="s">
        <v>538</v>
      </c>
      <c r="G59" s="66">
        <v>183.5</v>
      </c>
      <c r="H59" s="66"/>
      <c r="I59" s="66">
        <f t="shared" si="26"/>
        <v>0</v>
      </c>
      <c r="J59" s="66">
        <f t="shared" si="27"/>
        <v>0</v>
      </c>
      <c r="K59" s="66">
        <f t="shared" si="28"/>
        <v>0</v>
      </c>
      <c r="L59" s="66">
        <v>0.024</v>
      </c>
      <c r="M59" s="66">
        <f t="shared" si="29"/>
        <v>4.404</v>
      </c>
      <c r="N59" s="69" t="s">
        <v>545</v>
      </c>
      <c r="Z59" s="66">
        <f t="shared" si="30"/>
        <v>0</v>
      </c>
      <c r="AB59" s="66">
        <f t="shared" si="31"/>
        <v>0</v>
      </c>
      <c r="AC59" s="66">
        <f t="shared" si="32"/>
        <v>0</v>
      </c>
      <c r="AD59" s="66">
        <f t="shared" si="33"/>
        <v>0</v>
      </c>
      <c r="AE59" s="66">
        <f t="shared" si="34"/>
        <v>0</v>
      </c>
      <c r="AF59" s="66">
        <f t="shared" si="35"/>
        <v>0</v>
      </c>
      <c r="AG59" s="66">
        <f t="shared" si="36"/>
        <v>0</v>
      </c>
      <c r="AH59" s="66">
        <f t="shared" si="37"/>
        <v>0</v>
      </c>
      <c r="AI59" s="99" t="s">
        <v>450</v>
      </c>
      <c r="AJ59" s="66">
        <f t="shared" si="38"/>
        <v>0</v>
      </c>
      <c r="AK59" s="66">
        <f t="shared" si="39"/>
        <v>0</v>
      </c>
      <c r="AL59" s="66">
        <f t="shared" si="40"/>
        <v>0</v>
      </c>
      <c r="AN59" s="66">
        <v>21</v>
      </c>
      <c r="AO59" s="66">
        <f>H59*0</f>
        <v>0</v>
      </c>
      <c r="AP59" s="66">
        <f>H59*(1-0)</f>
        <v>0</v>
      </c>
      <c r="AQ59" s="111" t="s">
        <v>652</v>
      </c>
      <c r="AV59" s="66">
        <f t="shared" si="41"/>
        <v>0</v>
      </c>
      <c r="AW59" s="66">
        <f t="shared" si="42"/>
        <v>0</v>
      </c>
      <c r="AX59" s="66">
        <f t="shared" si="43"/>
        <v>0</v>
      </c>
      <c r="AY59" s="111" t="s">
        <v>412</v>
      </c>
      <c r="AZ59" s="111" t="s">
        <v>358</v>
      </c>
      <c r="BA59" s="99" t="s">
        <v>498</v>
      </c>
      <c r="BC59" s="66">
        <f t="shared" si="44"/>
        <v>0</v>
      </c>
      <c r="BD59" s="66">
        <f t="shared" si="45"/>
        <v>0</v>
      </c>
      <c r="BE59" s="66">
        <v>0</v>
      </c>
      <c r="BF59" s="66">
        <f t="shared" si="46"/>
        <v>4.404</v>
      </c>
      <c r="BH59" s="66">
        <f t="shared" si="47"/>
        <v>0</v>
      </c>
      <c r="BI59" s="66">
        <f t="shared" si="48"/>
        <v>0</v>
      </c>
      <c r="BJ59" s="66">
        <f t="shared" si="49"/>
        <v>0</v>
      </c>
      <c r="BK59" s="66"/>
      <c r="BL59" s="66">
        <v>762</v>
      </c>
    </row>
    <row r="60" spans="1:64" s="58" customFormat="1" ht="15" customHeight="1">
      <c r="A60" s="64" t="s">
        <v>139</v>
      </c>
      <c r="B60" s="65" t="s">
        <v>450</v>
      </c>
      <c r="C60" s="65" t="s">
        <v>371</v>
      </c>
      <c r="D60" s="174" t="s">
        <v>200</v>
      </c>
      <c r="E60" s="174"/>
      <c r="F60" s="65" t="s">
        <v>538</v>
      </c>
      <c r="G60" s="66">
        <v>207.8</v>
      </c>
      <c r="H60" s="66"/>
      <c r="I60" s="66">
        <f t="shared" si="26"/>
        <v>0</v>
      </c>
      <c r="J60" s="66">
        <f t="shared" si="27"/>
        <v>0</v>
      </c>
      <c r="K60" s="66">
        <f t="shared" si="28"/>
        <v>0</v>
      </c>
      <c r="L60" s="66">
        <v>0.032</v>
      </c>
      <c r="M60" s="66">
        <f t="shared" si="29"/>
        <v>6.6496</v>
      </c>
      <c r="N60" s="69" t="s">
        <v>545</v>
      </c>
      <c r="Z60" s="66">
        <f t="shared" si="30"/>
        <v>0</v>
      </c>
      <c r="AB60" s="66">
        <f t="shared" si="31"/>
        <v>0</v>
      </c>
      <c r="AC60" s="66">
        <f t="shared" si="32"/>
        <v>0</v>
      </c>
      <c r="AD60" s="66">
        <f t="shared" si="33"/>
        <v>0</v>
      </c>
      <c r="AE60" s="66">
        <f t="shared" si="34"/>
        <v>0</v>
      </c>
      <c r="AF60" s="66">
        <f t="shared" si="35"/>
        <v>0</v>
      </c>
      <c r="AG60" s="66">
        <f t="shared" si="36"/>
        <v>0</v>
      </c>
      <c r="AH60" s="66">
        <f t="shared" si="37"/>
        <v>0</v>
      </c>
      <c r="AI60" s="99" t="s">
        <v>450</v>
      </c>
      <c r="AJ60" s="66">
        <f t="shared" si="38"/>
        <v>0</v>
      </c>
      <c r="AK60" s="66">
        <f t="shared" si="39"/>
        <v>0</v>
      </c>
      <c r="AL60" s="66">
        <f t="shared" si="40"/>
        <v>0</v>
      </c>
      <c r="AN60" s="66">
        <v>21</v>
      </c>
      <c r="AO60" s="66">
        <f>H60*0</f>
        <v>0</v>
      </c>
      <c r="AP60" s="66">
        <f>H60*(1-0)</f>
        <v>0</v>
      </c>
      <c r="AQ60" s="111" t="s">
        <v>652</v>
      </c>
      <c r="AV60" s="66">
        <f t="shared" si="41"/>
        <v>0</v>
      </c>
      <c r="AW60" s="66">
        <f t="shared" si="42"/>
        <v>0</v>
      </c>
      <c r="AX60" s="66">
        <f t="shared" si="43"/>
        <v>0</v>
      </c>
      <c r="AY60" s="111" t="s">
        <v>412</v>
      </c>
      <c r="AZ60" s="111" t="s">
        <v>358</v>
      </c>
      <c r="BA60" s="99" t="s">
        <v>498</v>
      </c>
      <c r="BC60" s="66">
        <f t="shared" si="44"/>
        <v>0</v>
      </c>
      <c r="BD60" s="66">
        <f t="shared" si="45"/>
        <v>0</v>
      </c>
      <c r="BE60" s="66">
        <v>0</v>
      </c>
      <c r="BF60" s="66">
        <f t="shared" si="46"/>
        <v>6.6496</v>
      </c>
      <c r="BH60" s="66">
        <f t="shared" si="47"/>
        <v>0</v>
      </c>
      <c r="BI60" s="66">
        <f t="shared" si="48"/>
        <v>0</v>
      </c>
      <c r="BJ60" s="66">
        <f t="shared" si="49"/>
        <v>0</v>
      </c>
      <c r="BK60" s="66"/>
      <c r="BL60" s="66">
        <v>762</v>
      </c>
    </row>
    <row r="61" spans="1:64" s="58" customFormat="1" ht="15" customHeight="1">
      <c r="A61" s="64" t="s">
        <v>722</v>
      </c>
      <c r="B61" s="65" t="s">
        <v>450</v>
      </c>
      <c r="C61" s="65" t="s">
        <v>702</v>
      </c>
      <c r="D61" s="174" t="s">
        <v>247</v>
      </c>
      <c r="E61" s="174"/>
      <c r="F61" s="65" t="s">
        <v>538</v>
      </c>
      <c r="G61" s="66">
        <v>48</v>
      </c>
      <c r="H61" s="66"/>
      <c r="I61" s="66">
        <f t="shared" si="26"/>
        <v>0</v>
      </c>
      <c r="J61" s="66">
        <f t="shared" si="27"/>
        <v>0</v>
      </c>
      <c r="K61" s="66">
        <f t="shared" si="28"/>
        <v>0</v>
      </c>
      <c r="L61" s="66">
        <v>0.004</v>
      </c>
      <c r="M61" s="66">
        <f t="shared" si="29"/>
        <v>0.192</v>
      </c>
      <c r="N61" s="69" t="s">
        <v>545</v>
      </c>
      <c r="Z61" s="66">
        <f t="shared" si="30"/>
        <v>0</v>
      </c>
      <c r="AB61" s="66">
        <f t="shared" si="31"/>
        <v>0</v>
      </c>
      <c r="AC61" s="66">
        <f t="shared" si="32"/>
        <v>0</v>
      </c>
      <c r="AD61" s="66">
        <f t="shared" si="33"/>
        <v>0</v>
      </c>
      <c r="AE61" s="66">
        <f t="shared" si="34"/>
        <v>0</v>
      </c>
      <c r="AF61" s="66">
        <f t="shared" si="35"/>
        <v>0</v>
      </c>
      <c r="AG61" s="66">
        <f t="shared" si="36"/>
        <v>0</v>
      </c>
      <c r="AH61" s="66">
        <f t="shared" si="37"/>
        <v>0</v>
      </c>
      <c r="AI61" s="99" t="s">
        <v>450</v>
      </c>
      <c r="AJ61" s="66">
        <f t="shared" si="38"/>
        <v>0</v>
      </c>
      <c r="AK61" s="66">
        <f t="shared" si="39"/>
        <v>0</v>
      </c>
      <c r="AL61" s="66">
        <f t="shared" si="40"/>
        <v>0</v>
      </c>
      <c r="AN61" s="66">
        <v>21</v>
      </c>
      <c r="AO61" s="66">
        <f>H61*0</f>
        <v>0</v>
      </c>
      <c r="AP61" s="66">
        <f>H61*(1-0)</f>
        <v>0</v>
      </c>
      <c r="AQ61" s="111" t="s">
        <v>652</v>
      </c>
      <c r="AV61" s="66">
        <f t="shared" si="41"/>
        <v>0</v>
      </c>
      <c r="AW61" s="66">
        <f t="shared" si="42"/>
        <v>0</v>
      </c>
      <c r="AX61" s="66">
        <f t="shared" si="43"/>
        <v>0</v>
      </c>
      <c r="AY61" s="111" t="s">
        <v>412</v>
      </c>
      <c r="AZ61" s="111" t="s">
        <v>358</v>
      </c>
      <c r="BA61" s="99" t="s">
        <v>498</v>
      </c>
      <c r="BC61" s="66">
        <f t="shared" si="44"/>
        <v>0</v>
      </c>
      <c r="BD61" s="66">
        <f t="shared" si="45"/>
        <v>0</v>
      </c>
      <c r="BE61" s="66">
        <v>0</v>
      </c>
      <c r="BF61" s="66">
        <f t="shared" si="46"/>
        <v>0.192</v>
      </c>
      <c r="BH61" s="66">
        <f t="shared" si="47"/>
        <v>0</v>
      </c>
      <c r="BI61" s="66">
        <f t="shared" si="48"/>
        <v>0</v>
      </c>
      <c r="BJ61" s="66">
        <f t="shared" si="49"/>
        <v>0</v>
      </c>
      <c r="BK61" s="66"/>
      <c r="BL61" s="66">
        <v>762</v>
      </c>
    </row>
    <row r="62" spans="1:64" s="58" customFormat="1" ht="15" customHeight="1">
      <c r="A62" s="64" t="s">
        <v>571</v>
      </c>
      <c r="B62" s="65" t="s">
        <v>450</v>
      </c>
      <c r="C62" s="65" t="s">
        <v>34</v>
      </c>
      <c r="D62" s="174" t="s">
        <v>97</v>
      </c>
      <c r="E62" s="174"/>
      <c r="F62" s="65" t="s">
        <v>635</v>
      </c>
      <c r="G62" s="66">
        <v>319.76375</v>
      </c>
      <c r="H62" s="66"/>
      <c r="I62" s="66">
        <f t="shared" si="26"/>
        <v>0</v>
      </c>
      <c r="J62" s="66">
        <f t="shared" si="27"/>
        <v>0</v>
      </c>
      <c r="K62" s="66">
        <f t="shared" si="28"/>
        <v>0</v>
      </c>
      <c r="L62" s="66">
        <v>0.015</v>
      </c>
      <c r="M62" s="66">
        <f t="shared" si="29"/>
        <v>4.79645625</v>
      </c>
      <c r="N62" s="69" t="s">
        <v>545</v>
      </c>
      <c r="Z62" s="66">
        <f t="shared" si="30"/>
        <v>0</v>
      </c>
      <c r="AB62" s="66">
        <f t="shared" si="31"/>
        <v>0</v>
      </c>
      <c r="AC62" s="66">
        <f t="shared" si="32"/>
        <v>0</v>
      </c>
      <c r="AD62" s="66">
        <f t="shared" si="33"/>
        <v>0</v>
      </c>
      <c r="AE62" s="66">
        <f t="shared" si="34"/>
        <v>0</v>
      </c>
      <c r="AF62" s="66">
        <f t="shared" si="35"/>
        <v>0</v>
      </c>
      <c r="AG62" s="66">
        <f t="shared" si="36"/>
        <v>0</v>
      </c>
      <c r="AH62" s="66">
        <f t="shared" si="37"/>
        <v>0</v>
      </c>
      <c r="AI62" s="99" t="s">
        <v>450</v>
      </c>
      <c r="AJ62" s="66">
        <f t="shared" si="38"/>
        <v>0</v>
      </c>
      <c r="AK62" s="66">
        <f t="shared" si="39"/>
        <v>0</v>
      </c>
      <c r="AL62" s="66">
        <f t="shared" si="40"/>
        <v>0</v>
      </c>
      <c r="AN62" s="66">
        <v>21</v>
      </c>
      <c r="AO62" s="66">
        <f>H62*0</f>
        <v>0</v>
      </c>
      <c r="AP62" s="66">
        <f>H62*(1-0)</f>
        <v>0</v>
      </c>
      <c r="AQ62" s="111" t="s">
        <v>652</v>
      </c>
      <c r="AV62" s="66">
        <f t="shared" si="41"/>
        <v>0</v>
      </c>
      <c r="AW62" s="66">
        <f t="shared" si="42"/>
        <v>0</v>
      </c>
      <c r="AX62" s="66">
        <f t="shared" si="43"/>
        <v>0</v>
      </c>
      <c r="AY62" s="111" t="s">
        <v>412</v>
      </c>
      <c r="AZ62" s="111" t="s">
        <v>358</v>
      </c>
      <c r="BA62" s="99" t="s">
        <v>498</v>
      </c>
      <c r="BC62" s="66">
        <f t="shared" si="44"/>
        <v>0</v>
      </c>
      <c r="BD62" s="66">
        <f t="shared" si="45"/>
        <v>0</v>
      </c>
      <c r="BE62" s="66">
        <v>0</v>
      </c>
      <c r="BF62" s="66">
        <f t="shared" si="46"/>
        <v>4.79645625</v>
      </c>
      <c r="BH62" s="66">
        <f t="shared" si="47"/>
        <v>0</v>
      </c>
      <c r="BI62" s="66">
        <f t="shared" si="48"/>
        <v>0</v>
      </c>
      <c r="BJ62" s="66">
        <f t="shared" si="49"/>
        <v>0</v>
      </c>
      <c r="BK62" s="66"/>
      <c r="BL62" s="66">
        <v>762</v>
      </c>
    </row>
    <row r="63" spans="1:64" s="58" customFormat="1" ht="15" customHeight="1">
      <c r="A63" s="64" t="s">
        <v>384</v>
      </c>
      <c r="B63" s="65" t="s">
        <v>450</v>
      </c>
      <c r="C63" s="65" t="s">
        <v>601</v>
      </c>
      <c r="D63" s="174" t="s">
        <v>259</v>
      </c>
      <c r="E63" s="174"/>
      <c r="F63" s="65" t="s">
        <v>635</v>
      </c>
      <c r="G63" s="66">
        <v>494.4</v>
      </c>
      <c r="H63" s="66"/>
      <c r="I63" s="66">
        <f t="shared" si="26"/>
        <v>0</v>
      </c>
      <c r="J63" s="66">
        <f t="shared" si="27"/>
        <v>0</v>
      </c>
      <c r="K63" s="66">
        <f t="shared" si="28"/>
        <v>0</v>
      </c>
      <c r="L63" s="66">
        <v>0.04016</v>
      </c>
      <c r="M63" s="66">
        <f t="shared" si="29"/>
        <v>19.855104</v>
      </c>
      <c r="N63" s="69" t="s">
        <v>545</v>
      </c>
      <c r="Z63" s="66">
        <f t="shared" si="30"/>
        <v>0</v>
      </c>
      <c r="AB63" s="66">
        <f t="shared" si="31"/>
        <v>0</v>
      </c>
      <c r="AC63" s="66">
        <f t="shared" si="32"/>
        <v>0</v>
      </c>
      <c r="AD63" s="66">
        <f t="shared" si="33"/>
        <v>0</v>
      </c>
      <c r="AE63" s="66">
        <f t="shared" si="34"/>
        <v>0</v>
      </c>
      <c r="AF63" s="66">
        <f t="shared" si="35"/>
        <v>0</v>
      </c>
      <c r="AG63" s="66">
        <f t="shared" si="36"/>
        <v>0</v>
      </c>
      <c r="AH63" s="66">
        <f t="shared" si="37"/>
        <v>0</v>
      </c>
      <c r="AI63" s="99" t="s">
        <v>450</v>
      </c>
      <c r="AJ63" s="66">
        <f t="shared" si="38"/>
        <v>0</v>
      </c>
      <c r="AK63" s="66">
        <f t="shared" si="39"/>
        <v>0</v>
      </c>
      <c r="AL63" s="66">
        <f t="shared" si="40"/>
        <v>0</v>
      </c>
      <c r="AN63" s="66">
        <v>21</v>
      </c>
      <c r="AO63" s="66">
        <f>H63*0.0331009207140869</f>
        <v>0</v>
      </c>
      <c r="AP63" s="66">
        <f>H63*(1-0.0331009207140869)</f>
        <v>0</v>
      </c>
      <c r="AQ63" s="111" t="s">
        <v>652</v>
      </c>
      <c r="AV63" s="66">
        <f t="shared" si="41"/>
        <v>0</v>
      </c>
      <c r="AW63" s="66">
        <f t="shared" si="42"/>
        <v>0</v>
      </c>
      <c r="AX63" s="66">
        <f t="shared" si="43"/>
        <v>0</v>
      </c>
      <c r="AY63" s="111" t="s">
        <v>412</v>
      </c>
      <c r="AZ63" s="111" t="s">
        <v>358</v>
      </c>
      <c r="BA63" s="99" t="s">
        <v>498</v>
      </c>
      <c r="BC63" s="66">
        <f t="shared" si="44"/>
        <v>0</v>
      </c>
      <c r="BD63" s="66">
        <f t="shared" si="45"/>
        <v>0</v>
      </c>
      <c r="BE63" s="66">
        <v>0</v>
      </c>
      <c r="BF63" s="66">
        <f t="shared" si="46"/>
        <v>19.855104</v>
      </c>
      <c r="BH63" s="66">
        <f t="shared" si="47"/>
        <v>0</v>
      </c>
      <c r="BI63" s="66">
        <f t="shared" si="48"/>
        <v>0</v>
      </c>
      <c r="BJ63" s="66">
        <f t="shared" si="49"/>
        <v>0</v>
      </c>
      <c r="BK63" s="66"/>
      <c r="BL63" s="66">
        <v>762</v>
      </c>
    </row>
    <row r="64" spans="1:64" s="58" customFormat="1" ht="15" customHeight="1">
      <c r="A64" s="64" t="s">
        <v>633</v>
      </c>
      <c r="B64" s="65" t="s">
        <v>450</v>
      </c>
      <c r="C64" s="65" t="s">
        <v>577</v>
      </c>
      <c r="D64" s="174" t="s">
        <v>2</v>
      </c>
      <c r="E64" s="174"/>
      <c r="F64" s="65" t="s">
        <v>635</v>
      </c>
      <c r="G64" s="66">
        <v>494.4</v>
      </c>
      <c r="H64" s="66"/>
      <c r="I64" s="66">
        <f t="shared" si="26"/>
        <v>0</v>
      </c>
      <c r="J64" s="66">
        <f t="shared" si="27"/>
        <v>0</v>
      </c>
      <c r="K64" s="66">
        <f t="shared" si="28"/>
        <v>0</v>
      </c>
      <c r="L64" s="66">
        <v>0.014</v>
      </c>
      <c r="M64" s="66">
        <f t="shared" si="29"/>
        <v>6.9216</v>
      </c>
      <c r="N64" s="69" t="s">
        <v>545</v>
      </c>
      <c r="Z64" s="66">
        <f t="shared" si="30"/>
        <v>0</v>
      </c>
      <c r="AB64" s="66">
        <f t="shared" si="31"/>
        <v>0</v>
      </c>
      <c r="AC64" s="66">
        <f t="shared" si="32"/>
        <v>0</v>
      </c>
      <c r="AD64" s="66">
        <f t="shared" si="33"/>
        <v>0</v>
      </c>
      <c r="AE64" s="66">
        <f t="shared" si="34"/>
        <v>0</v>
      </c>
      <c r="AF64" s="66">
        <f t="shared" si="35"/>
        <v>0</v>
      </c>
      <c r="AG64" s="66">
        <f t="shared" si="36"/>
        <v>0</v>
      </c>
      <c r="AH64" s="66">
        <f t="shared" si="37"/>
        <v>0</v>
      </c>
      <c r="AI64" s="99" t="s">
        <v>450</v>
      </c>
      <c r="AJ64" s="66">
        <f t="shared" si="38"/>
        <v>0</v>
      </c>
      <c r="AK64" s="66">
        <f t="shared" si="39"/>
        <v>0</v>
      </c>
      <c r="AL64" s="66">
        <f t="shared" si="40"/>
        <v>0</v>
      </c>
      <c r="AN64" s="66">
        <v>21</v>
      </c>
      <c r="AO64" s="66">
        <f>H64*0</f>
        <v>0</v>
      </c>
      <c r="AP64" s="66">
        <f>H64*(1-0)</f>
        <v>0</v>
      </c>
      <c r="AQ64" s="111" t="s">
        <v>652</v>
      </c>
      <c r="AV64" s="66">
        <f t="shared" si="41"/>
        <v>0</v>
      </c>
      <c r="AW64" s="66">
        <f t="shared" si="42"/>
        <v>0</v>
      </c>
      <c r="AX64" s="66">
        <f t="shared" si="43"/>
        <v>0</v>
      </c>
      <c r="AY64" s="111" t="s">
        <v>412</v>
      </c>
      <c r="AZ64" s="111" t="s">
        <v>358</v>
      </c>
      <c r="BA64" s="99" t="s">
        <v>498</v>
      </c>
      <c r="BC64" s="66">
        <f t="shared" si="44"/>
        <v>0</v>
      </c>
      <c r="BD64" s="66">
        <f t="shared" si="45"/>
        <v>0</v>
      </c>
      <c r="BE64" s="66">
        <v>0</v>
      </c>
      <c r="BF64" s="66">
        <f t="shared" si="46"/>
        <v>6.9216</v>
      </c>
      <c r="BH64" s="66">
        <f t="shared" si="47"/>
        <v>0</v>
      </c>
      <c r="BI64" s="66">
        <f t="shared" si="48"/>
        <v>0</v>
      </c>
      <c r="BJ64" s="66">
        <f t="shared" si="49"/>
        <v>0</v>
      </c>
      <c r="BK64" s="66"/>
      <c r="BL64" s="66">
        <v>762</v>
      </c>
    </row>
    <row r="65" spans="1:64" s="58" customFormat="1" ht="15" customHeight="1">
      <c r="A65" s="64" t="s">
        <v>397</v>
      </c>
      <c r="B65" s="65" t="s">
        <v>450</v>
      </c>
      <c r="C65" s="65" t="s">
        <v>726</v>
      </c>
      <c r="D65" s="174" t="s">
        <v>609</v>
      </c>
      <c r="E65" s="174"/>
      <c r="F65" s="65" t="s">
        <v>635</v>
      </c>
      <c r="G65" s="66">
        <v>51.2</v>
      </c>
      <c r="H65" s="66"/>
      <c r="I65" s="66">
        <f t="shared" si="26"/>
        <v>0</v>
      </c>
      <c r="J65" s="66">
        <f t="shared" si="27"/>
        <v>0</v>
      </c>
      <c r="K65" s="66">
        <f t="shared" si="28"/>
        <v>0</v>
      </c>
      <c r="L65" s="66">
        <v>0.035</v>
      </c>
      <c r="M65" s="66">
        <f t="shared" si="29"/>
        <v>1.7920000000000003</v>
      </c>
      <c r="N65" s="69" t="s">
        <v>545</v>
      </c>
      <c r="Z65" s="66">
        <f t="shared" si="30"/>
        <v>0</v>
      </c>
      <c r="AB65" s="66">
        <f t="shared" si="31"/>
        <v>0</v>
      </c>
      <c r="AC65" s="66">
        <f t="shared" si="32"/>
        <v>0</v>
      </c>
      <c r="AD65" s="66">
        <f t="shared" si="33"/>
        <v>0</v>
      </c>
      <c r="AE65" s="66">
        <f t="shared" si="34"/>
        <v>0</v>
      </c>
      <c r="AF65" s="66">
        <f t="shared" si="35"/>
        <v>0</v>
      </c>
      <c r="AG65" s="66">
        <f t="shared" si="36"/>
        <v>0</v>
      </c>
      <c r="AH65" s="66">
        <f t="shared" si="37"/>
        <v>0</v>
      </c>
      <c r="AI65" s="99" t="s">
        <v>450</v>
      </c>
      <c r="AJ65" s="66">
        <f t="shared" si="38"/>
        <v>0</v>
      </c>
      <c r="AK65" s="66">
        <f t="shared" si="39"/>
        <v>0</v>
      </c>
      <c r="AL65" s="66">
        <f t="shared" si="40"/>
        <v>0</v>
      </c>
      <c r="AN65" s="66">
        <v>21</v>
      </c>
      <c r="AO65" s="66">
        <f>H65*0</f>
        <v>0</v>
      </c>
      <c r="AP65" s="66">
        <f>H65*(1-0)</f>
        <v>0</v>
      </c>
      <c r="AQ65" s="111" t="s">
        <v>652</v>
      </c>
      <c r="AV65" s="66">
        <f t="shared" si="41"/>
        <v>0</v>
      </c>
      <c r="AW65" s="66">
        <f t="shared" si="42"/>
        <v>0</v>
      </c>
      <c r="AX65" s="66">
        <f t="shared" si="43"/>
        <v>0</v>
      </c>
      <c r="AY65" s="111" t="s">
        <v>412</v>
      </c>
      <c r="AZ65" s="111" t="s">
        <v>358</v>
      </c>
      <c r="BA65" s="99" t="s">
        <v>498</v>
      </c>
      <c r="BC65" s="66">
        <f t="shared" si="44"/>
        <v>0</v>
      </c>
      <c r="BD65" s="66">
        <f t="shared" si="45"/>
        <v>0</v>
      </c>
      <c r="BE65" s="66">
        <v>0</v>
      </c>
      <c r="BF65" s="66">
        <f t="shared" si="46"/>
        <v>1.7920000000000003</v>
      </c>
      <c r="BH65" s="66">
        <f t="shared" si="47"/>
        <v>0</v>
      </c>
      <c r="BI65" s="66">
        <f t="shared" si="48"/>
        <v>0</v>
      </c>
      <c r="BJ65" s="66">
        <f t="shared" si="49"/>
        <v>0</v>
      </c>
      <c r="BK65" s="66"/>
      <c r="BL65" s="66">
        <v>762</v>
      </c>
    </row>
    <row r="66" spans="1:47" s="58" customFormat="1" ht="15" customHeight="1">
      <c r="A66" s="95" t="s">
        <v>450</v>
      </c>
      <c r="B66" s="96" t="s">
        <v>450</v>
      </c>
      <c r="C66" s="96" t="s">
        <v>47</v>
      </c>
      <c r="D66" s="173" t="s">
        <v>96</v>
      </c>
      <c r="E66" s="173"/>
      <c r="F66" s="97" t="s">
        <v>595</v>
      </c>
      <c r="G66" s="97" t="s">
        <v>595</v>
      </c>
      <c r="H66" s="97"/>
      <c r="I66" s="98">
        <f>SUM(I67:I78)</f>
        <v>0</v>
      </c>
      <c r="J66" s="98">
        <f>SUM(J67:J78)</f>
        <v>0</v>
      </c>
      <c r="K66" s="98">
        <f>SUM(K67:K78)</f>
        <v>0</v>
      </c>
      <c r="L66" s="99" t="s">
        <v>450</v>
      </c>
      <c r="M66" s="98">
        <f>SUM(M67:M78)</f>
        <v>1.51750468</v>
      </c>
      <c r="N66" s="100" t="s">
        <v>450</v>
      </c>
      <c r="AI66" s="99" t="s">
        <v>450</v>
      </c>
      <c r="AS66" s="98">
        <f>SUM(AJ67:AJ78)</f>
        <v>0</v>
      </c>
      <c r="AT66" s="98">
        <f>SUM(AK67:AK78)</f>
        <v>0</v>
      </c>
      <c r="AU66" s="98">
        <f>SUM(AL67:AL78)</f>
        <v>0</v>
      </c>
    </row>
    <row r="67" spans="1:64" s="58" customFormat="1" ht="15" customHeight="1">
      <c r="A67" s="64" t="s">
        <v>424</v>
      </c>
      <c r="B67" s="65" t="s">
        <v>450</v>
      </c>
      <c r="C67" s="65" t="s">
        <v>334</v>
      </c>
      <c r="D67" s="174" t="s">
        <v>677</v>
      </c>
      <c r="E67" s="174"/>
      <c r="F67" s="65" t="s">
        <v>538</v>
      </c>
      <c r="G67" s="66">
        <v>72.8</v>
      </c>
      <c r="H67" s="66"/>
      <c r="I67" s="66">
        <f aca="true" t="shared" si="50" ref="I67:I78">G67*AO67</f>
        <v>0</v>
      </c>
      <c r="J67" s="66">
        <f aca="true" t="shared" si="51" ref="J67:J78">G67*AP67</f>
        <v>0</v>
      </c>
      <c r="K67" s="66">
        <f aca="true" t="shared" si="52" ref="K67:K78">G67*H67</f>
        <v>0</v>
      </c>
      <c r="L67" s="66">
        <v>0.00135</v>
      </c>
      <c r="M67" s="66">
        <f aca="true" t="shared" si="53" ref="M67:M78">G67*L67</f>
        <v>0.09828</v>
      </c>
      <c r="N67" s="69" t="s">
        <v>545</v>
      </c>
      <c r="Z67" s="66">
        <f aca="true" t="shared" si="54" ref="Z67:Z78">IF(AQ67="5",BJ67,0)</f>
        <v>0</v>
      </c>
      <c r="AB67" s="66">
        <f aca="true" t="shared" si="55" ref="AB67:AB78">IF(AQ67="1",BH67,0)</f>
        <v>0</v>
      </c>
      <c r="AC67" s="66">
        <f aca="true" t="shared" si="56" ref="AC67:AC78">IF(AQ67="1",BI67,0)</f>
        <v>0</v>
      </c>
      <c r="AD67" s="66">
        <f aca="true" t="shared" si="57" ref="AD67:AD78">IF(AQ67="7",BH67,0)</f>
        <v>0</v>
      </c>
      <c r="AE67" s="66">
        <f aca="true" t="shared" si="58" ref="AE67:AE78">IF(AQ67="7",BI67,0)</f>
        <v>0</v>
      </c>
      <c r="AF67" s="66">
        <f aca="true" t="shared" si="59" ref="AF67:AF78">IF(AQ67="2",BH67,0)</f>
        <v>0</v>
      </c>
      <c r="AG67" s="66">
        <f aca="true" t="shared" si="60" ref="AG67:AG78">IF(AQ67="2",BI67,0)</f>
        <v>0</v>
      </c>
      <c r="AH67" s="66">
        <f aca="true" t="shared" si="61" ref="AH67:AH78">IF(AQ67="0",BJ67,0)</f>
        <v>0</v>
      </c>
      <c r="AI67" s="99" t="s">
        <v>450</v>
      </c>
      <c r="AJ67" s="66">
        <f aca="true" t="shared" si="62" ref="AJ67:AJ78">IF(AN67=0,K67,0)</f>
        <v>0</v>
      </c>
      <c r="AK67" s="66">
        <f aca="true" t="shared" si="63" ref="AK67:AK78">IF(AN67=15,K67,0)</f>
        <v>0</v>
      </c>
      <c r="AL67" s="66">
        <f aca="true" t="shared" si="64" ref="AL67:AL78">IF(AN67=21,K67,0)</f>
        <v>0</v>
      </c>
      <c r="AN67" s="66">
        <v>21</v>
      </c>
      <c r="AO67" s="66">
        <f aca="true" t="shared" si="65" ref="AO67:AO77">H67*0</f>
        <v>0</v>
      </c>
      <c r="AP67" s="66">
        <f aca="true" t="shared" si="66" ref="AP67:AP77">H67*(1-0)</f>
        <v>0</v>
      </c>
      <c r="AQ67" s="111" t="s">
        <v>652</v>
      </c>
      <c r="AV67" s="66">
        <f aca="true" t="shared" si="67" ref="AV67:AV78">AW67+AX67</f>
        <v>0</v>
      </c>
      <c r="AW67" s="66">
        <f aca="true" t="shared" si="68" ref="AW67:AW78">G67*AO67</f>
        <v>0</v>
      </c>
      <c r="AX67" s="66">
        <f aca="true" t="shared" si="69" ref="AX67:AX78">G67*AP67</f>
        <v>0</v>
      </c>
      <c r="AY67" s="111" t="s">
        <v>528</v>
      </c>
      <c r="AZ67" s="111" t="s">
        <v>358</v>
      </c>
      <c r="BA67" s="99" t="s">
        <v>498</v>
      </c>
      <c r="BC67" s="66">
        <f aca="true" t="shared" si="70" ref="BC67:BC78">AW67+AX67</f>
        <v>0</v>
      </c>
      <c r="BD67" s="66">
        <f aca="true" t="shared" si="71" ref="BD67:BD78">H67/(100-BE67)*100</f>
        <v>0</v>
      </c>
      <c r="BE67" s="66">
        <v>0</v>
      </c>
      <c r="BF67" s="66">
        <f aca="true" t="shared" si="72" ref="BF67:BF78">M67</f>
        <v>0.09828</v>
      </c>
      <c r="BH67" s="66">
        <f aca="true" t="shared" si="73" ref="BH67:BH78">G67*AO67</f>
        <v>0</v>
      </c>
      <c r="BI67" s="66">
        <f aca="true" t="shared" si="74" ref="BI67:BI78">G67*AP67</f>
        <v>0</v>
      </c>
      <c r="BJ67" s="66">
        <f aca="true" t="shared" si="75" ref="BJ67:BJ78">G67*H67</f>
        <v>0</v>
      </c>
      <c r="BK67" s="66"/>
      <c r="BL67" s="66">
        <v>764</v>
      </c>
    </row>
    <row r="68" spans="1:64" s="58" customFormat="1" ht="15" customHeight="1">
      <c r="A68" s="64" t="s">
        <v>229</v>
      </c>
      <c r="B68" s="65" t="s">
        <v>450</v>
      </c>
      <c r="C68" s="65" t="s">
        <v>343</v>
      </c>
      <c r="D68" s="174" t="s">
        <v>253</v>
      </c>
      <c r="E68" s="174"/>
      <c r="F68" s="65" t="s">
        <v>538</v>
      </c>
      <c r="G68" s="66">
        <v>15.2</v>
      </c>
      <c r="H68" s="66"/>
      <c r="I68" s="66">
        <f t="shared" si="50"/>
        <v>0</v>
      </c>
      <c r="J68" s="66">
        <f t="shared" si="51"/>
        <v>0</v>
      </c>
      <c r="K68" s="66">
        <f t="shared" si="52"/>
        <v>0</v>
      </c>
      <c r="L68" s="66">
        <v>0.00522</v>
      </c>
      <c r="M68" s="66">
        <f t="shared" si="53"/>
        <v>0.079344</v>
      </c>
      <c r="N68" s="69" t="s">
        <v>545</v>
      </c>
      <c r="Z68" s="66">
        <f t="shared" si="54"/>
        <v>0</v>
      </c>
      <c r="AB68" s="66">
        <f t="shared" si="55"/>
        <v>0</v>
      </c>
      <c r="AC68" s="66">
        <f t="shared" si="56"/>
        <v>0</v>
      </c>
      <c r="AD68" s="66">
        <f t="shared" si="57"/>
        <v>0</v>
      </c>
      <c r="AE68" s="66">
        <f t="shared" si="58"/>
        <v>0</v>
      </c>
      <c r="AF68" s="66">
        <f t="shared" si="59"/>
        <v>0</v>
      </c>
      <c r="AG68" s="66">
        <f t="shared" si="60"/>
        <v>0</v>
      </c>
      <c r="AH68" s="66">
        <f t="shared" si="61"/>
        <v>0</v>
      </c>
      <c r="AI68" s="99" t="s">
        <v>450</v>
      </c>
      <c r="AJ68" s="66">
        <f t="shared" si="62"/>
        <v>0</v>
      </c>
      <c r="AK68" s="66">
        <f t="shared" si="63"/>
        <v>0</v>
      </c>
      <c r="AL68" s="66">
        <f t="shared" si="64"/>
        <v>0</v>
      </c>
      <c r="AN68" s="66">
        <v>21</v>
      </c>
      <c r="AO68" s="66">
        <f t="shared" si="65"/>
        <v>0</v>
      </c>
      <c r="AP68" s="66">
        <f t="shared" si="66"/>
        <v>0</v>
      </c>
      <c r="AQ68" s="111" t="s">
        <v>652</v>
      </c>
      <c r="AV68" s="66">
        <f t="shared" si="67"/>
        <v>0</v>
      </c>
      <c r="AW68" s="66">
        <f t="shared" si="68"/>
        <v>0</v>
      </c>
      <c r="AX68" s="66">
        <f t="shared" si="69"/>
        <v>0</v>
      </c>
      <c r="AY68" s="111" t="s">
        <v>528</v>
      </c>
      <c r="AZ68" s="111" t="s">
        <v>358</v>
      </c>
      <c r="BA68" s="99" t="s">
        <v>498</v>
      </c>
      <c r="BC68" s="66">
        <f t="shared" si="70"/>
        <v>0</v>
      </c>
      <c r="BD68" s="66">
        <f t="shared" si="71"/>
        <v>0</v>
      </c>
      <c r="BE68" s="66">
        <v>0</v>
      </c>
      <c r="BF68" s="66">
        <f t="shared" si="72"/>
        <v>0.079344</v>
      </c>
      <c r="BH68" s="66">
        <f t="shared" si="73"/>
        <v>0</v>
      </c>
      <c r="BI68" s="66">
        <f t="shared" si="74"/>
        <v>0</v>
      </c>
      <c r="BJ68" s="66">
        <f t="shared" si="75"/>
        <v>0</v>
      </c>
      <c r="BK68" s="66"/>
      <c r="BL68" s="66">
        <v>764</v>
      </c>
    </row>
    <row r="69" spans="1:64" s="58" customFormat="1" ht="15" customHeight="1">
      <c r="A69" s="64" t="s">
        <v>637</v>
      </c>
      <c r="B69" s="65" t="s">
        <v>450</v>
      </c>
      <c r="C69" s="65" t="s">
        <v>404</v>
      </c>
      <c r="D69" s="174" t="s">
        <v>162</v>
      </c>
      <c r="E69" s="174"/>
      <c r="F69" s="65" t="s">
        <v>538</v>
      </c>
      <c r="G69" s="66">
        <v>62.6</v>
      </c>
      <c r="H69" s="66"/>
      <c r="I69" s="66">
        <f t="shared" si="50"/>
        <v>0</v>
      </c>
      <c r="J69" s="66">
        <f t="shared" si="51"/>
        <v>0</v>
      </c>
      <c r="K69" s="66">
        <f t="shared" si="52"/>
        <v>0</v>
      </c>
      <c r="L69" s="66">
        <v>0.00474</v>
      </c>
      <c r="M69" s="66">
        <f t="shared" si="53"/>
        <v>0.29672400000000004</v>
      </c>
      <c r="N69" s="69" t="s">
        <v>545</v>
      </c>
      <c r="Z69" s="66">
        <f t="shared" si="54"/>
        <v>0</v>
      </c>
      <c r="AB69" s="66">
        <f t="shared" si="55"/>
        <v>0</v>
      </c>
      <c r="AC69" s="66">
        <f t="shared" si="56"/>
        <v>0</v>
      </c>
      <c r="AD69" s="66">
        <f t="shared" si="57"/>
        <v>0</v>
      </c>
      <c r="AE69" s="66">
        <f t="shared" si="58"/>
        <v>0</v>
      </c>
      <c r="AF69" s="66">
        <f t="shared" si="59"/>
        <v>0</v>
      </c>
      <c r="AG69" s="66">
        <f t="shared" si="60"/>
        <v>0</v>
      </c>
      <c r="AH69" s="66">
        <f t="shared" si="61"/>
        <v>0</v>
      </c>
      <c r="AI69" s="99" t="s">
        <v>450</v>
      </c>
      <c r="AJ69" s="66">
        <f t="shared" si="62"/>
        <v>0</v>
      </c>
      <c r="AK69" s="66">
        <f t="shared" si="63"/>
        <v>0</v>
      </c>
      <c r="AL69" s="66">
        <f t="shared" si="64"/>
        <v>0</v>
      </c>
      <c r="AN69" s="66">
        <v>21</v>
      </c>
      <c r="AO69" s="66">
        <f t="shared" si="65"/>
        <v>0</v>
      </c>
      <c r="AP69" s="66">
        <f t="shared" si="66"/>
        <v>0</v>
      </c>
      <c r="AQ69" s="111" t="s">
        <v>652</v>
      </c>
      <c r="AV69" s="66">
        <f t="shared" si="67"/>
        <v>0</v>
      </c>
      <c r="AW69" s="66">
        <f t="shared" si="68"/>
        <v>0</v>
      </c>
      <c r="AX69" s="66">
        <f t="shared" si="69"/>
        <v>0</v>
      </c>
      <c r="AY69" s="111" t="s">
        <v>528</v>
      </c>
      <c r="AZ69" s="111" t="s">
        <v>358</v>
      </c>
      <c r="BA69" s="99" t="s">
        <v>498</v>
      </c>
      <c r="BC69" s="66">
        <f t="shared" si="70"/>
        <v>0</v>
      </c>
      <c r="BD69" s="66">
        <f t="shared" si="71"/>
        <v>0</v>
      </c>
      <c r="BE69" s="66">
        <v>0</v>
      </c>
      <c r="BF69" s="66">
        <f t="shared" si="72"/>
        <v>0.29672400000000004</v>
      </c>
      <c r="BH69" s="66">
        <f t="shared" si="73"/>
        <v>0</v>
      </c>
      <c r="BI69" s="66">
        <f t="shared" si="74"/>
        <v>0</v>
      </c>
      <c r="BJ69" s="66">
        <f t="shared" si="75"/>
        <v>0</v>
      </c>
      <c r="BK69" s="66"/>
      <c r="BL69" s="66">
        <v>764</v>
      </c>
    </row>
    <row r="70" spans="1:64" s="58" customFormat="1" ht="15" customHeight="1">
      <c r="A70" s="64" t="s">
        <v>119</v>
      </c>
      <c r="B70" s="65" t="s">
        <v>450</v>
      </c>
      <c r="C70" s="65" t="s">
        <v>461</v>
      </c>
      <c r="D70" s="174" t="s">
        <v>223</v>
      </c>
      <c r="E70" s="174"/>
      <c r="F70" s="65" t="s">
        <v>157</v>
      </c>
      <c r="G70" s="66">
        <v>4</v>
      </c>
      <c r="H70" s="66"/>
      <c r="I70" s="66">
        <f t="shared" si="50"/>
        <v>0</v>
      </c>
      <c r="J70" s="66">
        <f t="shared" si="51"/>
        <v>0</v>
      </c>
      <c r="K70" s="66">
        <f t="shared" si="52"/>
        <v>0</v>
      </c>
      <c r="L70" s="66">
        <v>0.02008</v>
      </c>
      <c r="M70" s="66">
        <f t="shared" si="53"/>
        <v>0.08032</v>
      </c>
      <c r="N70" s="69" t="s">
        <v>545</v>
      </c>
      <c r="Z70" s="66">
        <f t="shared" si="54"/>
        <v>0</v>
      </c>
      <c r="AB70" s="66">
        <f t="shared" si="55"/>
        <v>0</v>
      </c>
      <c r="AC70" s="66">
        <f t="shared" si="56"/>
        <v>0</v>
      </c>
      <c r="AD70" s="66">
        <f t="shared" si="57"/>
        <v>0</v>
      </c>
      <c r="AE70" s="66">
        <f t="shared" si="58"/>
        <v>0</v>
      </c>
      <c r="AF70" s="66">
        <f t="shared" si="59"/>
        <v>0</v>
      </c>
      <c r="AG70" s="66">
        <f t="shared" si="60"/>
        <v>0</v>
      </c>
      <c r="AH70" s="66">
        <f t="shared" si="61"/>
        <v>0</v>
      </c>
      <c r="AI70" s="99" t="s">
        <v>450</v>
      </c>
      <c r="AJ70" s="66">
        <f t="shared" si="62"/>
        <v>0</v>
      </c>
      <c r="AK70" s="66">
        <f t="shared" si="63"/>
        <v>0</v>
      </c>
      <c r="AL70" s="66">
        <f t="shared" si="64"/>
        <v>0</v>
      </c>
      <c r="AN70" s="66">
        <v>21</v>
      </c>
      <c r="AO70" s="66">
        <f t="shared" si="65"/>
        <v>0</v>
      </c>
      <c r="AP70" s="66">
        <f t="shared" si="66"/>
        <v>0</v>
      </c>
      <c r="AQ70" s="111" t="s">
        <v>652</v>
      </c>
      <c r="AV70" s="66">
        <f t="shared" si="67"/>
        <v>0</v>
      </c>
      <c r="AW70" s="66">
        <f t="shared" si="68"/>
        <v>0</v>
      </c>
      <c r="AX70" s="66">
        <f t="shared" si="69"/>
        <v>0</v>
      </c>
      <c r="AY70" s="111" t="s">
        <v>528</v>
      </c>
      <c r="AZ70" s="111" t="s">
        <v>358</v>
      </c>
      <c r="BA70" s="99" t="s">
        <v>498</v>
      </c>
      <c r="BC70" s="66">
        <f t="shared" si="70"/>
        <v>0</v>
      </c>
      <c r="BD70" s="66">
        <f t="shared" si="71"/>
        <v>0</v>
      </c>
      <c r="BE70" s="66">
        <v>0</v>
      </c>
      <c r="BF70" s="66">
        <f t="shared" si="72"/>
        <v>0.08032</v>
      </c>
      <c r="BH70" s="66">
        <f t="shared" si="73"/>
        <v>0</v>
      </c>
      <c r="BI70" s="66">
        <f t="shared" si="74"/>
        <v>0</v>
      </c>
      <c r="BJ70" s="66">
        <f t="shared" si="75"/>
        <v>0</v>
      </c>
      <c r="BK70" s="66"/>
      <c r="BL70" s="66">
        <v>764</v>
      </c>
    </row>
    <row r="71" spans="1:64" s="58" customFormat="1" ht="15" customHeight="1">
      <c r="A71" s="64" t="s">
        <v>214</v>
      </c>
      <c r="B71" s="65" t="s">
        <v>450</v>
      </c>
      <c r="C71" s="65" t="s">
        <v>22</v>
      </c>
      <c r="D71" s="174" t="s">
        <v>736</v>
      </c>
      <c r="E71" s="174"/>
      <c r="F71" s="65" t="s">
        <v>157</v>
      </c>
      <c r="G71" s="66">
        <v>58</v>
      </c>
      <c r="H71" s="66"/>
      <c r="I71" s="66">
        <f t="shared" si="50"/>
        <v>0</v>
      </c>
      <c r="J71" s="66">
        <f t="shared" si="51"/>
        <v>0</v>
      </c>
      <c r="K71" s="66">
        <f t="shared" si="52"/>
        <v>0</v>
      </c>
      <c r="L71" s="66">
        <v>0.00069</v>
      </c>
      <c r="M71" s="66">
        <f t="shared" si="53"/>
        <v>0.04002</v>
      </c>
      <c r="N71" s="69" t="s">
        <v>545</v>
      </c>
      <c r="Z71" s="66">
        <f t="shared" si="54"/>
        <v>0</v>
      </c>
      <c r="AB71" s="66">
        <f t="shared" si="55"/>
        <v>0</v>
      </c>
      <c r="AC71" s="66">
        <f t="shared" si="56"/>
        <v>0</v>
      </c>
      <c r="AD71" s="66">
        <f t="shared" si="57"/>
        <v>0</v>
      </c>
      <c r="AE71" s="66">
        <f t="shared" si="58"/>
        <v>0</v>
      </c>
      <c r="AF71" s="66">
        <f t="shared" si="59"/>
        <v>0</v>
      </c>
      <c r="AG71" s="66">
        <f t="shared" si="60"/>
        <v>0</v>
      </c>
      <c r="AH71" s="66">
        <f t="shared" si="61"/>
        <v>0</v>
      </c>
      <c r="AI71" s="99" t="s">
        <v>450</v>
      </c>
      <c r="AJ71" s="66">
        <f t="shared" si="62"/>
        <v>0</v>
      </c>
      <c r="AK71" s="66">
        <f t="shared" si="63"/>
        <v>0</v>
      </c>
      <c r="AL71" s="66">
        <f t="shared" si="64"/>
        <v>0</v>
      </c>
      <c r="AN71" s="66">
        <v>21</v>
      </c>
      <c r="AO71" s="66">
        <f t="shared" si="65"/>
        <v>0</v>
      </c>
      <c r="AP71" s="66">
        <f t="shared" si="66"/>
        <v>0</v>
      </c>
      <c r="AQ71" s="111" t="s">
        <v>652</v>
      </c>
      <c r="AV71" s="66">
        <f t="shared" si="67"/>
        <v>0</v>
      </c>
      <c r="AW71" s="66">
        <f t="shared" si="68"/>
        <v>0</v>
      </c>
      <c r="AX71" s="66">
        <f t="shared" si="69"/>
        <v>0</v>
      </c>
      <c r="AY71" s="111" t="s">
        <v>528</v>
      </c>
      <c r="AZ71" s="111" t="s">
        <v>358</v>
      </c>
      <c r="BA71" s="99" t="s">
        <v>498</v>
      </c>
      <c r="BC71" s="66">
        <f t="shared" si="70"/>
        <v>0</v>
      </c>
      <c r="BD71" s="66">
        <f t="shared" si="71"/>
        <v>0</v>
      </c>
      <c r="BE71" s="66">
        <v>0</v>
      </c>
      <c r="BF71" s="66">
        <f t="shared" si="72"/>
        <v>0.04002</v>
      </c>
      <c r="BH71" s="66">
        <f t="shared" si="73"/>
        <v>0</v>
      </c>
      <c r="BI71" s="66">
        <f t="shared" si="74"/>
        <v>0</v>
      </c>
      <c r="BJ71" s="66">
        <f t="shared" si="75"/>
        <v>0</v>
      </c>
      <c r="BK71" s="66"/>
      <c r="BL71" s="66">
        <v>764</v>
      </c>
    </row>
    <row r="72" spans="1:64" s="58" customFormat="1" ht="15" customHeight="1">
      <c r="A72" s="64" t="s">
        <v>291</v>
      </c>
      <c r="B72" s="65" t="s">
        <v>450</v>
      </c>
      <c r="C72" s="65" t="s">
        <v>418</v>
      </c>
      <c r="D72" s="174" t="s">
        <v>627</v>
      </c>
      <c r="E72" s="174"/>
      <c r="F72" s="65" t="s">
        <v>538</v>
      </c>
      <c r="G72" s="66">
        <v>64.3</v>
      </c>
      <c r="H72" s="66"/>
      <c r="I72" s="66">
        <f t="shared" si="50"/>
        <v>0</v>
      </c>
      <c r="J72" s="66">
        <f t="shared" si="51"/>
        <v>0</v>
      </c>
      <c r="K72" s="66">
        <f t="shared" si="52"/>
        <v>0</v>
      </c>
      <c r="L72" s="66">
        <v>0.00336</v>
      </c>
      <c r="M72" s="66">
        <f t="shared" si="53"/>
        <v>0.216048</v>
      </c>
      <c r="N72" s="69" t="s">
        <v>545</v>
      </c>
      <c r="Z72" s="66">
        <f t="shared" si="54"/>
        <v>0</v>
      </c>
      <c r="AB72" s="66">
        <f t="shared" si="55"/>
        <v>0</v>
      </c>
      <c r="AC72" s="66">
        <f t="shared" si="56"/>
        <v>0</v>
      </c>
      <c r="AD72" s="66">
        <f t="shared" si="57"/>
        <v>0</v>
      </c>
      <c r="AE72" s="66">
        <f t="shared" si="58"/>
        <v>0</v>
      </c>
      <c r="AF72" s="66">
        <f t="shared" si="59"/>
        <v>0</v>
      </c>
      <c r="AG72" s="66">
        <f t="shared" si="60"/>
        <v>0</v>
      </c>
      <c r="AH72" s="66">
        <f t="shared" si="61"/>
        <v>0</v>
      </c>
      <c r="AI72" s="99" t="s">
        <v>450</v>
      </c>
      <c r="AJ72" s="66">
        <f t="shared" si="62"/>
        <v>0</v>
      </c>
      <c r="AK72" s="66">
        <f t="shared" si="63"/>
        <v>0</v>
      </c>
      <c r="AL72" s="66">
        <f t="shared" si="64"/>
        <v>0</v>
      </c>
      <c r="AN72" s="66">
        <v>21</v>
      </c>
      <c r="AO72" s="66">
        <f t="shared" si="65"/>
        <v>0</v>
      </c>
      <c r="AP72" s="66">
        <f t="shared" si="66"/>
        <v>0</v>
      </c>
      <c r="AQ72" s="111" t="s">
        <v>652</v>
      </c>
      <c r="AV72" s="66">
        <f t="shared" si="67"/>
        <v>0</v>
      </c>
      <c r="AW72" s="66">
        <f t="shared" si="68"/>
        <v>0</v>
      </c>
      <c r="AX72" s="66">
        <f t="shared" si="69"/>
        <v>0</v>
      </c>
      <c r="AY72" s="111" t="s">
        <v>528</v>
      </c>
      <c r="AZ72" s="111" t="s">
        <v>358</v>
      </c>
      <c r="BA72" s="99" t="s">
        <v>498</v>
      </c>
      <c r="BC72" s="66">
        <f t="shared" si="70"/>
        <v>0</v>
      </c>
      <c r="BD72" s="66">
        <f t="shared" si="71"/>
        <v>0</v>
      </c>
      <c r="BE72" s="66">
        <v>0</v>
      </c>
      <c r="BF72" s="66">
        <f t="shared" si="72"/>
        <v>0.216048</v>
      </c>
      <c r="BH72" s="66">
        <f t="shared" si="73"/>
        <v>0</v>
      </c>
      <c r="BI72" s="66">
        <f t="shared" si="74"/>
        <v>0</v>
      </c>
      <c r="BJ72" s="66">
        <f t="shared" si="75"/>
        <v>0</v>
      </c>
      <c r="BK72" s="66"/>
      <c r="BL72" s="66">
        <v>764</v>
      </c>
    </row>
    <row r="73" spans="1:64" s="58" customFormat="1" ht="15" customHeight="1">
      <c r="A73" s="64" t="s">
        <v>228</v>
      </c>
      <c r="B73" s="65" t="s">
        <v>450</v>
      </c>
      <c r="C73" s="65" t="s">
        <v>608</v>
      </c>
      <c r="D73" s="174" t="s">
        <v>212</v>
      </c>
      <c r="E73" s="174"/>
      <c r="F73" s="65" t="s">
        <v>157</v>
      </c>
      <c r="G73" s="66">
        <v>5</v>
      </c>
      <c r="H73" s="66"/>
      <c r="I73" s="66">
        <f t="shared" si="50"/>
        <v>0</v>
      </c>
      <c r="J73" s="66">
        <f t="shared" si="51"/>
        <v>0</v>
      </c>
      <c r="K73" s="66">
        <f t="shared" si="52"/>
        <v>0</v>
      </c>
      <c r="L73" s="66">
        <v>0.00115</v>
      </c>
      <c r="M73" s="66">
        <f t="shared" si="53"/>
        <v>0.00575</v>
      </c>
      <c r="N73" s="69" t="s">
        <v>545</v>
      </c>
      <c r="Z73" s="66">
        <f t="shared" si="54"/>
        <v>0</v>
      </c>
      <c r="AB73" s="66">
        <f t="shared" si="55"/>
        <v>0</v>
      </c>
      <c r="AC73" s="66">
        <f t="shared" si="56"/>
        <v>0</v>
      </c>
      <c r="AD73" s="66">
        <f t="shared" si="57"/>
        <v>0</v>
      </c>
      <c r="AE73" s="66">
        <f t="shared" si="58"/>
        <v>0</v>
      </c>
      <c r="AF73" s="66">
        <f t="shared" si="59"/>
        <v>0</v>
      </c>
      <c r="AG73" s="66">
        <f t="shared" si="60"/>
        <v>0</v>
      </c>
      <c r="AH73" s="66">
        <f t="shared" si="61"/>
        <v>0</v>
      </c>
      <c r="AI73" s="99" t="s">
        <v>450</v>
      </c>
      <c r="AJ73" s="66">
        <f t="shared" si="62"/>
        <v>0</v>
      </c>
      <c r="AK73" s="66">
        <f t="shared" si="63"/>
        <v>0</v>
      </c>
      <c r="AL73" s="66">
        <f t="shared" si="64"/>
        <v>0</v>
      </c>
      <c r="AN73" s="66">
        <v>21</v>
      </c>
      <c r="AO73" s="66">
        <f t="shared" si="65"/>
        <v>0</v>
      </c>
      <c r="AP73" s="66">
        <f t="shared" si="66"/>
        <v>0</v>
      </c>
      <c r="AQ73" s="111" t="s">
        <v>652</v>
      </c>
      <c r="AV73" s="66">
        <f t="shared" si="67"/>
        <v>0</v>
      </c>
      <c r="AW73" s="66">
        <f t="shared" si="68"/>
        <v>0</v>
      </c>
      <c r="AX73" s="66">
        <f t="shared" si="69"/>
        <v>0</v>
      </c>
      <c r="AY73" s="111" t="s">
        <v>528</v>
      </c>
      <c r="AZ73" s="111" t="s">
        <v>358</v>
      </c>
      <c r="BA73" s="99" t="s">
        <v>498</v>
      </c>
      <c r="BC73" s="66">
        <f t="shared" si="70"/>
        <v>0</v>
      </c>
      <c r="BD73" s="66">
        <f t="shared" si="71"/>
        <v>0</v>
      </c>
      <c r="BE73" s="66">
        <v>0</v>
      </c>
      <c r="BF73" s="66">
        <f t="shared" si="72"/>
        <v>0.00575</v>
      </c>
      <c r="BH73" s="66">
        <f t="shared" si="73"/>
        <v>0</v>
      </c>
      <c r="BI73" s="66">
        <f t="shared" si="74"/>
        <v>0</v>
      </c>
      <c r="BJ73" s="66">
        <f t="shared" si="75"/>
        <v>0</v>
      </c>
      <c r="BK73" s="66"/>
      <c r="BL73" s="66">
        <v>764</v>
      </c>
    </row>
    <row r="74" spans="1:64" s="58" customFormat="1" ht="15" customHeight="1">
      <c r="A74" s="64" t="s">
        <v>527</v>
      </c>
      <c r="B74" s="65" t="s">
        <v>450</v>
      </c>
      <c r="C74" s="65" t="s">
        <v>15</v>
      </c>
      <c r="D74" s="174" t="s">
        <v>128</v>
      </c>
      <c r="E74" s="174"/>
      <c r="F74" s="65" t="s">
        <v>538</v>
      </c>
      <c r="G74" s="66">
        <v>37.15</v>
      </c>
      <c r="H74" s="66"/>
      <c r="I74" s="66">
        <f t="shared" si="50"/>
        <v>0</v>
      </c>
      <c r="J74" s="66">
        <f t="shared" si="51"/>
        <v>0</v>
      </c>
      <c r="K74" s="66">
        <f t="shared" si="52"/>
        <v>0</v>
      </c>
      <c r="L74" s="66">
        <v>0.0023</v>
      </c>
      <c r="M74" s="66">
        <f t="shared" si="53"/>
        <v>0.085445</v>
      </c>
      <c r="N74" s="69" t="s">
        <v>545</v>
      </c>
      <c r="Z74" s="66">
        <f t="shared" si="54"/>
        <v>0</v>
      </c>
      <c r="AB74" s="66">
        <f t="shared" si="55"/>
        <v>0</v>
      </c>
      <c r="AC74" s="66">
        <f t="shared" si="56"/>
        <v>0</v>
      </c>
      <c r="AD74" s="66">
        <f t="shared" si="57"/>
        <v>0</v>
      </c>
      <c r="AE74" s="66">
        <f t="shared" si="58"/>
        <v>0</v>
      </c>
      <c r="AF74" s="66">
        <f t="shared" si="59"/>
        <v>0</v>
      </c>
      <c r="AG74" s="66">
        <f t="shared" si="60"/>
        <v>0</v>
      </c>
      <c r="AH74" s="66">
        <f t="shared" si="61"/>
        <v>0</v>
      </c>
      <c r="AI74" s="99" t="s">
        <v>450</v>
      </c>
      <c r="AJ74" s="66">
        <f t="shared" si="62"/>
        <v>0</v>
      </c>
      <c r="AK74" s="66">
        <f t="shared" si="63"/>
        <v>0</v>
      </c>
      <c r="AL74" s="66">
        <f t="shared" si="64"/>
        <v>0</v>
      </c>
      <c r="AN74" s="66">
        <v>21</v>
      </c>
      <c r="AO74" s="66">
        <f t="shared" si="65"/>
        <v>0</v>
      </c>
      <c r="AP74" s="66">
        <f t="shared" si="66"/>
        <v>0</v>
      </c>
      <c r="AQ74" s="111" t="s">
        <v>652</v>
      </c>
      <c r="AV74" s="66">
        <f t="shared" si="67"/>
        <v>0</v>
      </c>
      <c r="AW74" s="66">
        <f t="shared" si="68"/>
        <v>0</v>
      </c>
      <c r="AX74" s="66">
        <f t="shared" si="69"/>
        <v>0</v>
      </c>
      <c r="AY74" s="111" t="s">
        <v>528</v>
      </c>
      <c r="AZ74" s="111" t="s">
        <v>358</v>
      </c>
      <c r="BA74" s="99" t="s">
        <v>498</v>
      </c>
      <c r="BC74" s="66">
        <f t="shared" si="70"/>
        <v>0</v>
      </c>
      <c r="BD74" s="66">
        <f t="shared" si="71"/>
        <v>0</v>
      </c>
      <c r="BE74" s="66">
        <v>0</v>
      </c>
      <c r="BF74" s="66">
        <f t="shared" si="72"/>
        <v>0.085445</v>
      </c>
      <c r="BH74" s="66">
        <f t="shared" si="73"/>
        <v>0</v>
      </c>
      <c r="BI74" s="66">
        <f t="shared" si="74"/>
        <v>0</v>
      </c>
      <c r="BJ74" s="66">
        <f t="shared" si="75"/>
        <v>0</v>
      </c>
      <c r="BK74" s="66"/>
      <c r="BL74" s="66">
        <v>764</v>
      </c>
    </row>
    <row r="75" spans="1:64" s="58" customFormat="1" ht="15" customHeight="1">
      <c r="A75" s="64" t="s">
        <v>669</v>
      </c>
      <c r="B75" s="65" t="s">
        <v>450</v>
      </c>
      <c r="C75" s="65" t="s">
        <v>626</v>
      </c>
      <c r="D75" s="174" t="s">
        <v>497</v>
      </c>
      <c r="E75" s="174"/>
      <c r="F75" s="65" t="s">
        <v>157</v>
      </c>
      <c r="G75" s="66">
        <v>3</v>
      </c>
      <c r="H75" s="66"/>
      <c r="I75" s="66">
        <f t="shared" si="50"/>
        <v>0</v>
      </c>
      <c r="J75" s="66">
        <f t="shared" si="51"/>
        <v>0</v>
      </c>
      <c r="K75" s="66">
        <f t="shared" si="52"/>
        <v>0</v>
      </c>
      <c r="L75" s="66">
        <v>0.00081</v>
      </c>
      <c r="M75" s="66">
        <f t="shared" si="53"/>
        <v>0.00243</v>
      </c>
      <c r="N75" s="69" t="s">
        <v>545</v>
      </c>
      <c r="Z75" s="66">
        <f t="shared" si="54"/>
        <v>0</v>
      </c>
      <c r="AB75" s="66">
        <f t="shared" si="55"/>
        <v>0</v>
      </c>
      <c r="AC75" s="66">
        <f t="shared" si="56"/>
        <v>0</v>
      </c>
      <c r="AD75" s="66">
        <f t="shared" si="57"/>
        <v>0</v>
      </c>
      <c r="AE75" s="66">
        <f t="shared" si="58"/>
        <v>0</v>
      </c>
      <c r="AF75" s="66">
        <f t="shared" si="59"/>
        <v>0</v>
      </c>
      <c r="AG75" s="66">
        <f t="shared" si="60"/>
        <v>0</v>
      </c>
      <c r="AH75" s="66">
        <f t="shared" si="61"/>
        <v>0</v>
      </c>
      <c r="AI75" s="99" t="s">
        <v>450</v>
      </c>
      <c r="AJ75" s="66">
        <f t="shared" si="62"/>
        <v>0</v>
      </c>
      <c r="AK75" s="66">
        <f t="shared" si="63"/>
        <v>0</v>
      </c>
      <c r="AL75" s="66">
        <f t="shared" si="64"/>
        <v>0</v>
      </c>
      <c r="AN75" s="66">
        <v>21</v>
      </c>
      <c r="AO75" s="66">
        <f t="shared" si="65"/>
        <v>0</v>
      </c>
      <c r="AP75" s="66">
        <f t="shared" si="66"/>
        <v>0</v>
      </c>
      <c r="AQ75" s="111" t="s">
        <v>652</v>
      </c>
      <c r="AV75" s="66">
        <f t="shared" si="67"/>
        <v>0</v>
      </c>
      <c r="AW75" s="66">
        <f t="shared" si="68"/>
        <v>0</v>
      </c>
      <c r="AX75" s="66">
        <f t="shared" si="69"/>
        <v>0</v>
      </c>
      <c r="AY75" s="111" t="s">
        <v>528</v>
      </c>
      <c r="AZ75" s="111" t="s">
        <v>358</v>
      </c>
      <c r="BA75" s="99" t="s">
        <v>498</v>
      </c>
      <c r="BC75" s="66">
        <f t="shared" si="70"/>
        <v>0</v>
      </c>
      <c r="BD75" s="66">
        <f t="shared" si="71"/>
        <v>0</v>
      </c>
      <c r="BE75" s="66">
        <v>0</v>
      </c>
      <c r="BF75" s="66">
        <f t="shared" si="72"/>
        <v>0.00243</v>
      </c>
      <c r="BH75" s="66">
        <f t="shared" si="73"/>
        <v>0</v>
      </c>
      <c r="BI75" s="66">
        <f t="shared" si="74"/>
        <v>0</v>
      </c>
      <c r="BJ75" s="66">
        <f t="shared" si="75"/>
        <v>0</v>
      </c>
      <c r="BK75" s="66"/>
      <c r="BL75" s="66">
        <v>764</v>
      </c>
    </row>
    <row r="76" spans="1:64" s="58" customFormat="1" ht="15" customHeight="1">
      <c r="A76" s="64" t="s">
        <v>41</v>
      </c>
      <c r="B76" s="65" t="s">
        <v>450</v>
      </c>
      <c r="C76" s="65" t="s">
        <v>260</v>
      </c>
      <c r="D76" s="174" t="s">
        <v>270</v>
      </c>
      <c r="E76" s="174"/>
      <c r="F76" s="65" t="s">
        <v>538</v>
      </c>
      <c r="G76" s="66">
        <v>61.8</v>
      </c>
      <c r="H76" s="66"/>
      <c r="I76" s="66">
        <f t="shared" si="50"/>
        <v>0</v>
      </c>
      <c r="J76" s="66">
        <f t="shared" si="51"/>
        <v>0</v>
      </c>
      <c r="K76" s="66">
        <f t="shared" si="52"/>
        <v>0</v>
      </c>
      <c r="L76" s="66">
        <v>0.00356</v>
      </c>
      <c r="M76" s="66">
        <f t="shared" si="53"/>
        <v>0.22000799999999998</v>
      </c>
      <c r="N76" s="69" t="s">
        <v>545</v>
      </c>
      <c r="Z76" s="66">
        <f t="shared" si="54"/>
        <v>0</v>
      </c>
      <c r="AB76" s="66">
        <f t="shared" si="55"/>
        <v>0</v>
      </c>
      <c r="AC76" s="66">
        <f t="shared" si="56"/>
        <v>0</v>
      </c>
      <c r="AD76" s="66">
        <f t="shared" si="57"/>
        <v>0</v>
      </c>
      <c r="AE76" s="66">
        <f t="shared" si="58"/>
        <v>0</v>
      </c>
      <c r="AF76" s="66">
        <f t="shared" si="59"/>
        <v>0</v>
      </c>
      <c r="AG76" s="66">
        <f t="shared" si="60"/>
        <v>0</v>
      </c>
      <c r="AH76" s="66">
        <f t="shared" si="61"/>
        <v>0</v>
      </c>
      <c r="AI76" s="99" t="s">
        <v>450</v>
      </c>
      <c r="AJ76" s="66">
        <f t="shared" si="62"/>
        <v>0</v>
      </c>
      <c r="AK76" s="66">
        <f t="shared" si="63"/>
        <v>0</v>
      </c>
      <c r="AL76" s="66">
        <f t="shared" si="64"/>
        <v>0</v>
      </c>
      <c r="AN76" s="66">
        <v>21</v>
      </c>
      <c r="AO76" s="66">
        <f t="shared" si="65"/>
        <v>0</v>
      </c>
      <c r="AP76" s="66">
        <f t="shared" si="66"/>
        <v>0</v>
      </c>
      <c r="AQ76" s="111" t="s">
        <v>652</v>
      </c>
      <c r="AV76" s="66">
        <f t="shared" si="67"/>
        <v>0</v>
      </c>
      <c r="AW76" s="66">
        <f t="shared" si="68"/>
        <v>0</v>
      </c>
      <c r="AX76" s="66">
        <f t="shared" si="69"/>
        <v>0</v>
      </c>
      <c r="AY76" s="111" t="s">
        <v>528</v>
      </c>
      <c r="AZ76" s="111" t="s">
        <v>358</v>
      </c>
      <c r="BA76" s="99" t="s">
        <v>498</v>
      </c>
      <c r="BC76" s="66">
        <f t="shared" si="70"/>
        <v>0</v>
      </c>
      <c r="BD76" s="66">
        <f t="shared" si="71"/>
        <v>0</v>
      </c>
      <c r="BE76" s="66">
        <v>0</v>
      </c>
      <c r="BF76" s="66">
        <f t="shared" si="72"/>
        <v>0.22000799999999998</v>
      </c>
      <c r="BH76" s="66">
        <f t="shared" si="73"/>
        <v>0</v>
      </c>
      <c r="BI76" s="66">
        <f t="shared" si="74"/>
        <v>0</v>
      </c>
      <c r="BJ76" s="66">
        <f t="shared" si="75"/>
        <v>0</v>
      </c>
      <c r="BK76" s="66"/>
      <c r="BL76" s="66">
        <v>764</v>
      </c>
    </row>
    <row r="77" spans="1:64" s="58" customFormat="1" ht="15" customHeight="1">
      <c r="A77" s="64" t="s">
        <v>506</v>
      </c>
      <c r="B77" s="65" t="s">
        <v>450</v>
      </c>
      <c r="C77" s="65" t="s">
        <v>469</v>
      </c>
      <c r="D77" s="174" t="s">
        <v>624</v>
      </c>
      <c r="E77" s="174"/>
      <c r="F77" s="65" t="s">
        <v>635</v>
      </c>
      <c r="G77" s="66">
        <v>52.374</v>
      </c>
      <c r="H77" s="66"/>
      <c r="I77" s="66">
        <f t="shared" si="50"/>
        <v>0</v>
      </c>
      <c r="J77" s="66">
        <f t="shared" si="51"/>
        <v>0</v>
      </c>
      <c r="K77" s="66">
        <f t="shared" si="52"/>
        <v>0</v>
      </c>
      <c r="L77" s="66">
        <v>0.00732</v>
      </c>
      <c r="M77" s="66">
        <f t="shared" si="53"/>
        <v>0.38337768</v>
      </c>
      <c r="N77" s="69" t="s">
        <v>545</v>
      </c>
      <c r="Z77" s="66">
        <f t="shared" si="54"/>
        <v>0</v>
      </c>
      <c r="AB77" s="66">
        <f t="shared" si="55"/>
        <v>0</v>
      </c>
      <c r="AC77" s="66">
        <f t="shared" si="56"/>
        <v>0</v>
      </c>
      <c r="AD77" s="66">
        <f t="shared" si="57"/>
        <v>0</v>
      </c>
      <c r="AE77" s="66">
        <f t="shared" si="58"/>
        <v>0</v>
      </c>
      <c r="AF77" s="66">
        <f t="shared" si="59"/>
        <v>0</v>
      </c>
      <c r="AG77" s="66">
        <f t="shared" si="60"/>
        <v>0</v>
      </c>
      <c r="AH77" s="66">
        <f t="shared" si="61"/>
        <v>0</v>
      </c>
      <c r="AI77" s="99" t="s">
        <v>450</v>
      </c>
      <c r="AJ77" s="66">
        <f t="shared" si="62"/>
        <v>0</v>
      </c>
      <c r="AK77" s="66">
        <f t="shared" si="63"/>
        <v>0</v>
      </c>
      <c r="AL77" s="66">
        <f t="shared" si="64"/>
        <v>0</v>
      </c>
      <c r="AN77" s="66">
        <v>21</v>
      </c>
      <c r="AO77" s="66">
        <f t="shared" si="65"/>
        <v>0</v>
      </c>
      <c r="AP77" s="66">
        <f t="shared" si="66"/>
        <v>0</v>
      </c>
      <c r="AQ77" s="111" t="s">
        <v>652</v>
      </c>
      <c r="AV77" s="66">
        <f t="shared" si="67"/>
        <v>0</v>
      </c>
      <c r="AW77" s="66">
        <f t="shared" si="68"/>
        <v>0</v>
      </c>
      <c r="AX77" s="66">
        <f t="shared" si="69"/>
        <v>0</v>
      </c>
      <c r="AY77" s="111" t="s">
        <v>528</v>
      </c>
      <c r="AZ77" s="111" t="s">
        <v>358</v>
      </c>
      <c r="BA77" s="99" t="s">
        <v>498</v>
      </c>
      <c r="BC77" s="66">
        <f t="shared" si="70"/>
        <v>0</v>
      </c>
      <c r="BD77" s="66">
        <f t="shared" si="71"/>
        <v>0</v>
      </c>
      <c r="BE77" s="66">
        <v>0</v>
      </c>
      <c r="BF77" s="66">
        <f t="shared" si="72"/>
        <v>0.38337768</v>
      </c>
      <c r="BH77" s="66">
        <f t="shared" si="73"/>
        <v>0</v>
      </c>
      <c r="BI77" s="66">
        <f t="shared" si="74"/>
        <v>0</v>
      </c>
      <c r="BJ77" s="66">
        <f t="shared" si="75"/>
        <v>0</v>
      </c>
      <c r="BK77" s="66"/>
      <c r="BL77" s="66">
        <v>764</v>
      </c>
    </row>
    <row r="78" spans="1:64" s="58" customFormat="1" ht="15" customHeight="1">
      <c r="A78" s="64" t="s">
        <v>536</v>
      </c>
      <c r="B78" s="65" t="s">
        <v>450</v>
      </c>
      <c r="C78" s="65" t="s">
        <v>730</v>
      </c>
      <c r="D78" s="174" t="s">
        <v>651</v>
      </c>
      <c r="E78" s="174"/>
      <c r="F78" s="65" t="s">
        <v>538</v>
      </c>
      <c r="G78" s="66">
        <v>1.64</v>
      </c>
      <c r="H78" s="66"/>
      <c r="I78" s="66">
        <f t="shared" si="50"/>
        <v>0</v>
      </c>
      <c r="J78" s="66">
        <f t="shared" si="51"/>
        <v>0</v>
      </c>
      <c r="K78" s="66">
        <f t="shared" si="52"/>
        <v>0</v>
      </c>
      <c r="L78" s="66">
        <v>0.00595</v>
      </c>
      <c r="M78" s="66">
        <f t="shared" si="53"/>
        <v>0.009758</v>
      </c>
      <c r="N78" s="69" t="s">
        <v>545</v>
      </c>
      <c r="Z78" s="66">
        <f t="shared" si="54"/>
        <v>0</v>
      </c>
      <c r="AB78" s="66">
        <f t="shared" si="55"/>
        <v>0</v>
      </c>
      <c r="AC78" s="66">
        <f t="shared" si="56"/>
        <v>0</v>
      </c>
      <c r="AD78" s="66">
        <f t="shared" si="57"/>
        <v>0</v>
      </c>
      <c r="AE78" s="66">
        <f t="shared" si="58"/>
        <v>0</v>
      </c>
      <c r="AF78" s="66">
        <f t="shared" si="59"/>
        <v>0</v>
      </c>
      <c r="AG78" s="66">
        <f t="shared" si="60"/>
        <v>0</v>
      </c>
      <c r="AH78" s="66">
        <f t="shared" si="61"/>
        <v>0</v>
      </c>
      <c r="AI78" s="99" t="s">
        <v>450</v>
      </c>
      <c r="AJ78" s="66">
        <f t="shared" si="62"/>
        <v>0</v>
      </c>
      <c r="AK78" s="66">
        <f t="shared" si="63"/>
        <v>0</v>
      </c>
      <c r="AL78" s="66">
        <f t="shared" si="64"/>
        <v>0</v>
      </c>
      <c r="AN78" s="66">
        <v>21</v>
      </c>
      <c r="AO78" s="66">
        <f>H78*0.544436936936937</f>
        <v>0</v>
      </c>
      <c r="AP78" s="66">
        <f>H78*(1-0.544436936936937)</f>
        <v>0</v>
      </c>
      <c r="AQ78" s="111" t="s">
        <v>652</v>
      </c>
      <c r="AV78" s="66">
        <f t="shared" si="67"/>
        <v>0</v>
      </c>
      <c r="AW78" s="66">
        <f t="shared" si="68"/>
        <v>0</v>
      </c>
      <c r="AX78" s="66">
        <f t="shared" si="69"/>
        <v>0</v>
      </c>
      <c r="AY78" s="111" t="s">
        <v>528</v>
      </c>
      <c r="AZ78" s="111" t="s">
        <v>358</v>
      </c>
      <c r="BA78" s="99" t="s">
        <v>498</v>
      </c>
      <c r="BC78" s="66">
        <f t="shared" si="70"/>
        <v>0</v>
      </c>
      <c r="BD78" s="66">
        <f t="shared" si="71"/>
        <v>0</v>
      </c>
      <c r="BE78" s="66">
        <v>0</v>
      </c>
      <c r="BF78" s="66">
        <f t="shared" si="72"/>
        <v>0.009758</v>
      </c>
      <c r="BH78" s="66">
        <f t="shared" si="73"/>
        <v>0</v>
      </c>
      <c r="BI78" s="66">
        <f t="shared" si="74"/>
        <v>0</v>
      </c>
      <c r="BJ78" s="66">
        <f t="shared" si="75"/>
        <v>0</v>
      </c>
      <c r="BK78" s="66"/>
      <c r="BL78" s="66">
        <v>764</v>
      </c>
    </row>
    <row r="79" spans="1:47" s="58" customFormat="1" ht="15" customHeight="1">
      <c r="A79" s="95" t="s">
        <v>450</v>
      </c>
      <c r="B79" s="96" t="s">
        <v>450</v>
      </c>
      <c r="C79" s="96" t="s">
        <v>180</v>
      </c>
      <c r="D79" s="173" t="s">
        <v>558</v>
      </c>
      <c r="E79" s="173"/>
      <c r="F79" s="97" t="s">
        <v>595</v>
      </c>
      <c r="G79" s="97" t="s">
        <v>595</v>
      </c>
      <c r="H79" s="97"/>
      <c r="I79" s="98">
        <f>SUM(I80:I80)</f>
        <v>0</v>
      </c>
      <c r="J79" s="98">
        <f>SUM(J80:J80)</f>
        <v>0</v>
      </c>
      <c r="K79" s="98">
        <f>SUM(K80:K80)</f>
        <v>0</v>
      </c>
      <c r="L79" s="99" t="s">
        <v>450</v>
      </c>
      <c r="M79" s="98">
        <f>SUM(M80:M80)</f>
        <v>4.4766925</v>
      </c>
      <c r="N79" s="100" t="s">
        <v>450</v>
      </c>
      <c r="AI79" s="99" t="s">
        <v>450</v>
      </c>
      <c r="AS79" s="98">
        <f>SUM(AJ80:AJ80)</f>
        <v>0</v>
      </c>
      <c r="AT79" s="98">
        <f>SUM(AK80:AK80)</f>
        <v>0</v>
      </c>
      <c r="AU79" s="98">
        <f>SUM(AL80:AL80)</f>
        <v>0</v>
      </c>
    </row>
    <row r="80" spans="1:64" s="58" customFormat="1" ht="15" customHeight="1">
      <c r="A80" s="64" t="s">
        <v>281</v>
      </c>
      <c r="B80" s="65" t="s">
        <v>450</v>
      </c>
      <c r="C80" s="65" t="s">
        <v>287</v>
      </c>
      <c r="D80" s="174" t="s">
        <v>740</v>
      </c>
      <c r="E80" s="174"/>
      <c r="F80" s="65" t="s">
        <v>635</v>
      </c>
      <c r="G80" s="66">
        <v>319.76375</v>
      </c>
      <c r="H80" s="66"/>
      <c r="I80" s="66">
        <f>G80*AO80</f>
        <v>0</v>
      </c>
      <c r="J80" s="66">
        <f>G80*AP80</f>
        <v>0</v>
      </c>
      <c r="K80" s="66">
        <f>G80*H80</f>
        <v>0</v>
      </c>
      <c r="L80" s="66">
        <v>0.014</v>
      </c>
      <c r="M80" s="66">
        <f>G80*L80</f>
        <v>4.4766925</v>
      </c>
      <c r="N80" s="69" t="s">
        <v>545</v>
      </c>
      <c r="Z80" s="66">
        <f>IF(AQ80="5",BJ80,0)</f>
        <v>0</v>
      </c>
      <c r="AB80" s="66">
        <f>IF(AQ80="1",BH80,0)</f>
        <v>0</v>
      </c>
      <c r="AC80" s="66">
        <f>IF(AQ80="1",BI80,0)</f>
        <v>0</v>
      </c>
      <c r="AD80" s="66">
        <f>IF(AQ80="7",BH80,0)</f>
        <v>0</v>
      </c>
      <c r="AE80" s="66">
        <f>IF(AQ80="7",BI80,0)</f>
        <v>0</v>
      </c>
      <c r="AF80" s="66">
        <f>IF(AQ80="2",BH80,0)</f>
        <v>0</v>
      </c>
      <c r="AG80" s="66">
        <f>IF(AQ80="2",BI80,0)</f>
        <v>0</v>
      </c>
      <c r="AH80" s="66">
        <f>IF(AQ80="0",BJ80,0)</f>
        <v>0</v>
      </c>
      <c r="AI80" s="99" t="s">
        <v>450</v>
      </c>
      <c r="AJ80" s="66">
        <f>IF(AN80=0,K80,0)</f>
        <v>0</v>
      </c>
      <c r="AK80" s="66">
        <f>IF(AN80=15,K80,0)</f>
        <v>0</v>
      </c>
      <c r="AL80" s="66">
        <f>IF(AN80=21,K80,0)</f>
        <v>0</v>
      </c>
      <c r="AN80" s="66">
        <v>21</v>
      </c>
      <c r="AO80" s="66">
        <f>H80*0</f>
        <v>0</v>
      </c>
      <c r="AP80" s="66">
        <f>H80*(1-0)</f>
        <v>0</v>
      </c>
      <c r="AQ80" s="111" t="s">
        <v>652</v>
      </c>
      <c r="AV80" s="66">
        <f>AW80+AX80</f>
        <v>0</v>
      </c>
      <c r="AW80" s="66">
        <f>G80*AO80</f>
        <v>0</v>
      </c>
      <c r="AX80" s="66">
        <f>G80*AP80</f>
        <v>0</v>
      </c>
      <c r="AY80" s="111" t="s">
        <v>134</v>
      </c>
      <c r="AZ80" s="111" t="s">
        <v>358</v>
      </c>
      <c r="BA80" s="99" t="s">
        <v>498</v>
      </c>
      <c r="BC80" s="66">
        <f>AW80+AX80</f>
        <v>0</v>
      </c>
      <c r="BD80" s="66">
        <f>H80/(100-BE80)*100</f>
        <v>0</v>
      </c>
      <c r="BE80" s="66">
        <v>0</v>
      </c>
      <c r="BF80" s="66">
        <f>M80</f>
        <v>4.4766925</v>
      </c>
      <c r="BH80" s="66">
        <f>G80*AO80</f>
        <v>0</v>
      </c>
      <c r="BI80" s="66">
        <f>G80*AP80</f>
        <v>0</v>
      </c>
      <c r="BJ80" s="66">
        <f>G80*H80</f>
        <v>0</v>
      </c>
      <c r="BK80" s="66"/>
      <c r="BL80" s="66">
        <v>765</v>
      </c>
    </row>
    <row r="81" spans="1:47" s="58" customFormat="1" ht="15" customHeight="1">
      <c r="A81" s="95" t="s">
        <v>450</v>
      </c>
      <c r="B81" s="96" t="s">
        <v>450</v>
      </c>
      <c r="C81" s="96" t="s">
        <v>274</v>
      </c>
      <c r="D81" s="173" t="s">
        <v>320</v>
      </c>
      <c r="E81" s="173"/>
      <c r="F81" s="97" t="s">
        <v>595</v>
      </c>
      <c r="G81" s="97" t="s">
        <v>595</v>
      </c>
      <c r="H81" s="97"/>
      <c r="I81" s="98">
        <f>SUM(I82:I82)</f>
        <v>0</v>
      </c>
      <c r="J81" s="98">
        <f>SUM(J82:J82)</f>
        <v>0</v>
      </c>
      <c r="K81" s="98">
        <f>SUM(K82:K82)</f>
        <v>0</v>
      </c>
      <c r="L81" s="99" t="s">
        <v>450</v>
      </c>
      <c r="M81" s="98">
        <f>SUM(M82:M82)</f>
        <v>0.15368056500000002</v>
      </c>
      <c r="N81" s="100" t="s">
        <v>450</v>
      </c>
      <c r="AI81" s="99" t="s">
        <v>450</v>
      </c>
      <c r="AS81" s="98">
        <f>SUM(AJ82:AJ82)</f>
        <v>0</v>
      </c>
      <c r="AT81" s="98">
        <f>SUM(AK82:AK82)</f>
        <v>0</v>
      </c>
      <c r="AU81" s="98">
        <f>SUM(AL82:AL82)</f>
        <v>0</v>
      </c>
    </row>
    <row r="82" spans="1:64" s="58" customFormat="1" ht="15" customHeight="1">
      <c r="A82" s="64" t="s">
        <v>277</v>
      </c>
      <c r="B82" s="65" t="s">
        <v>450</v>
      </c>
      <c r="C82" s="65" t="s">
        <v>501</v>
      </c>
      <c r="D82" s="174" t="s">
        <v>368</v>
      </c>
      <c r="E82" s="174"/>
      <c r="F82" s="65" t="s">
        <v>635</v>
      </c>
      <c r="G82" s="66">
        <v>9.0667</v>
      </c>
      <c r="H82" s="66"/>
      <c r="I82" s="66">
        <f>G82*AO82</f>
        <v>0</v>
      </c>
      <c r="J82" s="66">
        <f>G82*AP82</f>
        <v>0</v>
      </c>
      <c r="K82" s="66">
        <f>G82*H82</f>
        <v>0</v>
      </c>
      <c r="L82" s="66">
        <v>0.01695</v>
      </c>
      <c r="M82" s="66">
        <f>G82*L82</f>
        <v>0.15368056500000002</v>
      </c>
      <c r="N82" s="69" t="s">
        <v>545</v>
      </c>
      <c r="Z82" s="66">
        <f>IF(AQ82="5",BJ82,0)</f>
        <v>0</v>
      </c>
      <c r="AB82" s="66">
        <f>IF(AQ82="1",BH82,0)</f>
        <v>0</v>
      </c>
      <c r="AC82" s="66">
        <f>IF(AQ82="1",BI82,0)</f>
        <v>0</v>
      </c>
      <c r="AD82" s="66">
        <f>IF(AQ82="7",BH82,0)</f>
        <v>0</v>
      </c>
      <c r="AE82" s="66">
        <f>IF(AQ82="7",BI82,0)</f>
        <v>0</v>
      </c>
      <c r="AF82" s="66">
        <f>IF(AQ82="2",BH82,0)</f>
        <v>0</v>
      </c>
      <c r="AG82" s="66">
        <f>IF(AQ82="2",BI82,0)</f>
        <v>0</v>
      </c>
      <c r="AH82" s="66">
        <f>IF(AQ82="0",BJ82,0)</f>
        <v>0</v>
      </c>
      <c r="AI82" s="99" t="s">
        <v>450</v>
      </c>
      <c r="AJ82" s="66">
        <f>IF(AN82=0,K82,0)</f>
        <v>0</v>
      </c>
      <c r="AK82" s="66">
        <f>IF(AN82=15,K82,0)</f>
        <v>0</v>
      </c>
      <c r="AL82" s="66">
        <f>IF(AN82=21,K82,0)</f>
        <v>0</v>
      </c>
      <c r="AN82" s="66">
        <v>21</v>
      </c>
      <c r="AO82" s="66">
        <f>H82*0</f>
        <v>0</v>
      </c>
      <c r="AP82" s="66">
        <f>H82*(1-0)</f>
        <v>0</v>
      </c>
      <c r="AQ82" s="111" t="s">
        <v>652</v>
      </c>
      <c r="AV82" s="66">
        <f>AW82+AX82</f>
        <v>0</v>
      </c>
      <c r="AW82" s="66">
        <f>G82*AO82</f>
        <v>0</v>
      </c>
      <c r="AX82" s="66">
        <f>G82*AP82</f>
        <v>0</v>
      </c>
      <c r="AY82" s="111" t="s">
        <v>69</v>
      </c>
      <c r="AZ82" s="111" t="s">
        <v>358</v>
      </c>
      <c r="BA82" s="99" t="s">
        <v>498</v>
      </c>
      <c r="BC82" s="66">
        <f>AW82+AX82</f>
        <v>0</v>
      </c>
      <c r="BD82" s="66">
        <f>H82/(100-BE82)*100</f>
        <v>0</v>
      </c>
      <c r="BE82" s="66">
        <v>0</v>
      </c>
      <c r="BF82" s="66">
        <f>M82</f>
        <v>0.15368056500000002</v>
      </c>
      <c r="BH82" s="66">
        <f>G82*AO82</f>
        <v>0</v>
      </c>
      <c r="BI82" s="66">
        <f>G82*AP82</f>
        <v>0</v>
      </c>
      <c r="BJ82" s="66">
        <f>G82*H82</f>
        <v>0</v>
      </c>
      <c r="BK82" s="66"/>
      <c r="BL82" s="66">
        <v>766</v>
      </c>
    </row>
    <row r="83" spans="1:47" s="58" customFormat="1" ht="15" customHeight="1">
      <c r="A83" s="95" t="s">
        <v>450</v>
      </c>
      <c r="B83" s="96" t="s">
        <v>450</v>
      </c>
      <c r="C83" s="96" t="s">
        <v>306</v>
      </c>
      <c r="D83" s="173" t="s">
        <v>195</v>
      </c>
      <c r="E83" s="173"/>
      <c r="F83" s="97" t="s">
        <v>595</v>
      </c>
      <c r="G83" s="97" t="s">
        <v>595</v>
      </c>
      <c r="H83" s="97"/>
      <c r="I83" s="98">
        <f>SUM(I84:I87)</f>
        <v>0</v>
      </c>
      <c r="J83" s="98">
        <f>SUM(J84:J87)</f>
        <v>0</v>
      </c>
      <c r="K83" s="98">
        <f>SUM(K84:K87)</f>
        <v>0</v>
      </c>
      <c r="L83" s="99" t="s">
        <v>450</v>
      </c>
      <c r="M83" s="98">
        <f>SUM(M84:M87)</f>
        <v>0.74616</v>
      </c>
      <c r="N83" s="100" t="s">
        <v>450</v>
      </c>
      <c r="AI83" s="99" t="s">
        <v>450</v>
      </c>
      <c r="AS83" s="98">
        <f>SUM(AJ84:AJ87)</f>
        <v>0</v>
      </c>
      <c r="AT83" s="98">
        <f>SUM(AK84:AK87)</f>
        <v>0</v>
      </c>
      <c r="AU83" s="98">
        <f>SUM(AL84:AL87)</f>
        <v>0</v>
      </c>
    </row>
    <row r="84" spans="1:64" s="58" customFormat="1" ht="15" customHeight="1">
      <c r="A84" s="64" t="s">
        <v>318</v>
      </c>
      <c r="B84" s="65" t="s">
        <v>450</v>
      </c>
      <c r="C84" s="65" t="s">
        <v>655</v>
      </c>
      <c r="D84" s="174" t="s">
        <v>179</v>
      </c>
      <c r="E84" s="174"/>
      <c r="F84" s="65" t="s">
        <v>538</v>
      </c>
      <c r="G84" s="66">
        <v>5.95</v>
      </c>
      <c r="H84" s="66"/>
      <c r="I84" s="66">
        <f>G84*AO84</f>
        <v>0</v>
      </c>
      <c r="J84" s="66">
        <f>G84*AP84</f>
        <v>0</v>
      </c>
      <c r="K84" s="66">
        <f>G84*H84</f>
        <v>0</v>
      </c>
      <c r="L84" s="66">
        <v>0</v>
      </c>
      <c r="M84" s="66">
        <f>G84*L84</f>
        <v>0</v>
      </c>
      <c r="N84" s="69" t="s">
        <v>545</v>
      </c>
      <c r="Z84" s="66">
        <f>IF(AQ84="5",BJ84,0)</f>
        <v>0</v>
      </c>
      <c r="AB84" s="66">
        <f>IF(AQ84="1",BH84,0)</f>
        <v>0</v>
      </c>
      <c r="AC84" s="66">
        <f>IF(AQ84="1",BI84,0)</f>
        <v>0</v>
      </c>
      <c r="AD84" s="66">
        <f>IF(AQ84="7",BH84,0)</f>
        <v>0</v>
      </c>
      <c r="AE84" s="66">
        <f>IF(AQ84="7",BI84,0)</f>
        <v>0</v>
      </c>
      <c r="AF84" s="66">
        <f>IF(AQ84="2",BH84,0)</f>
        <v>0</v>
      </c>
      <c r="AG84" s="66">
        <f>IF(AQ84="2",BI84,0)</f>
        <v>0</v>
      </c>
      <c r="AH84" s="66">
        <f>IF(AQ84="0",BJ84,0)</f>
        <v>0</v>
      </c>
      <c r="AI84" s="99" t="s">
        <v>450</v>
      </c>
      <c r="AJ84" s="66">
        <f>IF(AN84=0,K84,0)</f>
        <v>0</v>
      </c>
      <c r="AK84" s="66">
        <f>IF(AN84=15,K84,0)</f>
        <v>0</v>
      </c>
      <c r="AL84" s="66">
        <f>IF(AN84=21,K84,0)</f>
        <v>0</v>
      </c>
      <c r="AN84" s="66">
        <v>21</v>
      </c>
      <c r="AO84" s="66">
        <f>H84*0</f>
        <v>0</v>
      </c>
      <c r="AP84" s="66">
        <f>H84*(1-0)</f>
        <v>0</v>
      </c>
      <c r="AQ84" s="111" t="s">
        <v>652</v>
      </c>
      <c r="AV84" s="66">
        <f>AW84+AX84</f>
        <v>0</v>
      </c>
      <c r="AW84" s="66">
        <f>G84*AO84</f>
        <v>0</v>
      </c>
      <c r="AX84" s="66">
        <f>G84*AP84</f>
        <v>0</v>
      </c>
      <c r="AY84" s="111" t="s">
        <v>184</v>
      </c>
      <c r="AZ84" s="111" t="s">
        <v>358</v>
      </c>
      <c r="BA84" s="99" t="s">
        <v>498</v>
      </c>
      <c r="BC84" s="66">
        <f>AW84+AX84</f>
        <v>0</v>
      </c>
      <c r="BD84" s="66">
        <f>H84/(100-BE84)*100</f>
        <v>0</v>
      </c>
      <c r="BE84" s="66">
        <v>0</v>
      </c>
      <c r="BF84" s="66">
        <f>M84</f>
        <v>0</v>
      </c>
      <c r="BH84" s="66">
        <f>G84*AO84</f>
        <v>0</v>
      </c>
      <c r="BI84" s="66">
        <f>G84*AP84</f>
        <v>0</v>
      </c>
      <c r="BJ84" s="66">
        <f>G84*H84</f>
        <v>0</v>
      </c>
      <c r="BK84" s="66"/>
      <c r="BL84" s="66">
        <v>767</v>
      </c>
    </row>
    <row r="85" spans="1:64" s="58" customFormat="1" ht="15" customHeight="1">
      <c r="A85" s="64" t="s">
        <v>591</v>
      </c>
      <c r="B85" s="65" t="s">
        <v>450</v>
      </c>
      <c r="C85" s="65" t="s">
        <v>408</v>
      </c>
      <c r="D85" s="174" t="s">
        <v>648</v>
      </c>
      <c r="E85" s="174"/>
      <c r="F85" s="65" t="s">
        <v>538</v>
      </c>
      <c r="G85" s="66">
        <v>6</v>
      </c>
      <c r="H85" s="66"/>
      <c r="I85" s="66">
        <f>G85*AO85</f>
        <v>0</v>
      </c>
      <c r="J85" s="66">
        <f>G85*AP85</f>
        <v>0</v>
      </c>
      <c r="K85" s="66">
        <f>G85*H85</f>
        <v>0</v>
      </c>
      <c r="L85" s="66">
        <v>0.00186</v>
      </c>
      <c r="M85" s="66">
        <f>G85*L85</f>
        <v>0.01116</v>
      </c>
      <c r="N85" s="69" t="s">
        <v>494</v>
      </c>
      <c r="Z85" s="66">
        <f>IF(AQ85="5",BJ85,0)</f>
        <v>0</v>
      </c>
      <c r="AB85" s="66">
        <f>IF(AQ85="1",BH85,0)</f>
        <v>0</v>
      </c>
      <c r="AC85" s="66">
        <f>IF(AQ85="1",BI85,0)</f>
        <v>0</v>
      </c>
      <c r="AD85" s="66">
        <f>IF(AQ85="7",BH85,0)</f>
        <v>0</v>
      </c>
      <c r="AE85" s="66">
        <f>IF(AQ85="7",BI85,0)</f>
        <v>0</v>
      </c>
      <c r="AF85" s="66">
        <f>IF(AQ85="2",BH85,0)</f>
        <v>0</v>
      </c>
      <c r="AG85" s="66">
        <f>IF(AQ85="2",BI85,0)</f>
        <v>0</v>
      </c>
      <c r="AH85" s="66">
        <f>IF(AQ85="0",BJ85,0)</f>
        <v>0</v>
      </c>
      <c r="AI85" s="99" t="s">
        <v>450</v>
      </c>
      <c r="AJ85" s="66">
        <f>IF(AN85=0,K85,0)</f>
        <v>0</v>
      </c>
      <c r="AK85" s="66">
        <f>IF(AN85=15,K85,0)</f>
        <v>0</v>
      </c>
      <c r="AL85" s="66">
        <f>IF(AN85=21,K85,0)</f>
        <v>0</v>
      </c>
      <c r="AN85" s="66">
        <v>21</v>
      </c>
      <c r="AO85" s="66">
        <f>H85*1</f>
        <v>0</v>
      </c>
      <c r="AP85" s="66">
        <f>H85*(1-1)</f>
        <v>0</v>
      </c>
      <c r="AQ85" s="111" t="s">
        <v>652</v>
      </c>
      <c r="AV85" s="66">
        <f>AW85+AX85</f>
        <v>0</v>
      </c>
      <c r="AW85" s="66">
        <f>G85*AO85</f>
        <v>0</v>
      </c>
      <c r="AX85" s="66">
        <f>G85*AP85</f>
        <v>0</v>
      </c>
      <c r="AY85" s="111" t="s">
        <v>184</v>
      </c>
      <c r="AZ85" s="111" t="s">
        <v>358</v>
      </c>
      <c r="BA85" s="99" t="s">
        <v>498</v>
      </c>
      <c r="BC85" s="66">
        <f>AW85+AX85</f>
        <v>0</v>
      </c>
      <c r="BD85" s="66">
        <f>H85/(100-BE85)*100</f>
        <v>0</v>
      </c>
      <c r="BE85" s="66">
        <v>0</v>
      </c>
      <c r="BF85" s="66">
        <f>M85</f>
        <v>0.01116</v>
      </c>
      <c r="BH85" s="66">
        <f>G85*AO85</f>
        <v>0</v>
      </c>
      <c r="BI85" s="66">
        <f>G85*AP85</f>
        <v>0</v>
      </c>
      <c r="BJ85" s="66">
        <f>G85*H85</f>
        <v>0</v>
      </c>
      <c r="BK85" s="66"/>
      <c r="BL85" s="66">
        <v>767</v>
      </c>
    </row>
    <row r="86" spans="1:64" s="58" customFormat="1" ht="15" customHeight="1">
      <c r="A86" s="64" t="s">
        <v>434</v>
      </c>
      <c r="B86" s="65" t="s">
        <v>450</v>
      </c>
      <c r="C86" s="65" t="s">
        <v>437</v>
      </c>
      <c r="D86" s="174" t="s">
        <v>73</v>
      </c>
      <c r="E86" s="174"/>
      <c r="F86" s="65" t="s">
        <v>157</v>
      </c>
      <c r="G86" s="66">
        <v>1</v>
      </c>
      <c r="H86" s="66"/>
      <c r="I86" s="66">
        <f>G86*AO86</f>
        <v>0</v>
      </c>
      <c r="J86" s="66">
        <f>G86*AP86</f>
        <v>0</v>
      </c>
      <c r="K86" s="66">
        <f>G86*H86</f>
        <v>0</v>
      </c>
      <c r="L86" s="66">
        <v>0.21</v>
      </c>
      <c r="M86" s="66">
        <f>G86*L86</f>
        <v>0.21</v>
      </c>
      <c r="N86" s="69" t="s">
        <v>545</v>
      </c>
      <c r="Z86" s="66">
        <f>IF(AQ86="5",BJ86,0)</f>
        <v>0</v>
      </c>
      <c r="AB86" s="66">
        <f>IF(AQ86="1",BH86,0)</f>
        <v>0</v>
      </c>
      <c r="AC86" s="66">
        <f>IF(AQ86="1",BI86,0)</f>
        <v>0</v>
      </c>
      <c r="AD86" s="66">
        <f>IF(AQ86="7",BH86,0)</f>
        <v>0</v>
      </c>
      <c r="AE86" s="66">
        <f>IF(AQ86="7",BI86,0)</f>
        <v>0</v>
      </c>
      <c r="AF86" s="66">
        <f>IF(AQ86="2",BH86,0)</f>
        <v>0</v>
      </c>
      <c r="AG86" s="66">
        <f>IF(AQ86="2",BI86,0)</f>
        <v>0</v>
      </c>
      <c r="AH86" s="66">
        <f>IF(AQ86="0",BJ86,0)</f>
        <v>0</v>
      </c>
      <c r="AI86" s="99" t="s">
        <v>450</v>
      </c>
      <c r="AJ86" s="66">
        <f>IF(AN86=0,K86,0)</f>
        <v>0</v>
      </c>
      <c r="AK86" s="66">
        <f>IF(AN86=15,K86,0)</f>
        <v>0</v>
      </c>
      <c r="AL86" s="66">
        <f>IF(AN86=21,K86,0)</f>
        <v>0</v>
      </c>
      <c r="AN86" s="66">
        <v>21</v>
      </c>
      <c r="AO86" s="66">
        <f>H86*0</f>
        <v>0</v>
      </c>
      <c r="AP86" s="66">
        <f>H86*(1-0)</f>
        <v>0</v>
      </c>
      <c r="AQ86" s="111" t="s">
        <v>652</v>
      </c>
      <c r="AV86" s="66">
        <f>AW86+AX86</f>
        <v>0</v>
      </c>
      <c r="AW86" s="66">
        <f>G86*AO86</f>
        <v>0</v>
      </c>
      <c r="AX86" s="66">
        <f>G86*AP86</f>
        <v>0</v>
      </c>
      <c r="AY86" s="111" t="s">
        <v>184</v>
      </c>
      <c r="AZ86" s="111" t="s">
        <v>358</v>
      </c>
      <c r="BA86" s="99" t="s">
        <v>498</v>
      </c>
      <c r="BC86" s="66">
        <f>AW86+AX86</f>
        <v>0</v>
      </c>
      <c r="BD86" s="66">
        <f>H86/(100-BE86)*100</f>
        <v>0</v>
      </c>
      <c r="BE86" s="66">
        <v>0</v>
      </c>
      <c r="BF86" s="66">
        <f>M86</f>
        <v>0.21</v>
      </c>
      <c r="BH86" s="66">
        <f>G86*AO86</f>
        <v>0</v>
      </c>
      <c r="BI86" s="66">
        <f>G86*AP86</f>
        <v>0</v>
      </c>
      <c r="BJ86" s="66">
        <f>G86*H86</f>
        <v>0</v>
      </c>
      <c r="BK86" s="66"/>
      <c r="BL86" s="66">
        <v>767</v>
      </c>
    </row>
    <row r="87" spans="1:64" s="58" customFormat="1" ht="15" customHeight="1">
      <c r="A87" s="64" t="s">
        <v>414</v>
      </c>
      <c r="B87" s="65" t="s">
        <v>450</v>
      </c>
      <c r="C87" s="65" t="s">
        <v>556</v>
      </c>
      <c r="D87" s="174" t="s">
        <v>732</v>
      </c>
      <c r="E87" s="174"/>
      <c r="F87" s="65" t="s">
        <v>603</v>
      </c>
      <c r="G87" s="66">
        <v>500</v>
      </c>
      <c r="H87" s="66"/>
      <c r="I87" s="66">
        <f>G87*AO87</f>
        <v>0</v>
      </c>
      <c r="J87" s="66">
        <f>G87*AP87</f>
        <v>0</v>
      </c>
      <c r="K87" s="66">
        <f>G87*H87</f>
        <v>0</v>
      </c>
      <c r="L87" s="66">
        <v>0.00105</v>
      </c>
      <c r="M87" s="66">
        <f>G87*L87</f>
        <v>0.525</v>
      </c>
      <c r="N87" s="69" t="s">
        <v>545</v>
      </c>
      <c r="Z87" s="66">
        <f>IF(AQ87="5",BJ87,0)</f>
        <v>0</v>
      </c>
      <c r="AB87" s="66">
        <f>IF(AQ87="1",BH87,0)</f>
        <v>0</v>
      </c>
      <c r="AC87" s="66">
        <f>IF(AQ87="1",BI87,0)</f>
        <v>0</v>
      </c>
      <c r="AD87" s="66">
        <f>IF(AQ87="7",BH87,0)</f>
        <v>0</v>
      </c>
      <c r="AE87" s="66">
        <f>IF(AQ87="7",BI87,0)</f>
        <v>0</v>
      </c>
      <c r="AF87" s="66">
        <f>IF(AQ87="2",BH87,0)</f>
        <v>0</v>
      </c>
      <c r="AG87" s="66">
        <f>IF(AQ87="2",BI87,0)</f>
        <v>0</v>
      </c>
      <c r="AH87" s="66">
        <f>IF(AQ87="0",BJ87,0)</f>
        <v>0</v>
      </c>
      <c r="AI87" s="99" t="s">
        <v>450</v>
      </c>
      <c r="AJ87" s="66">
        <f>IF(AN87=0,K87,0)</f>
        <v>0</v>
      </c>
      <c r="AK87" s="66">
        <f>IF(AN87=15,K87,0)</f>
        <v>0</v>
      </c>
      <c r="AL87" s="66">
        <f>IF(AN87=21,K87,0)</f>
        <v>0</v>
      </c>
      <c r="AN87" s="66">
        <v>21</v>
      </c>
      <c r="AO87" s="66">
        <f>H87*0.175563258232236</f>
        <v>0</v>
      </c>
      <c r="AP87" s="66">
        <f>H87*(1-0.175563258232236)</f>
        <v>0</v>
      </c>
      <c r="AQ87" s="111" t="s">
        <v>652</v>
      </c>
      <c r="AV87" s="66">
        <f>AW87+AX87</f>
        <v>0</v>
      </c>
      <c r="AW87" s="66">
        <f>G87*AO87</f>
        <v>0</v>
      </c>
      <c r="AX87" s="66">
        <f>G87*AP87</f>
        <v>0</v>
      </c>
      <c r="AY87" s="111" t="s">
        <v>184</v>
      </c>
      <c r="AZ87" s="111" t="s">
        <v>358</v>
      </c>
      <c r="BA87" s="99" t="s">
        <v>498</v>
      </c>
      <c r="BC87" s="66">
        <f>AW87+AX87</f>
        <v>0</v>
      </c>
      <c r="BD87" s="66">
        <f>H87/(100-BE87)*100</f>
        <v>0</v>
      </c>
      <c r="BE87" s="66">
        <v>0</v>
      </c>
      <c r="BF87" s="66">
        <f>M87</f>
        <v>0.525</v>
      </c>
      <c r="BH87" s="66">
        <f>G87*AO87</f>
        <v>0</v>
      </c>
      <c r="BI87" s="66">
        <f>G87*AP87</f>
        <v>0</v>
      </c>
      <c r="BJ87" s="66">
        <f>G87*H87</f>
        <v>0</v>
      </c>
      <c r="BK87" s="66"/>
      <c r="BL87" s="66">
        <v>767</v>
      </c>
    </row>
    <row r="88" spans="1:47" s="58" customFormat="1" ht="15" customHeight="1">
      <c r="A88" s="95" t="s">
        <v>450</v>
      </c>
      <c r="B88" s="96" t="s">
        <v>450</v>
      </c>
      <c r="C88" s="96" t="s">
        <v>242</v>
      </c>
      <c r="D88" s="173" t="s">
        <v>85</v>
      </c>
      <c r="E88" s="173"/>
      <c r="F88" s="97" t="s">
        <v>595</v>
      </c>
      <c r="G88" s="97" t="s">
        <v>595</v>
      </c>
      <c r="H88" s="97"/>
      <c r="I88" s="98">
        <f>SUM(I89:I89)</f>
        <v>0</v>
      </c>
      <c r="J88" s="98">
        <f>SUM(J89:J89)</f>
        <v>0</v>
      </c>
      <c r="K88" s="98">
        <f>SUM(K89:K89)</f>
        <v>0</v>
      </c>
      <c r="L88" s="99" t="s">
        <v>450</v>
      </c>
      <c r="M88" s="98">
        <f>SUM(M89:M89)</f>
        <v>6.806</v>
      </c>
      <c r="N88" s="100" t="s">
        <v>450</v>
      </c>
      <c r="AI88" s="99" t="s">
        <v>450</v>
      </c>
      <c r="AS88" s="98">
        <f>SUM(AJ89:AJ89)</f>
        <v>0</v>
      </c>
      <c r="AT88" s="98">
        <f>SUM(AK89:AK89)</f>
        <v>0</v>
      </c>
      <c r="AU88" s="98">
        <f>SUM(AL89:AL89)</f>
        <v>0</v>
      </c>
    </row>
    <row r="89" spans="1:64" s="58" customFormat="1" ht="15" customHeight="1">
      <c r="A89" s="64" t="s">
        <v>606</v>
      </c>
      <c r="B89" s="65" t="s">
        <v>450</v>
      </c>
      <c r="C89" s="65" t="s">
        <v>326</v>
      </c>
      <c r="D89" s="174" t="s">
        <v>438</v>
      </c>
      <c r="E89" s="174"/>
      <c r="F89" s="65" t="s">
        <v>635</v>
      </c>
      <c r="G89" s="66">
        <v>340.3</v>
      </c>
      <c r="H89" s="66"/>
      <c r="I89" s="66">
        <f>G89*AO89</f>
        <v>0</v>
      </c>
      <c r="J89" s="66">
        <f>G89*AP89</f>
        <v>0</v>
      </c>
      <c r="K89" s="66">
        <f>G89*H89</f>
        <v>0</v>
      </c>
      <c r="L89" s="66">
        <v>0.02</v>
      </c>
      <c r="M89" s="66">
        <f>G89*L89</f>
        <v>6.806</v>
      </c>
      <c r="N89" s="69" t="s">
        <v>545</v>
      </c>
      <c r="Z89" s="66">
        <f>IF(AQ89="5",BJ89,0)</f>
        <v>0</v>
      </c>
      <c r="AB89" s="66">
        <f>IF(AQ89="1",BH89,0)</f>
        <v>0</v>
      </c>
      <c r="AC89" s="66">
        <f>IF(AQ89="1",BI89,0)</f>
        <v>0</v>
      </c>
      <c r="AD89" s="66">
        <f>IF(AQ89="7",BH89,0)</f>
        <v>0</v>
      </c>
      <c r="AE89" s="66">
        <f>IF(AQ89="7",BI89,0)</f>
        <v>0</v>
      </c>
      <c r="AF89" s="66">
        <f>IF(AQ89="2",BH89,0)</f>
        <v>0</v>
      </c>
      <c r="AG89" s="66">
        <f>IF(AQ89="2",BI89,0)</f>
        <v>0</v>
      </c>
      <c r="AH89" s="66">
        <f>IF(AQ89="0",BJ89,0)</f>
        <v>0</v>
      </c>
      <c r="AI89" s="99" t="s">
        <v>450</v>
      </c>
      <c r="AJ89" s="66">
        <f>IF(AN89=0,K89,0)</f>
        <v>0</v>
      </c>
      <c r="AK89" s="66">
        <f>IF(AN89=15,K89,0)</f>
        <v>0</v>
      </c>
      <c r="AL89" s="66">
        <f>IF(AN89=21,K89,0)</f>
        <v>0</v>
      </c>
      <c r="AN89" s="66">
        <v>21</v>
      </c>
      <c r="AO89" s="66">
        <f>H89*0</f>
        <v>0</v>
      </c>
      <c r="AP89" s="66">
        <f>H89*(1-0)</f>
        <v>0</v>
      </c>
      <c r="AQ89" s="111" t="s">
        <v>652</v>
      </c>
      <c r="AV89" s="66">
        <f>AW89+AX89</f>
        <v>0</v>
      </c>
      <c r="AW89" s="66">
        <f>G89*AO89</f>
        <v>0</v>
      </c>
      <c r="AX89" s="66">
        <f>G89*AP89</f>
        <v>0</v>
      </c>
      <c r="AY89" s="111" t="s">
        <v>514</v>
      </c>
      <c r="AZ89" s="111" t="s">
        <v>153</v>
      </c>
      <c r="BA89" s="99" t="s">
        <v>498</v>
      </c>
      <c r="BC89" s="66">
        <f>AW89+AX89</f>
        <v>0</v>
      </c>
      <c r="BD89" s="66">
        <f>H89/(100-BE89)*100</f>
        <v>0</v>
      </c>
      <c r="BE89" s="66">
        <v>0</v>
      </c>
      <c r="BF89" s="66">
        <f>M89</f>
        <v>6.806</v>
      </c>
      <c r="BH89" s="66">
        <f>G89*AO89</f>
        <v>0</v>
      </c>
      <c r="BI89" s="66">
        <f>G89*AP89</f>
        <v>0</v>
      </c>
      <c r="BJ89" s="66">
        <f>G89*H89</f>
        <v>0</v>
      </c>
      <c r="BK89" s="66"/>
      <c r="BL89" s="66">
        <v>775</v>
      </c>
    </row>
    <row r="90" spans="1:47" s="58" customFormat="1" ht="15" customHeight="1">
      <c r="A90" s="95" t="s">
        <v>450</v>
      </c>
      <c r="B90" s="96" t="s">
        <v>450</v>
      </c>
      <c r="C90" s="96" t="s">
        <v>518</v>
      </c>
      <c r="D90" s="173" t="s">
        <v>435</v>
      </c>
      <c r="E90" s="173"/>
      <c r="F90" s="97" t="s">
        <v>595</v>
      </c>
      <c r="G90" s="97" t="s">
        <v>595</v>
      </c>
      <c r="H90" s="97"/>
      <c r="I90" s="98">
        <f>SUM(I91:I92)</f>
        <v>0</v>
      </c>
      <c r="J90" s="98">
        <f>SUM(J91:J92)</f>
        <v>0</v>
      </c>
      <c r="K90" s="98">
        <f>SUM(K91:K92)</f>
        <v>0</v>
      </c>
      <c r="L90" s="99" t="s">
        <v>450</v>
      </c>
      <c r="M90" s="98">
        <f>SUM(M91:M92)</f>
        <v>0.7213</v>
      </c>
      <c r="N90" s="100" t="s">
        <v>450</v>
      </c>
      <c r="AI90" s="99" t="s">
        <v>450</v>
      </c>
      <c r="AS90" s="98">
        <f>SUM(AJ91:AJ92)</f>
        <v>0</v>
      </c>
      <c r="AT90" s="98">
        <f>SUM(AK91:AK92)</f>
        <v>0</v>
      </c>
      <c r="AU90" s="98">
        <f>SUM(AL91:AL92)</f>
        <v>0</v>
      </c>
    </row>
    <row r="91" spans="1:64" s="58" customFormat="1" ht="15" customHeight="1">
      <c r="A91" s="64" t="s">
        <v>382</v>
      </c>
      <c r="B91" s="65" t="s">
        <v>450</v>
      </c>
      <c r="C91" s="65" t="s">
        <v>428</v>
      </c>
      <c r="D91" s="174" t="s">
        <v>616</v>
      </c>
      <c r="E91" s="174"/>
      <c r="F91" s="65" t="s">
        <v>635</v>
      </c>
      <c r="G91" s="66">
        <v>642.2</v>
      </c>
      <c r="H91" s="66"/>
      <c r="I91" s="66">
        <f>G91*AO91</f>
        <v>0</v>
      </c>
      <c r="J91" s="66">
        <f>G91*AP91</f>
        <v>0</v>
      </c>
      <c r="K91" s="66">
        <f>G91*H91</f>
        <v>0</v>
      </c>
      <c r="L91" s="66">
        <v>0.001</v>
      </c>
      <c r="M91" s="66">
        <f>G91*L91</f>
        <v>0.6422000000000001</v>
      </c>
      <c r="N91" s="69" t="s">
        <v>545</v>
      </c>
      <c r="Z91" s="66">
        <f>IF(AQ91="5",BJ91,0)</f>
        <v>0</v>
      </c>
      <c r="AB91" s="66">
        <f>IF(AQ91="1",BH91,0)</f>
        <v>0</v>
      </c>
      <c r="AC91" s="66">
        <f>IF(AQ91="1",BI91,0)</f>
        <v>0</v>
      </c>
      <c r="AD91" s="66">
        <f>IF(AQ91="7",BH91,0)</f>
        <v>0</v>
      </c>
      <c r="AE91" s="66">
        <f>IF(AQ91="7",BI91,0)</f>
        <v>0</v>
      </c>
      <c r="AF91" s="66">
        <f>IF(AQ91="2",BH91,0)</f>
        <v>0</v>
      </c>
      <c r="AG91" s="66">
        <f>IF(AQ91="2",BI91,0)</f>
        <v>0</v>
      </c>
      <c r="AH91" s="66">
        <f>IF(AQ91="0",BJ91,0)</f>
        <v>0</v>
      </c>
      <c r="AI91" s="99" t="s">
        <v>450</v>
      </c>
      <c r="AJ91" s="66">
        <f>IF(AN91=0,K91,0)</f>
        <v>0</v>
      </c>
      <c r="AK91" s="66">
        <f>IF(AN91=15,K91,0)</f>
        <v>0</v>
      </c>
      <c r="AL91" s="66">
        <f>IF(AN91=21,K91,0)</f>
        <v>0</v>
      </c>
      <c r="AN91" s="66">
        <v>21</v>
      </c>
      <c r="AO91" s="66">
        <f>H91*0</f>
        <v>0</v>
      </c>
      <c r="AP91" s="66">
        <f>H91*(1-0)</f>
        <v>0</v>
      </c>
      <c r="AQ91" s="111" t="s">
        <v>652</v>
      </c>
      <c r="AV91" s="66">
        <f>AW91+AX91</f>
        <v>0</v>
      </c>
      <c r="AW91" s="66">
        <f>G91*AO91</f>
        <v>0</v>
      </c>
      <c r="AX91" s="66">
        <f>G91*AP91</f>
        <v>0</v>
      </c>
      <c r="AY91" s="111" t="s">
        <v>125</v>
      </c>
      <c r="AZ91" s="111" t="s">
        <v>153</v>
      </c>
      <c r="BA91" s="99" t="s">
        <v>498</v>
      </c>
      <c r="BC91" s="66">
        <f>AW91+AX91</f>
        <v>0</v>
      </c>
      <c r="BD91" s="66">
        <f>H91/(100-BE91)*100</f>
        <v>0</v>
      </c>
      <c r="BE91" s="66">
        <v>0</v>
      </c>
      <c r="BF91" s="66">
        <f>M91</f>
        <v>0.6422000000000001</v>
      </c>
      <c r="BH91" s="66">
        <f>G91*AO91</f>
        <v>0</v>
      </c>
      <c r="BI91" s="66">
        <f>G91*AP91</f>
        <v>0</v>
      </c>
      <c r="BJ91" s="66">
        <f>G91*H91</f>
        <v>0</v>
      </c>
      <c r="BK91" s="66"/>
      <c r="BL91" s="66">
        <v>776</v>
      </c>
    </row>
    <row r="92" spans="1:64" s="58" customFormat="1" ht="15" customHeight="1">
      <c r="A92" s="64" t="s">
        <v>308</v>
      </c>
      <c r="B92" s="65" t="s">
        <v>450</v>
      </c>
      <c r="C92" s="65" t="s">
        <v>219</v>
      </c>
      <c r="D92" s="174" t="s">
        <v>668</v>
      </c>
      <c r="E92" s="174"/>
      <c r="F92" s="65" t="s">
        <v>635</v>
      </c>
      <c r="G92" s="66">
        <v>79.1</v>
      </c>
      <c r="H92" s="66"/>
      <c r="I92" s="66">
        <f>G92*AO92</f>
        <v>0</v>
      </c>
      <c r="J92" s="66">
        <f>G92*AP92</f>
        <v>0</v>
      </c>
      <c r="K92" s="66">
        <f>G92*H92</f>
        <v>0</v>
      </c>
      <c r="L92" s="66">
        <v>0.001</v>
      </c>
      <c r="M92" s="66">
        <f>G92*L92</f>
        <v>0.07909999999999999</v>
      </c>
      <c r="N92" s="69" t="s">
        <v>545</v>
      </c>
      <c r="Z92" s="66">
        <f>IF(AQ92="5",BJ92,0)</f>
        <v>0</v>
      </c>
      <c r="AB92" s="66">
        <f>IF(AQ92="1",BH92,0)</f>
        <v>0</v>
      </c>
      <c r="AC92" s="66">
        <f>IF(AQ92="1",BI92,0)</f>
        <v>0</v>
      </c>
      <c r="AD92" s="66">
        <f>IF(AQ92="7",BH92,0)</f>
        <v>0</v>
      </c>
      <c r="AE92" s="66">
        <f>IF(AQ92="7",BI92,0)</f>
        <v>0</v>
      </c>
      <c r="AF92" s="66">
        <f>IF(AQ92="2",BH92,0)</f>
        <v>0</v>
      </c>
      <c r="AG92" s="66">
        <f>IF(AQ92="2",BI92,0)</f>
        <v>0</v>
      </c>
      <c r="AH92" s="66">
        <f>IF(AQ92="0",BJ92,0)</f>
        <v>0</v>
      </c>
      <c r="AI92" s="99" t="s">
        <v>450</v>
      </c>
      <c r="AJ92" s="66">
        <f>IF(AN92=0,K92,0)</f>
        <v>0</v>
      </c>
      <c r="AK92" s="66">
        <f>IF(AN92=15,K92,0)</f>
        <v>0</v>
      </c>
      <c r="AL92" s="66">
        <f>IF(AN92=21,K92,0)</f>
        <v>0</v>
      </c>
      <c r="AN92" s="66">
        <v>21</v>
      </c>
      <c r="AO92" s="66">
        <f>H92*0</f>
        <v>0</v>
      </c>
      <c r="AP92" s="66">
        <f>H92*(1-0)</f>
        <v>0</v>
      </c>
      <c r="AQ92" s="111" t="s">
        <v>652</v>
      </c>
      <c r="AV92" s="66">
        <f>AW92+AX92</f>
        <v>0</v>
      </c>
      <c r="AW92" s="66">
        <f>G92*AO92</f>
        <v>0</v>
      </c>
      <c r="AX92" s="66">
        <f>G92*AP92</f>
        <v>0</v>
      </c>
      <c r="AY92" s="111" t="s">
        <v>125</v>
      </c>
      <c r="AZ92" s="111" t="s">
        <v>153</v>
      </c>
      <c r="BA92" s="99" t="s">
        <v>498</v>
      </c>
      <c r="BC92" s="66">
        <f>AW92+AX92</f>
        <v>0</v>
      </c>
      <c r="BD92" s="66">
        <f>H92/(100-BE92)*100</f>
        <v>0</v>
      </c>
      <c r="BE92" s="66">
        <v>0</v>
      </c>
      <c r="BF92" s="66">
        <f>M92</f>
        <v>0.07909999999999999</v>
      </c>
      <c r="BH92" s="66">
        <f>G92*AO92</f>
        <v>0</v>
      </c>
      <c r="BI92" s="66">
        <f>G92*AP92</f>
        <v>0</v>
      </c>
      <c r="BJ92" s="66">
        <f>G92*H92</f>
        <v>0</v>
      </c>
      <c r="BK92" s="66"/>
      <c r="BL92" s="66">
        <v>776</v>
      </c>
    </row>
    <row r="93" spans="1:47" s="58" customFormat="1" ht="15" customHeight="1">
      <c r="A93" s="95" t="s">
        <v>450</v>
      </c>
      <c r="B93" s="96" t="s">
        <v>450</v>
      </c>
      <c r="C93" s="96" t="s">
        <v>23</v>
      </c>
      <c r="D93" s="173" t="s">
        <v>238</v>
      </c>
      <c r="E93" s="173"/>
      <c r="F93" s="97" t="s">
        <v>595</v>
      </c>
      <c r="G93" s="97" t="s">
        <v>595</v>
      </c>
      <c r="H93" s="97"/>
      <c r="I93" s="98">
        <f>SUM(I94:I94)</f>
        <v>0</v>
      </c>
      <c r="J93" s="98">
        <f>SUM(J94:J94)</f>
        <v>0</v>
      </c>
      <c r="K93" s="98">
        <f>SUM(K94:K94)</f>
        <v>0</v>
      </c>
      <c r="L93" s="99" t="s">
        <v>450</v>
      </c>
      <c r="M93" s="98">
        <f>SUM(M94:M94)</f>
        <v>3.873275</v>
      </c>
      <c r="N93" s="100" t="s">
        <v>450</v>
      </c>
      <c r="AI93" s="99" t="s">
        <v>450</v>
      </c>
      <c r="AS93" s="98">
        <f>SUM(AJ94:AJ94)</f>
        <v>0</v>
      </c>
      <c r="AT93" s="98">
        <f>SUM(AK94:AK94)</f>
        <v>0</v>
      </c>
      <c r="AU93" s="98">
        <f>SUM(AL94:AL94)</f>
        <v>0</v>
      </c>
    </row>
    <row r="94" spans="1:64" s="58" customFormat="1" ht="15" customHeight="1">
      <c r="A94" s="64" t="s">
        <v>84</v>
      </c>
      <c r="B94" s="65" t="s">
        <v>450</v>
      </c>
      <c r="C94" s="65" t="s">
        <v>681</v>
      </c>
      <c r="D94" s="174" t="s">
        <v>51</v>
      </c>
      <c r="E94" s="174"/>
      <c r="F94" s="65" t="s">
        <v>538</v>
      </c>
      <c r="G94" s="66">
        <v>17.5</v>
      </c>
      <c r="H94" s="66"/>
      <c r="I94" s="66">
        <f>G94*AO94</f>
        <v>0</v>
      </c>
      <c r="J94" s="66">
        <f>G94*AP94</f>
        <v>0</v>
      </c>
      <c r="K94" s="66">
        <f>G94*H94</f>
        <v>0</v>
      </c>
      <c r="L94" s="66">
        <v>0.22133</v>
      </c>
      <c r="M94" s="66">
        <f>G94*L94</f>
        <v>3.873275</v>
      </c>
      <c r="N94" s="69" t="s">
        <v>545</v>
      </c>
      <c r="Z94" s="66">
        <f>IF(AQ94="5",BJ94,0)</f>
        <v>0</v>
      </c>
      <c r="AB94" s="66">
        <f>IF(AQ94="1",BH94,0)</f>
        <v>0</v>
      </c>
      <c r="AC94" s="66">
        <f>IF(AQ94="1",BI94,0)</f>
        <v>0</v>
      </c>
      <c r="AD94" s="66">
        <f>IF(AQ94="7",BH94,0)</f>
        <v>0</v>
      </c>
      <c r="AE94" s="66">
        <f>IF(AQ94="7",BI94,0)</f>
        <v>0</v>
      </c>
      <c r="AF94" s="66">
        <f>IF(AQ94="2",BH94,0)</f>
        <v>0</v>
      </c>
      <c r="AG94" s="66">
        <f>IF(AQ94="2",BI94,0)</f>
        <v>0</v>
      </c>
      <c r="AH94" s="66">
        <f>IF(AQ94="0",BJ94,0)</f>
        <v>0</v>
      </c>
      <c r="AI94" s="99" t="s">
        <v>450</v>
      </c>
      <c r="AJ94" s="66">
        <f>IF(AN94=0,K94,0)</f>
        <v>0</v>
      </c>
      <c r="AK94" s="66">
        <f>IF(AN94=15,K94,0)</f>
        <v>0</v>
      </c>
      <c r="AL94" s="66">
        <f>IF(AN94=21,K94,0)</f>
        <v>0</v>
      </c>
      <c r="AN94" s="66">
        <v>21</v>
      </c>
      <c r="AO94" s="66">
        <f>H94*0.71671844914594</f>
        <v>0</v>
      </c>
      <c r="AP94" s="66">
        <f>H94*(1-0.71671844914594)</f>
        <v>0</v>
      </c>
      <c r="AQ94" s="111" t="s">
        <v>644</v>
      </c>
      <c r="AV94" s="66">
        <f>AW94+AX94</f>
        <v>0</v>
      </c>
      <c r="AW94" s="66">
        <f>G94*AO94</f>
        <v>0</v>
      </c>
      <c r="AX94" s="66">
        <f>G94*AP94</f>
        <v>0</v>
      </c>
      <c r="AY94" s="111" t="s">
        <v>629</v>
      </c>
      <c r="AZ94" s="111" t="s">
        <v>233</v>
      </c>
      <c r="BA94" s="99" t="s">
        <v>498</v>
      </c>
      <c r="BC94" s="66">
        <f>AW94+AX94</f>
        <v>0</v>
      </c>
      <c r="BD94" s="66">
        <f>H94/(100-BE94)*100</f>
        <v>0</v>
      </c>
      <c r="BE94" s="66">
        <v>0</v>
      </c>
      <c r="BF94" s="66">
        <f>M94</f>
        <v>3.873275</v>
      </c>
      <c r="BH94" s="66">
        <f>G94*AO94</f>
        <v>0</v>
      </c>
      <c r="BI94" s="66">
        <f>G94*AP94</f>
        <v>0</v>
      </c>
      <c r="BJ94" s="66">
        <f>G94*H94</f>
        <v>0</v>
      </c>
      <c r="BK94" s="66"/>
      <c r="BL94" s="66">
        <v>91</v>
      </c>
    </row>
    <row r="95" spans="1:47" s="58" customFormat="1" ht="15" customHeight="1">
      <c r="A95" s="95" t="s">
        <v>450</v>
      </c>
      <c r="B95" s="96" t="s">
        <v>450</v>
      </c>
      <c r="C95" s="96" t="s">
        <v>80</v>
      </c>
      <c r="D95" s="173" t="s">
        <v>457</v>
      </c>
      <c r="E95" s="173"/>
      <c r="F95" s="97" t="s">
        <v>595</v>
      </c>
      <c r="G95" s="97" t="s">
        <v>595</v>
      </c>
      <c r="H95" s="97"/>
      <c r="I95" s="98">
        <f>SUM(I96:I99)</f>
        <v>0</v>
      </c>
      <c r="J95" s="98">
        <f>SUM(J96:J99)</f>
        <v>0</v>
      </c>
      <c r="K95" s="98">
        <f>SUM(K96:K99)</f>
        <v>0</v>
      </c>
      <c r="L95" s="99" t="s">
        <v>450</v>
      </c>
      <c r="M95" s="98">
        <f>SUM(M96:M99)</f>
        <v>7.896303679999999</v>
      </c>
      <c r="N95" s="100" t="s">
        <v>450</v>
      </c>
      <c r="AI95" s="99" t="s">
        <v>450</v>
      </c>
      <c r="AS95" s="98">
        <f>SUM(AJ96:AJ99)</f>
        <v>0</v>
      </c>
      <c r="AT95" s="98">
        <f>SUM(AK96:AK99)</f>
        <v>0</v>
      </c>
      <c r="AU95" s="98">
        <f>SUM(AL96:AL99)</f>
        <v>0</v>
      </c>
    </row>
    <row r="96" spans="1:64" s="58" customFormat="1" ht="15" customHeight="1">
      <c r="A96" s="64" t="s">
        <v>466</v>
      </c>
      <c r="B96" s="65" t="s">
        <v>450</v>
      </c>
      <c r="C96" s="65" t="s">
        <v>667</v>
      </c>
      <c r="D96" s="174" t="s">
        <v>525</v>
      </c>
      <c r="E96" s="174"/>
      <c r="F96" s="65" t="s">
        <v>635</v>
      </c>
      <c r="G96" s="66">
        <v>640</v>
      </c>
      <c r="H96" s="66"/>
      <c r="I96" s="66">
        <f>G96*AO96</f>
        <v>0</v>
      </c>
      <c r="J96" s="66">
        <f>G96*AP96</f>
        <v>0</v>
      </c>
      <c r="K96" s="66">
        <f>G96*H96</f>
        <v>0</v>
      </c>
      <c r="L96" s="66">
        <v>0.00158</v>
      </c>
      <c r="M96" s="66">
        <f>G96*L96</f>
        <v>1.0112</v>
      </c>
      <c r="N96" s="69" t="s">
        <v>545</v>
      </c>
      <c r="Z96" s="66">
        <f>IF(AQ96="5",BJ96,0)</f>
        <v>0</v>
      </c>
      <c r="AB96" s="66">
        <f>IF(AQ96="1",BH96,0)</f>
        <v>0</v>
      </c>
      <c r="AC96" s="66">
        <f>IF(AQ96="1",BI96,0)</f>
        <v>0</v>
      </c>
      <c r="AD96" s="66">
        <f>IF(AQ96="7",BH96,0)</f>
        <v>0</v>
      </c>
      <c r="AE96" s="66">
        <f>IF(AQ96="7",BI96,0)</f>
        <v>0</v>
      </c>
      <c r="AF96" s="66">
        <f>IF(AQ96="2",BH96,0)</f>
        <v>0</v>
      </c>
      <c r="AG96" s="66">
        <f>IF(AQ96="2",BI96,0)</f>
        <v>0</v>
      </c>
      <c r="AH96" s="66">
        <f>IF(AQ96="0",BJ96,0)</f>
        <v>0</v>
      </c>
      <c r="AI96" s="99" t="s">
        <v>450</v>
      </c>
      <c r="AJ96" s="66">
        <f>IF(AN96=0,K96,0)</f>
        <v>0</v>
      </c>
      <c r="AK96" s="66">
        <f>IF(AN96=15,K96,0)</f>
        <v>0</v>
      </c>
      <c r="AL96" s="66">
        <f>IF(AN96=21,K96,0)</f>
        <v>0</v>
      </c>
      <c r="AN96" s="66">
        <v>21</v>
      </c>
      <c r="AO96" s="66">
        <f>H96*0.422332361516035</f>
        <v>0</v>
      </c>
      <c r="AP96" s="66">
        <f>H96*(1-0.422332361516035)</f>
        <v>0</v>
      </c>
      <c r="AQ96" s="111" t="s">
        <v>644</v>
      </c>
      <c r="AV96" s="66">
        <f>AW96+AX96</f>
        <v>0</v>
      </c>
      <c r="AW96" s="66">
        <f>G96*AO96</f>
        <v>0</v>
      </c>
      <c r="AX96" s="66">
        <f>G96*AP96</f>
        <v>0</v>
      </c>
      <c r="AY96" s="111" t="s">
        <v>717</v>
      </c>
      <c r="AZ96" s="111" t="s">
        <v>233</v>
      </c>
      <c r="BA96" s="99" t="s">
        <v>498</v>
      </c>
      <c r="BC96" s="66">
        <f>AW96+AX96</f>
        <v>0</v>
      </c>
      <c r="BD96" s="66">
        <f>H96/(100-BE96)*100</f>
        <v>0</v>
      </c>
      <c r="BE96" s="66">
        <v>0</v>
      </c>
      <c r="BF96" s="66">
        <f>M96</f>
        <v>1.0112</v>
      </c>
      <c r="BH96" s="66">
        <f>G96*AO96</f>
        <v>0</v>
      </c>
      <c r="BI96" s="66">
        <f>G96*AP96</f>
        <v>0</v>
      </c>
      <c r="BJ96" s="66">
        <f>G96*H96</f>
        <v>0</v>
      </c>
      <c r="BK96" s="66"/>
      <c r="BL96" s="66">
        <v>94</v>
      </c>
    </row>
    <row r="97" spans="1:64" s="58" customFormat="1" ht="15" customHeight="1">
      <c r="A97" s="64" t="s">
        <v>723</v>
      </c>
      <c r="B97" s="65" t="s">
        <v>450</v>
      </c>
      <c r="C97" s="65" t="s">
        <v>389</v>
      </c>
      <c r="D97" s="174" t="s">
        <v>207</v>
      </c>
      <c r="E97" s="174"/>
      <c r="F97" s="65" t="s">
        <v>621</v>
      </c>
      <c r="G97" s="66">
        <v>936.7488</v>
      </c>
      <c r="H97" s="66"/>
      <c r="I97" s="66">
        <f>G97*AO97</f>
        <v>0</v>
      </c>
      <c r="J97" s="66">
        <f>G97*AP97</f>
        <v>0</v>
      </c>
      <c r="K97" s="66">
        <f>G97*H97</f>
        <v>0</v>
      </c>
      <c r="L97" s="66">
        <v>0.00735</v>
      </c>
      <c r="M97" s="66">
        <f>G97*L97</f>
        <v>6.885103679999999</v>
      </c>
      <c r="N97" s="69" t="s">
        <v>545</v>
      </c>
      <c r="Z97" s="66">
        <f>IF(AQ97="5",BJ97,0)</f>
        <v>0</v>
      </c>
      <c r="AB97" s="66">
        <f>IF(AQ97="1",BH97,0)</f>
        <v>0</v>
      </c>
      <c r="AC97" s="66">
        <f>IF(AQ97="1",BI97,0)</f>
        <v>0</v>
      </c>
      <c r="AD97" s="66">
        <f>IF(AQ97="7",BH97,0)</f>
        <v>0</v>
      </c>
      <c r="AE97" s="66">
        <f>IF(AQ97="7",BI97,0)</f>
        <v>0</v>
      </c>
      <c r="AF97" s="66">
        <f>IF(AQ97="2",BH97,0)</f>
        <v>0</v>
      </c>
      <c r="AG97" s="66">
        <f>IF(AQ97="2",BI97,0)</f>
        <v>0</v>
      </c>
      <c r="AH97" s="66">
        <f>IF(AQ97="0",BJ97,0)</f>
        <v>0</v>
      </c>
      <c r="AI97" s="99" t="s">
        <v>450</v>
      </c>
      <c r="AJ97" s="66">
        <f>IF(AN97=0,K97,0)</f>
        <v>0</v>
      </c>
      <c r="AK97" s="66">
        <f>IF(AN97=15,K97,0)</f>
        <v>0</v>
      </c>
      <c r="AL97" s="66">
        <f>IF(AN97=21,K97,0)</f>
        <v>0</v>
      </c>
      <c r="AN97" s="66">
        <v>21</v>
      </c>
      <c r="AO97" s="66">
        <f>H97*0.000903614462480137</f>
        <v>0</v>
      </c>
      <c r="AP97" s="66">
        <f>H97*(1-0.000903614462480137)</f>
        <v>0</v>
      </c>
      <c r="AQ97" s="111" t="s">
        <v>644</v>
      </c>
      <c r="AV97" s="66">
        <f>AW97+AX97</f>
        <v>0</v>
      </c>
      <c r="AW97" s="66">
        <f>G97*AO97</f>
        <v>0</v>
      </c>
      <c r="AX97" s="66">
        <f>G97*AP97</f>
        <v>0</v>
      </c>
      <c r="AY97" s="111" t="s">
        <v>717</v>
      </c>
      <c r="AZ97" s="111" t="s">
        <v>233</v>
      </c>
      <c r="BA97" s="99" t="s">
        <v>498</v>
      </c>
      <c r="BC97" s="66">
        <f>AW97+AX97</f>
        <v>0</v>
      </c>
      <c r="BD97" s="66">
        <f>H97/(100-BE97)*100</f>
        <v>0</v>
      </c>
      <c r="BE97" s="66">
        <v>0</v>
      </c>
      <c r="BF97" s="66">
        <f>M97</f>
        <v>6.885103679999999</v>
      </c>
      <c r="BH97" s="66">
        <f>G97*AO97</f>
        <v>0</v>
      </c>
      <c r="BI97" s="66">
        <f>G97*AP97</f>
        <v>0</v>
      </c>
      <c r="BJ97" s="66">
        <f>G97*H97</f>
        <v>0</v>
      </c>
      <c r="BK97" s="66"/>
      <c r="BL97" s="66">
        <v>94</v>
      </c>
    </row>
    <row r="98" spans="1:64" s="58" customFormat="1" ht="15" customHeight="1">
      <c r="A98" s="64" t="s">
        <v>143</v>
      </c>
      <c r="B98" s="65" t="s">
        <v>450</v>
      </c>
      <c r="C98" s="65" t="s">
        <v>441</v>
      </c>
      <c r="D98" s="174" t="s">
        <v>168</v>
      </c>
      <c r="E98" s="174"/>
      <c r="F98" s="65" t="s">
        <v>621</v>
      </c>
      <c r="G98" s="66">
        <v>640</v>
      </c>
      <c r="H98" s="66"/>
      <c r="I98" s="66">
        <f>G98*AO98</f>
        <v>0</v>
      </c>
      <c r="J98" s="66">
        <f>G98*AP98</f>
        <v>0</v>
      </c>
      <c r="K98" s="66">
        <f>G98*H98</f>
        <v>0</v>
      </c>
      <c r="L98" s="66">
        <v>0</v>
      </c>
      <c r="M98" s="66">
        <f>G98*L98</f>
        <v>0</v>
      </c>
      <c r="N98" s="69" t="s">
        <v>545</v>
      </c>
      <c r="Z98" s="66">
        <f>IF(AQ98="5",BJ98,0)</f>
        <v>0</v>
      </c>
      <c r="AB98" s="66">
        <f>IF(AQ98="1",BH98,0)</f>
        <v>0</v>
      </c>
      <c r="AC98" s="66">
        <f>IF(AQ98="1",BI98,0)</f>
        <v>0</v>
      </c>
      <c r="AD98" s="66">
        <f>IF(AQ98="7",BH98,0)</f>
        <v>0</v>
      </c>
      <c r="AE98" s="66">
        <f>IF(AQ98="7",BI98,0)</f>
        <v>0</v>
      </c>
      <c r="AF98" s="66">
        <f>IF(AQ98="2",BH98,0)</f>
        <v>0</v>
      </c>
      <c r="AG98" s="66">
        <f>IF(AQ98="2",BI98,0)</f>
        <v>0</v>
      </c>
      <c r="AH98" s="66">
        <f>IF(AQ98="0",BJ98,0)</f>
        <v>0</v>
      </c>
      <c r="AI98" s="99" t="s">
        <v>450</v>
      </c>
      <c r="AJ98" s="66">
        <f>IF(AN98=0,K98,0)</f>
        <v>0</v>
      </c>
      <c r="AK98" s="66">
        <f>IF(AN98=15,K98,0)</f>
        <v>0</v>
      </c>
      <c r="AL98" s="66">
        <f>IF(AN98=21,K98,0)</f>
        <v>0</v>
      </c>
      <c r="AN98" s="66">
        <v>21</v>
      </c>
      <c r="AO98" s="66">
        <f>H98*0</f>
        <v>0</v>
      </c>
      <c r="AP98" s="66">
        <f>H98*(1-0)</f>
        <v>0</v>
      </c>
      <c r="AQ98" s="111" t="s">
        <v>644</v>
      </c>
      <c r="AV98" s="66">
        <f>AW98+AX98</f>
        <v>0</v>
      </c>
      <c r="AW98" s="66">
        <f>G98*AO98</f>
        <v>0</v>
      </c>
      <c r="AX98" s="66">
        <f>G98*AP98</f>
        <v>0</v>
      </c>
      <c r="AY98" s="111" t="s">
        <v>717</v>
      </c>
      <c r="AZ98" s="111" t="s">
        <v>233</v>
      </c>
      <c r="BA98" s="99" t="s">
        <v>498</v>
      </c>
      <c r="BC98" s="66">
        <f>AW98+AX98</f>
        <v>0</v>
      </c>
      <c r="BD98" s="66">
        <f>H98/(100-BE98)*100</f>
        <v>0</v>
      </c>
      <c r="BE98" s="66">
        <v>0</v>
      </c>
      <c r="BF98" s="66">
        <f>M98</f>
        <v>0</v>
      </c>
      <c r="BH98" s="66">
        <f>G98*AO98</f>
        <v>0</v>
      </c>
      <c r="BI98" s="66">
        <f>G98*AP98</f>
        <v>0</v>
      </c>
      <c r="BJ98" s="66">
        <f>G98*H98</f>
        <v>0</v>
      </c>
      <c r="BK98" s="66"/>
      <c r="BL98" s="66">
        <v>94</v>
      </c>
    </row>
    <row r="99" spans="1:64" s="58" customFormat="1" ht="15" customHeight="1">
      <c r="A99" s="64" t="s">
        <v>333</v>
      </c>
      <c r="B99" s="65" t="s">
        <v>450</v>
      </c>
      <c r="C99" s="65" t="s">
        <v>442</v>
      </c>
      <c r="D99" s="174" t="s">
        <v>688</v>
      </c>
      <c r="E99" s="174"/>
      <c r="F99" s="65" t="s">
        <v>311</v>
      </c>
      <c r="G99" s="66">
        <v>180.79582</v>
      </c>
      <c r="H99" s="66"/>
      <c r="I99" s="66">
        <f>G99*AO99</f>
        <v>0</v>
      </c>
      <c r="J99" s="66">
        <f>G99*AP99</f>
        <v>0</v>
      </c>
      <c r="K99" s="66">
        <f>G99*H99</f>
        <v>0</v>
      </c>
      <c r="L99" s="66">
        <v>0</v>
      </c>
      <c r="M99" s="66">
        <f>G99*L99</f>
        <v>0</v>
      </c>
      <c r="N99" s="69" t="s">
        <v>545</v>
      </c>
      <c r="Z99" s="66">
        <f>IF(AQ99="5",BJ99,0)</f>
        <v>0</v>
      </c>
      <c r="AB99" s="66">
        <f>IF(AQ99="1",BH99,0)</f>
        <v>0</v>
      </c>
      <c r="AC99" s="66">
        <f>IF(AQ99="1",BI99,0)</f>
        <v>0</v>
      </c>
      <c r="AD99" s="66">
        <f>IF(AQ99="7",BH99,0)</f>
        <v>0</v>
      </c>
      <c r="AE99" s="66">
        <f>IF(AQ99="7",BI99,0)</f>
        <v>0</v>
      </c>
      <c r="AF99" s="66">
        <f>IF(AQ99="2",BH99,0)</f>
        <v>0</v>
      </c>
      <c r="AG99" s="66">
        <f>IF(AQ99="2",BI99,0)</f>
        <v>0</v>
      </c>
      <c r="AH99" s="66">
        <f>IF(AQ99="0",BJ99,0)</f>
        <v>0</v>
      </c>
      <c r="AI99" s="99" t="s">
        <v>450</v>
      </c>
      <c r="AJ99" s="66">
        <f>IF(AN99=0,K99,0)</f>
        <v>0</v>
      </c>
      <c r="AK99" s="66">
        <f>IF(AN99=15,K99,0)</f>
        <v>0</v>
      </c>
      <c r="AL99" s="66">
        <f>IF(AN99=21,K99,0)</f>
        <v>0</v>
      </c>
      <c r="AN99" s="66">
        <v>21</v>
      </c>
      <c r="AO99" s="66">
        <f>H99*0</f>
        <v>0</v>
      </c>
      <c r="AP99" s="66">
        <f>H99*(1-0)</f>
        <v>0</v>
      </c>
      <c r="AQ99" s="111" t="s">
        <v>355</v>
      </c>
      <c r="AV99" s="66">
        <f>AW99+AX99</f>
        <v>0</v>
      </c>
      <c r="AW99" s="66">
        <f>G99*AO99</f>
        <v>0</v>
      </c>
      <c r="AX99" s="66">
        <f>G99*AP99</f>
        <v>0</v>
      </c>
      <c r="AY99" s="111" t="s">
        <v>717</v>
      </c>
      <c r="AZ99" s="111" t="s">
        <v>233</v>
      </c>
      <c r="BA99" s="99" t="s">
        <v>498</v>
      </c>
      <c r="BC99" s="66">
        <f>AW99+AX99</f>
        <v>0</v>
      </c>
      <c r="BD99" s="66">
        <f>H99/(100-BE99)*100</f>
        <v>0</v>
      </c>
      <c r="BE99" s="66">
        <v>0</v>
      </c>
      <c r="BF99" s="66">
        <f>M99</f>
        <v>0</v>
      </c>
      <c r="BH99" s="66">
        <f>G99*AO99</f>
        <v>0</v>
      </c>
      <c r="BI99" s="66">
        <f>G99*AP99</f>
        <v>0</v>
      </c>
      <c r="BJ99" s="66">
        <f>G99*H99</f>
        <v>0</v>
      </c>
      <c r="BK99" s="66"/>
      <c r="BL99" s="66">
        <v>94</v>
      </c>
    </row>
    <row r="100" spans="1:47" s="58" customFormat="1" ht="15" customHeight="1">
      <c r="A100" s="95" t="s">
        <v>450</v>
      </c>
      <c r="B100" s="96" t="s">
        <v>450</v>
      </c>
      <c r="C100" s="96" t="s">
        <v>370</v>
      </c>
      <c r="D100" s="173" t="s">
        <v>481</v>
      </c>
      <c r="E100" s="173"/>
      <c r="F100" s="97" t="s">
        <v>595</v>
      </c>
      <c r="G100" s="97" t="s">
        <v>595</v>
      </c>
      <c r="H100" s="97"/>
      <c r="I100" s="98">
        <f>SUM(I101:I135)</f>
        <v>0</v>
      </c>
      <c r="J100" s="98">
        <f>SUM(J101:J135)</f>
        <v>0</v>
      </c>
      <c r="K100" s="98">
        <f>SUM(K101:K135)</f>
        <v>0</v>
      </c>
      <c r="L100" s="99" t="s">
        <v>450</v>
      </c>
      <c r="M100" s="98">
        <f>SUM(M101:M135)</f>
        <v>803.6925412411999</v>
      </c>
      <c r="N100" s="100" t="s">
        <v>450</v>
      </c>
      <c r="AI100" s="99" t="s">
        <v>450</v>
      </c>
      <c r="AS100" s="98">
        <f>SUM(AJ101:AJ135)</f>
        <v>0</v>
      </c>
      <c r="AT100" s="98">
        <f>SUM(AK101:AK135)</f>
        <v>0</v>
      </c>
      <c r="AU100" s="98">
        <f>SUM(AL101:AL135)</f>
        <v>0</v>
      </c>
    </row>
    <row r="101" spans="1:64" s="58" customFormat="1" ht="15" customHeight="1">
      <c r="A101" s="64" t="s">
        <v>719</v>
      </c>
      <c r="B101" s="65" t="s">
        <v>450</v>
      </c>
      <c r="C101" s="65" t="s">
        <v>64</v>
      </c>
      <c r="D101" s="174" t="s">
        <v>1</v>
      </c>
      <c r="E101" s="174"/>
      <c r="F101" s="65" t="s">
        <v>621</v>
      </c>
      <c r="G101" s="66">
        <v>28.3005</v>
      </c>
      <c r="H101" s="66"/>
      <c r="I101" s="66">
        <f aca="true" t="shared" si="76" ref="I101:I135">G101*AO101</f>
        <v>0</v>
      </c>
      <c r="J101" s="66">
        <f aca="true" t="shared" si="77" ref="J101:J135">G101*AP101</f>
        <v>0</v>
      </c>
      <c r="K101" s="66">
        <f aca="true" t="shared" si="78" ref="K101:K135">G101*H101</f>
        <v>0</v>
      </c>
      <c r="L101" s="66">
        <v>2</v>
      </c>
      <c r="M101" s="66">
        <f aca="true" t="shared" si="79" ref="M101:M135">G101*L101</f>
        <v>56.601</v>
      </c>
      <c r="N101" s="69" t="s">
        <v>545</v>
      </c>
      <c r="Z101" s="66">
        <f aca="true" t="shared" si="80" ref="Z101:Z135">IF(AQ101="5",BJ101,0)</f>
        <v>0</v>
      </c>
      <c r="AB101" s="66">
        <f aca="true" t="shared" si="81" ref="AB101:AB135">IF(AQ101="1",BH101,0)</f>
        <v>0</v>
      </c>
      <c r="AC101" s="66">
        <f aca="true" t="shared" si="82" ref="AC101:AC135">IF(AQ101="1",BI101,0)</f>
        <v>0</v>
      </c>
      <c r="AD101" s="66">
        <f aca="true" t="shared" si="83" ref="AD101:AD135">IF(AQ101="7",BH101,0)</f>
        <v>0</v>
      </c>
      <c r="AE101" s="66">
        <f aca="true" t="shared" si="84" ref="AE101:AE135">IF(AQ101="7",BI101,0)</f>
        <v>0</v>
      </c>
      <c r="AF101" s="66">
        <f aca="true" t="shared" si="85" ref="AF101:AF135">IF(AQ101="2",BH101,0)</f>
        <v>0</v>
      </c>
      <c r="AG101" s="66">
        <f aca="true" t="shared" si="86" ref="AG101:AG135">IF(AQ101="2",BI101,0)</f>
        <v>0</v>
      </c>
      <c r="AH101" s="66">
        <f aca="true" t="shared" si="87" ref="AH101:AH135">IF(AQ101="0",BJ101,0)</f>
        <v>0</v>
      </c>
      <c r="AI101" s="99" t="s">
        <v>450</v>
      </c>
      <c r="AJ101" s="66">
        <f aca="true" t="shared" si="88" ref="AJ101:AJ135">IF(AN101=0,K101,0)</f>
        <v>0</v>
      </c>
      <c r="AK101" s="66">
        <f aca="true" t="shared" si="89" ref="AK101:AK135">IF(AN101=15,K101,0)</f>
        <v>0</v>
      </c>
      <c r="AL101" s="66">
        <f aca="true" t="shared" si="90" ref="AL101:AL135">IF(AN101=21,K101,0)</f>
        <v>0</v>
      </c>
      <c r="AN101" s="66">
        <v>21</v>
      </c>
      <c r="AO101" s="66">
        <f>H101*0</f>
        <v>0</v>
      </c>
      <c r="AP101" s="66">
        <f>H101*(1-0)</f>
        <v>0</v>
      </c>
      <c r="AQ101" s="111" t="s">
        <v>644</v>
      </c>
      <c r="AV101" s="66">
        <f aca="true" t="shared" si="91" ref="AV101:AV135">AW101+AX101</f>
        <v>0</v>
      </c>
      <c r="AW101" s="66">
        <f aca="true" t="shared" si="92" ref="AW101:AW135">G101*AO101</f>
        <v>0</v>
      </c>
      <c r="AX101" s="66">
        <f aca="true" t="shared" si="93" ref="AX101:AX135">G101*AP101</f>
        <v>0</v>
      </c>
      <c r="AY101" s="111" t="s">
        <v>567</v>
      </c>
      <c r="AZ101" s="111" t="s">
        <v>233</v>
      </c>
      <c r="BA101" s="99" t="s">
        <v>498</v>
      </c>
      <c r="BC101" s="66">
        <f aca="true" t="shared" si="94" ref="BC101:BC135">AW101+AX101</f>
        <v>0</v>
      </c>
      <c r="BD101" s="66">
        <f aca="true" t="shared" si="95" ref="BD101:BD135">H101/(100-BE101)*100</f>
        <v>0</v>
      </c>
      <c r="BE101" s="66">
        <v>0</v>
      </c>
      <c r="BF101" s="66">
        <f aca="true" t="shared" si="96" ref="BF101:BF135">M101</f>
        <v>56.601</v>
      </c>
      <c r="BH101" s="66">
        <f aca="true" t="shared" si="97" ref="BH101:BH135">G101*AO101</f>
        <v>0</v>
      </c>
      <c r="BI101" s="66">
        <f aca="true" t="shared" si="98" ref="BI101:BI135">G101*AP101</f>
        <v>0</v>
      </c>
      <c r="BJ101" s="66">
        <f aca="true" t="shared" si="99" ref="BJ101:BJ135">G101*H101</f>
        <v>0</v>
      </c>
      <c r="BK101" s="66"/>
      <c r="BL101" s="66">
        <v>96</v>
      </c>
    </row>
    <row r="102" spans="1:64" s="58" customFormat="1" ht="15" customHeight="1">
      <c r="A102" s="64" t="s">
        <v>678</v>
      </c>
      <c r="B102" s="65" t="s">
        <v>450</v>
      </c>
      <c r="C102" s="65" t="s">
        <v>356</v>
      </c>
      <c r="D102" s="174" t="s">
        <v>586</v>
      </c>
      <c r="E102" s="174"/>
      <c r="F102" s="65" t="s">
        <v>621</v>
      </c>
      <c r="G102" s="66">
        <v>92.40751</v>
      </c>
      <c r="H102" s="66"/>
      <c r="I102" s="66">
        <f t="shared" si="76"/>
        <v>0</v>
      </c>
      <c r="J102" s="66">
        <f t="shared" si="77"/>
        <v>0</v>
      </c>
      <c r="K102" s="66">
        <f t="shared" si="78"/>
        <v>0</v>
      </c>
      <c r="L102" s="66">
        <v>2.50112</v>
      </c>
      <c r="M102" s="66">
        <f t="shared" si="79"/>
        <v>231.1222714112</v>
      </c>
      <c r="N102" s="69" t="s">
        <v>545</v>
      </c>
      <c r="Z102" s="66">
        <f t="shared" si="80"/>
        <v>0</v>
      </c>
      <c r="AB102" s="66">
        <f t="shared" si="81"/>
        <v>0</v>
      </c>
      <c r="AC102" s="66">
        <f t="shared" si="82"/>
        <v>0</v>
      </c>
      <c r="AD102" s="66">
        <f t="shared" si="83"/>
        <v>0</v>
      </c>
      <c r="AE102" s="66">
        <f t="shared" si="84"/>
        <v>0</v>
      </c>
      <c r="AF102" s="66">
        <f t="shared" si="85"/>
        <v>0</v>
      </c>
      <c r="AG102" s="66">
        <f t="shared" si="86"/>
        <v>0</v>
      </c>
      <c r="AH102" s="66">
        <f t="shared" si="87"/>
        <v>0</v>
      </c>
      <c r="AI102" s="99" t="s">
        <v>450</v>
      </c>
      <c r="AJ102" s="66">
        <f t="shared" si="88"/>
        <v>0</v>
      </c>
      <c r="AK102" s="66">
        <f t="shared" si="89"/>
        <v>0</v>
      </c>
      <c r="AL102" s="66">
        <f t="shared" si="90"/>
        <v>0</v>
      </c>
      <c r="AN102" s="66">
        <v>21</v>
      </c>
      <c r="AO102" s="66">
        <f>H102*0.0312544913622645</f>
        <v>0</v>
      </c>
      <c r="AP102" s="66">
        <f>H102*(1-0.0312544913622645)</f>
        <v>0</v>
      </c>
      <c r="AQ102" s="111" t="s">
        <v>644</v>
      </c>
      <c r="AV102" s="66">
        <f t="shared" si="91"/>
        <v>0</v>
      </c>
      <c r="AW102" s="66">
        <f t="shared" si="92"/>
        <v>0</v>
      </c>
      <c r="AX102" s="66">
        <f t="shared" si="93"/>
        <v>0</v>
      </c>
      <c r="AY102" s="111" t="s">
        <v>567</v>
      </c>
      <c r="AZ102" s="111" t="s">
        <v>233</v>
      </c>
      <c r="BA102" s="99" t="s">
        <v>498</v>
      </c>
      <c r="BC102" s="66">
        <f t="shared" si="94"/>
        <v>0</v>
      </c>
      <c r="BD102" s="66">
        <f t="shared" si="95"/>
        <v>0</v>
      </c>
      <c r="BE102" s="66">
        <v>0</v>
      </c>
      <c r="BF102" s="66">
        <f t="shared" si="96"/>
        <v>231.1222714112</v>
      </c>
      <c r="BH102" s="66">
        <f t="shared" si="97"/>
        <v>0</v>
      </c>
      <c r="BI102" s="66">
        <f t="shared" si="98"/>
        <v>0</v>
      </c>
      <c r="BJ102" s="66">
        <f t="shared" si="99"/>
        <v>0</v>
      </c>
      <c r="BK102" s="66"/>
      <c r="BL102" s="66">
        <v>96</v>
      </c>
    </row>
    <row r="103" spans="1:64" s="58" customFormat="1" ht="15" customHeight="1">
      <c r="A103" s="64" t="s">
        <v>9</v>
      </c>
      <c r="B103" s="65" t="s">
        <v>450</v>
      </c>
      <c r="C103" s="65" t="s">
        <v>500</v>
      </c>
      <c r="D103" s="174" t="s">
        <v>725</v>
      </c>
      <c r="E103" s="174"/>
      <c r="F103" s="65" t="s">
        <v>635</v>
      </c>
      <c r="G103" s="66">
        <v>28.0768</v>
      </c>
      <c r="H103" s="66"/>
      <c r="I103" s="66">
        <f t="shared" si="76"/>
        <v>0</v>
      </c>
      <c r="J103" s="66">
        <f t="shared" si="77"/>
        <v>0</v>
      </c>
      <c r="K103" s="66">
        <f t="shared" si="78"/>
        <v>0</v>
      </c>
      <c r="L103" s="66">
        <v>0.10067</v>
      </c>
      <c r="M103" s="66">
        <f t="shared" si="79"/>
        <v>2.826491456</v>
      </c>
      <c r="N103" s="69" t="s">
        <v>545</v>
      </c>
      <c r="Z103" s="66">
        <f t="shared" si="80"/>
        <v>0</v>
      </c>
      <c r="AB103" s="66">
        <f t="shared" si="81"/>
        <v>0</v>
      </c>
      <c r="AC103" s="66">
        <f t="shared" si="82"/>
        <v>0</v>
      </c>
      <c r="AD103" s="66">
        <f t="shared" si="83"/>
        <v>0</v>
      </c>
      <c r="AE103" s="66">
        <f t="shared" si="84"/>
        <v>0</v>
      </c>
      <c r="AF103" s="66">
        <f t="shared" si="85"/>
        <v>0</v>
      </c>
      <c r="AG103" s="66">
        <f t="shared" si="86"/>
        <v>0</v>
      </c>
      <c r="AH103" s="66">
        <f t="shared" si="87"/>
        <v>0</v>
      </c>
      <c r="AI103" s="99" t="s">
        <v>450</v>
      </c>
      <c r="AJ103" s="66">
        <f t="shared" si="88"/>
        <v>0</v>
      </c>
      <c r="AK103" s="66">
        <f t="shared" si="89"/>
        <v>0</v>
      </c>
      <c r="AL103" s="66">
        <f t="shared" si="90"/>
        <v>0</v>
      </c>
      <c r="AN103" s="66">
        <v>21</v>
      </c>
      <c r="AO103" s="66">
        <f>H103*0.113417702169728</f>
        <v>0</v>
      </c>
      <c r="AP103" s="66">
        <f>H103*(1-0.113417702169728)</f>
        <v>0</v>
      </c>
      <c r="AQ103" s="111" t="s">
        <v>644</v>
      </c>
      <c r="AV103" s="66">
        <f t="shared" si="91"/>
        <v>0</v>
      </c>
      <c r="AW103" s="66">
        <f t="shared" si="92"/>
        <v>0</v>
      </c>
      <c r="AX103" s="66">
        <f t="shared" si="93"/>
        <v>0</v>
      </c>
      <c r="AY103" s="111" t="s">
        <v>567</v>
      </c>
      <c r="AZ103" s="111" t="s">
        <v>233</v>
      </c>
      <c r="BA103" s="99" t="s">
        <v>498</v>
      </c>
      <c r="BC103" s="66">
        <f t="shared" si="94"/>
        <v>0</v>
      </c>
      <c r="BD103" s="66">
        <f t="shared" si="95"/>
        <v>0</v>
      </c>
      <c r="BE103" s="66">
        <v>0</v>
      </c>
      <c r="BF103" s="66">
        <f t="shared" si="96"/>
        <v>2.826491456</v>
      </c>
      <c r="BH103" s="66">
        <f t="shared" si="97"/>
        <v>0</v>
      </c>
      <c r="BI103" s="66">
        <f t="shared" si="98"/>
        <v>0</v>
      </c>
      <c r="BJ103" s="66">
        <f t="shared" si="99"/>
        <v>0</v>
      </c>
      <c r="BK103" s="66"/>
      <c r="BL103" s="66">
        <v>96</v>
      </c>
    </row>
    <row r="104" spans="1:64" s="58" customFormat="1" ht="15" customHeight="1">
      <c r="A104" s="64" t="s">
        <v>113</v>
      </c>
      <c r="B104" s="65" t="s">
        <v>450</v>
      </c>
      <c r="C104" s="65" t="s">
        <v>109</v>
      </c>
      <c r="D104" s="174" t="s">
        <v>630</v>
      </c>
      <c r="E104" s="174"/>
      <c r="F104" s="65" t="s">
        <v>635</v>
      </c>
      <c r="G104" s="66">
        <v>93.7319</v>
      </c>
      <c r="H104" s="66"/>
      <c r="I104" s="66">
        <f t="shared" si="76"/>
        <v>0</v>
      </c>
      <c r="J104" s="66">
        <f t="shared" si="77"/>
        <v>0</v>
      </c>
      <c r="K104" s="66">
        <f t="shared" si="78"/>
        <v>0</v>
      </c>
      <c r="L104" s="66">
        <v>0.13167</v>
      </c>
      <c r="M104" s="66">
        <f t="shared" si="79"/>
        <v>12.341679273</v>
      </c>
      <c r="N104" s="69" t="s">
        <v>545</v>
      </c>
      <c r="Z104" s="66">
        <f t="shared" si="80"/>
        <v>0</v>
      </c>
      <c r="AB104" s="66">
        <f t="shared" si="81"/>
        <v>0</v>
      </c>
      <c r="AC104" s="66">
        <f t="shared" si="82"/>
        <v>0</v>
      </c>
      <c r="AD104" s="66">
        <f t="shared" si="83"/>
        <v>0</v>
      </c>
      <c r="AE104" s="66">
        <f t="shared" si="84"/>
        <v>0</v>
      </c>
      <c r="AF104" s="66">
        <f t="shared" si="85"/>
        <v>0</v>
      </c>
      <c r="AG104" s="66">
        <f t="shared" si="86"/>
        <v>0</v>
      </c>
      <c r="AH104" s="66">
        <f t="shared" si="87"/>
        <v>0</v>
      </c>
      <c r="AI104" s="99" t="s">
        <v>450</v>
      </c>
      <c r="AJ104" s="66">
        <f t="shared" si="88"/>
        <v>0</v>
      </c>
      <c r="AK104" s="66">
        <f t="shared" si="89"/>
        <v>0</v>
      </c>
      <c r="AL104" s="66">
        <f t="shared" si="90"/>
        <v>0</v>
      </c>
      <c r="AN104" s="66">
        <v>21</v>
      </c>
      <c r="AO104" s="66">
        <f>H104*0.0620394840857296</f>
        <v>0</v>
      </c>
      <c r="AP104" s="66">
        <f>H104*(1-0.0620394840857296)</f>
        <v>0</v>
      </c>
      <c r="AQ104" s="111" t="s">
        <v>644</v>
      </c>
      <c r="AV104" s="66">
        <f t="shared" si="91"/>
        <v>0</v>
      </c>
      <c r="AW104" s="66">
        <f t="shared" si="92"/>
        <v>0</v>
      </c>
      <c r="AX104" s="66">
        <f t="shared" si="93"/>
        <v>0</v>
      </c>
      <c r="AY104" s="111" t="s">
        <v>567</v>
      </c>
      <c r="AZ104" s="111" t="s">
        <v>233</v>
      </c>
      <c r="BA104" s="99" t="s">
        <v>498</v>
      </c>
      <c r="BC104" s="66">
        <f t="shared" si="94"/>
        <v>0</v>
      </c>
      <c r="BD104" s="66">
        <f t="shared" si="95"/>
        <v>0</v>
      </c>
      <c r="BE104" s="66">
        <v>0</v>
      </c>
      <c r="BF104" s="66">
        <f t="shared" si="96"/>
        <v>12.341679273</v>
      </c>
      <c r="BH104" s="66">
        <f t="shared" si="97"/>
        <v>0</v>
      </c>
      <c r="BI104" s="66">
        <f t="shared" si="98"/>
        <v>0</v>
      </c>
      <c r="BJ104" s="66">
        <f t="shared" si="99"/>
        <v>0</v>
      </c>
      <c r="BK104" s="66"/>
      <c r="BL104" s="66">
        <v>96</v>
      </c>
    </row>
    <row r="105" spans="1:64" s="58" customFormat="1" ht="15" customHeight="1">
      <c r="A105" s="64" t="s">
        <v>136</v>
      </c>
      <c r="B105" s="65" t="s">
        <v>450</v>
      </c>
      <c r="C105" s="65" t="s">
        <v>236</v>
      </c>
      <c r="D105" s="174" t="s">
        <v>197</v>
      </c>
      <c r="E105" s="174"/>
      <c r="F105" s="65" t="s">
        <v>635</v>
      </c>
      <c r="G105" s="66">
        <v>50.0043</v>
      </c>
      <c r="H105" s="66"/>
      <c r="I105" s="66">
        <f t="shared" si="76"/>
        <v>0</v>
      </c>
      <c r="J105" s="66">
        <f t="shared" si="77"/>
        <v>0</v>
      </c>
      <c r="K105" s="66">
        <f t="shared" si="78"/>
        <v>0</v>
      </c>
      <c r="L105" s="66">
        <v>0.26167</v>
      </c>
      <c r="M105" s="66">
        <f t="shared" si="79"/>
        <v>13.084625181000002</v>
      </c>
      <c r="N105" s="69" t="s">
        <v>545</v>
      </c>
      <c r="Z105" s="66">
        <f t="shared" si="80"/>
        <v>0</v>
      </c>
      <c r="AB105" s="66">
        <f t="shared" si="81"/>
        <v>0</v>
      </c>
      <c r="AC105" s="66">
        <f t="shared" si="82"/>
        <v>0</v>
      </c>
      <c r="AD105" s="66">
        <f t="shared" si="83"/>
        <v>0</v>
      </c>
      <c r="AE105" s="66">
        <f t="shared" si="84"/>
        <v>0</v>
      </c>
      <c r="AF105" s="66">
        <f t="shared" si="85"/>
        <v>0</v>
      </c>
      <c r="AG105" s="66">
        <f t="shared" si="86"/>
        <v>0</v>
      </c>
      <c r="AH105" s="66">
        <f t="shared" si="87"/>
        <v>0</v>
      </c>
      <c r="AI105" s="99" t="s">
        <v>450</v>
      </c>
      <c r="AJ105" s="66">
        <f t="shared" si="88"/>
        <v>0</v>
      </c>
      <c r="AK105" s="66">
        <f t="shared" si="89"/>
        <v>0</v>
      </c>
      <c r="AL105" s="66">
        <f t="shared" si="90"/>
        <v>0</v>
      </c>
      <c r="AN105" s="66">
        <v>21</v>
      </c>
      <c r="AO105" s="66">
        <f>H105*0.0446101015646823</f>
        <v>0</v>
      </c>
      <c r="AP105" s="66">
        <f>H105*(1-0.0446101015646823)</f>
        <v>0</v>
      </c>
      <c r="AQ105" s="111" t="s">
        <v>644</v>
      </c>
      <c r="AV105" s="66">
        <f t="shared" si="91"/>
        <v>0</v>
      </c>
      <c r="AW105" s="66">
        <f t="shared" si="92"/>
        <v>0</v>
      </c>
      <c r="AX105" s="66">
        <f t="shared" si="93"/>
        <v>0</v>
      </c>
      <c r="AY105" s="111" t="s">
        <v>567</v>
      </c>
      <c r="AZ105" s="111" t="s">
        <v>233</v>
      </c>
      <c r="BA105" s="99" t="s">
        <v>498</v>
      </c>
      <c r="BC105" s="66">
        <f t="shared" si="94"/>
        <v>0</v>
      </c>
      <c r="BD105" s="66">
        <f t="shared" si="95"/>
        <v>0</v>
      </c>
      <c r="BE105" s="66">
        <v>0</v>
      </c>
      <c r="BF105" s="66">
        <f t="shared" si="96"/>
        <v>13.084625181000002</v>
      </c>
      <c r="BH105" s="66">
        <f t="shared" si="97"/>
        <v>0</v>
      </c>
      <c r="BI105" s="66">
        <f t="shared" si="98"/>
        <v>0</v>
      </c>
      <c r="BJ105" s="66">
        <f t="shared" si="99"/>
        <v>0</v>
      </c>
      <c r="BK105" s="66"/>
      <c r="BL105" s="66">
        <v>96</v>
      </c>
    </row>
    <row r="106" spans="1:64" s="58" customFormat="1" ht="15" customHeight="1">
      <c r="A106" s="64" t="s">
        <v>517</v>
      </c>
      <c r="B106" s="65" t="s">
        <v>450</v>
      </c>
      <c r="C106" s="65" t="s">
        <v>423</v>
      </c>
      <c r="D106" s="174" t="s">
        <v>735</v>
      </c>
      <c r="E106" s="174"/>
      <c r="F106" s="65" t="s">
        <v>538</v>
      </c>
      <c r="G106" s="66">
        <v>7.25</v>
      </c>
      <c r="H106" s="66"/>
      <c r="I106" s="66">
        <f t="shared" si="76"/>
        <v>0</v>
      </c>
      <c r="J106" s="66">
        <f t="shared" si="77"/>
        <v>0</v>
      </c>
      <c r="K106" s="66">
        <f t="shared" si="78"/>
        <v>0</v>
      </c>
      <c r="L106" s="66">
        <v>0.112</v>
      </c>
      <c r="M106" s="66">
        <f t="shared" si="79"/>
        <v>0.812</v>
      </c>
      <c r="N106" s="69" t="s">
        <v>545</v>
      </c>
      <c r="Z106" s="66">
        <f t="shared" si="80"/>
        <v>0</v>
      </c>
      <c r="AB106" s="66">
        <f t="shared" si="81"/>
        <v>0</v>
      </c>
      <c r="AC106" s="66">
        <f t="shared" si="82"/>
        <v>0</v>
      </c>
      <c r="AD106" s="66">
        <f t="shared" si="83"/>
        <v>0</v>
      </c>
      <c r="AE106" s="66">
        <f t="shared" si="84"/>
        <v>0</v>
      </c>
      <c r="AF106" s="66">
        <f t="shared" si="85"/>
        <v>0</v>
      </c>
      <c r="AG106" s="66">
        <f t="shared" si="86"/>
        <v>0</v>
      </c>
      <c r="AH106" s="66">
        <f t="shared" si="87"/>
        <v>0</v>
      </c>
      <c r="AI106" s="99" t="s">
        <v>450</v>
      </c>
      <c r="AJ106" s="66">
        <f t="shared" si="88"/>
        <v>0</v>
      </c>
      <c r="AK106" s="66">
        <f t="shared" si="89"/>
        <v>0</v>
      </c>
      <c r="AL106" s="66">
        <f t="shared" si="90"/>
        <v>0</v>
      </c>
      <c r="AN106" s="66">
        <v>21</v>
      </c>
      <c r="AO106" s="66">
        <f>H106*0</f>
        <v>0</v>
      </c>
      <c r="AP106" s="66">
        <f>H106*(1-0)</f>
        <v>0</v>
      </c>
      <c r="AQ106" s="111" t="s">
        <v>644</v>
      </c>
      <c r="AV106" s="66">
        <f t="shared" si="91"/>
        <v>0</v>
      </c>
      <c r="AW106" s="66">
        <f t="shared" si="92"/>
        <v>0</v>
      </c>
      <c r="AX106" s="66">
        <f t="shared" si="93"/>
        <v>0</v>
      </c>
      <c r="AY106" s="111" t="s">
        <v>567</v>
      </c>
      <c r="AZ106" s="111" t="s">
        <v>233</v>
      </c>
      <c r="BA106" s="99" t="s">
        <v>498</v>
      </c>
      <c r="BC106" s="66">
        <f t="shared" si="94"/>
        <v>0</v>
      </c>
      <c r="BD106" s="66">
        <f t="shared" si="95"/>
        <v>0</v>
      </c>
      <c r="BE106" s="66">
        <v>0</v>
      </c>
      <c r="BF106" s="66">
        <f t="shared" si="96"/>
        <v>0.812</v>
      </c>
      <c r="BH106" s="66">
        <f t="shared" si="97"/>
        <v>0</v>
      </c>
      <c r="BI106" s="66">
        <f t="shared" si="98"/>
        <v>0</v>
      </c>
      <c r="BJ106" s="66">
        <f t="shared" si="99"/>
        <v>0</v>
      </c>
      <c r="BK106" s="66"/>
      <c r="BL106" s="66">
        <v>96</v>
      </c>
    </row>
    <row r="107" spans="1:64" s="58" customFormat="1" ht="15" customHeight="1">
      <c r="A107" s="64" t="s">
        <v>57</v>
      </c>
      <c r="B107" s="65" t="s">
        <v>450</v>
      </c>
      <c r="C107" s="65" t="s">
        <v>378</v>
      </c>
      <c r="D107" s="174" t="s">
        <v>140</v>
      </c>
      <c r="E107" s="174"/>
      <c r="F107" s="65" t="s">
        <v>538</v>
      </c>
      <c r="G107" s="66">
        <v>86.3</v>
      </c>
      <c r="H107" s="66"/>
      <c r="I107" s="66">
        <f t="shared" si="76"/>
        <v>0</v>
      </c>
      <c r="J107" s="66">
        <f t="shared" si="77"/>
        <v>0</v>
      </c>
      <c r="K107" s="66">
        <f t="shared" si="78"/>
        <v>0</v>
      </c>
      <c r="L107" s="66">
        <v>0.338</v>
      </c>
      <c r="M107" s="66">
        <f t="shared" si="79"/>
        <v>29.1694</v>
      </c>
      <c r="N107" s="69" t="s">
        <v>545</v>
      </c>
      <c r="Z107" s="66">
        <f t="shared" si="80"/>
        <v>0</v>
      </c>
      <c r="AB107" s="66">
        <f t="shared" si="81"/>
        <v>0</v>
      </c>
      <c r="AC107" s="66">
        <f t="shared" si="82"/>
        <v>0</v>
      </c>
      <c r="AD107" s="66">
        <f t="shared" si="83"/>
        <v>0</v>
      </c>
      <c r="AE107" s="66">
        <f t="shared" si="84"/>
        <v>0</v>
      </c>
      <c r="AF107" s="66">
        <f t="shared" si="85"/>
        <v>0</v>
      </c>
      <c r="AG107" s="66">
        <f t="shared" si="86"/>
        <v>0</v>
      </c>
      <c r="AH107" s="66">
        <f t="shared" si="87"/>
        <v>0</v>
      </c>
      <c r="AI107" s="99" t="s">
        <v>450</v>
      </c>
      <c r="AJ107" s="66">
        <f t="shared" si="88"/>
        <v>0</v>
      </c>
      <c r="AK107" s="66">
        <f t="shared" si="89"/>
        <v>0</v>
      </c>
      <c r="AL107" s="66">
        <f t="shared" si="90"/>
        <v>0</v>
      </c>
      <c r="AN107" s="66">
        <v>21</v>
      </c>
      <c r="AO107" s="66">
        <f>H107*0</f>
        <v>0</v>
      </c>
      <c r="AP107" s="66">
        <f>H107*(1-0)</f>
        <v>0</v>
      </c>
      <c r="AQ107" s="111" t="s">
        <v>644</v>
      </c>
      <c r="AV107" s="66">
        <f t="shared" si="91"/>
        <v>0</v>
      </c>
      <c r="AW107" s="66">
        <f t="shared" si="92"/>
        <v>0</v>
      </c>
      <c r="AX107" s="66">
        <f t="shared" si="93"/>
        <v>0</v>
      </c>
      <c r="AY107" s="111" t="s">
        <v>567</v>
      </c>
      <c r="AZ107" s="111" t="s">
        <v>233</v>
      </c>
      <c r="BA107" s="99" t="s">
        <v>498</v>
      </c>
      <c r="BC107" s="66">
        <f t="shared" si="94"/>
        <v>0</v>
      </c>
      <c r="BD107" s="66">
        <f t="shared" si="95"/>
        <v>0</v>
      </c>
      <c r="BE107" s="66">
        <v>0</v>
      </c>
      <c r="BF107" s="66">
        <f t="shared" si="96"/>
        <v>29.1694</v>
      </c>
      <c r="BH107" s="66">
        <f t="shared" si="97"/>
        <v>0</v>
      </c>
      <c r="BI107" s="66">
        <f t="shared" si="98"/>
        <v>0</v>
      </c>
      <c r="BJ107" s="66">
        <f t="shared" si="99"/>
        <v>0</v>
      </c>
      <c r="BK107" s="66"/>
      <c r="BL107" s="66">
        <v>96</v>
      </c>
    </row>
    <row r="108" spans="1:64" s="58" customFormat="1" ht="15" customHeight="1">
      <c r="A108" s="64" t="s">
        <v>507</v>
      </c>
      <c r="B108" s="65" t="s">
        <v>450</v>
      </c>
      <c r="C108" s="65" t="s">
        <v>158</v>
      </c>
      <c r="D108" s="174" t="s">
        <v>289</v>
      </c>
      <c r="E108" s="174"/>
      <c r="F108" s="65" t="s">
        <v>538</v>
      </c>
      <c r="G108" s="66">
        <v>36.1</v>
      </c>
      <c r="H108" s="66"/>
      <c r="I108" s="66">
        <f t="shared" si="76"/>
        <v>0</v>
      </c>
      <c r="J108" s="66">
        <f t="shared" si="77"/>
        <v>0</v>
      </c>
      <c r="K108" s="66">
        <f t="shared" si="78"/>
        <v>0</v>
      </c>
      <c r="L108" s="66">
        <v>0.37</v>
      </c>
      <c r="M108" s="66">
        <f t="shared" si="79"/>
        <v>13.357000000000001</v>
      </c>
      <c r="N108" s="69" t="s">
        <v>545</v>
      </c>
      <c r="Z108" s="66">
        <f t="shared" si="80"/>
        <v>0</v>
      </c>
      <c r="AB108" s="66">
        <f t="shared" si="81"/>
        <v>0</v>
      </c>
      <c r="AC108" s="66">
        <f t="shared" si="82"/>
        <v>0</v>
      </c>
      <c r="AD108" s="66">
        <f t="shared" si="83"/>
        <v>0</v>
      </c>
      <c r="AE108" s="66">
        <f t="shared" si="84"/>
        <v>0</v>
      </c>
      <c r="AF108" s="66">
        <f t="shared" si="85"/>
        <v>0</v>
      </c>
      <c r="AG108" s="66">
        <f t="shared" si="86"/>
        <v>0</v>
      </c>
      <c r="AH108" s="66">
        <f t="shared" si="87"/>
        <v>0</v>
      </c>
      <c r="AI108" s="99" t="s">
        <v>450</v>
      </c>
      <c r="AJ108" s="66">
        <f t="shared" si="88"/>
        <v>0</v>
      </c>
      <c r="AK108" s="66">
        <f t="shared" si="89"/>
        <v>0</v>
      </c>
      <c r="AL108" s="66">
        <f t="shared" si="90"/>
        <v>0</v>
      </c>
      <c r="AN108" s="66">
        <v>21</v>
      </c>
      <c r="AO108" s="66">
        <f>H108*0</f>
        <v>0</v>
      </c>
      <c r="AP108" s="66">
        <f>H108*(1-0)</f>
        <v>0</v>
      </c>
      <c r="AQ108" s="111" t="s">
        <v>644</v>
      </c>
      <c r="AV108" s="66">
        <f t="shared" si="91"/>
        <v>0</v>
      </c>
      <c r="AW108" s="66">
        <f t="shared" si="92"/>
        <v>0</v>
      </c>
      <c r="AX108" s="66">
        <f t="shared" si="93"/>
        <v>0</v>
      </c>
      <c r="AY108" s="111" t="s">
        <v>567</v>
      </c>
      <c r="AZ108" s="111" t="s">
        <v>233</v>
      </c>
      <c r="BA108" s="99" t="s">
        <v>498</v>
      </c>
      <c r="BC108" s="66">
        <f t="shared" si="94"/>
        <v>0</v>
      </c>
      <c r="BD108" s="66">
        <f t="shared" si="95"/>
        <v>0</v>
      </c>
      <c r="BE108" s="66">
        <v>0</v>
      </c>
      <c r="BF108" s="66">
        <f t="shared" si="96"/>
        <v>13.357000000000001</v>
      </c>
      <c r="BH108" s="66">
        <f t="shared" si="97"/>
        <v>0</v>
      </c>
      <c r="BI108" s="66">
        <f t="shared" si="98"/>
        <v>0</v>
      </c>
      <c r="BJ108" s="66">
        <f t="shared" si="99"/>
        <v>0</v>
      </c>
      <c r="BK108" s="66"/>
      <c r="BL108" s="66">
        <v>96</v>
      </c>
    </row>
    <row r="109" spans="1:64" s="58" customFormat="1" ht="15" customHeight="1">
      <c r="A109" s="64" t="s">
        <v>407</v>
      </c>
      <c r="B109" s="65" t="s">
        <v>450</v>
      </c>
      <c r="C109" s="65" t="s">
        <v>379</v>
      </c>
      <c r="D109" s="174" t="s">
        <v>398</v>
      </c>
      <c r="E109" s="174"/>
      <c r="F109" s="65" t="s">
        <v>635</v>
      </c>
      <c r="G109" s="66">
        <v>1.2</v>
      </c>
      <c r="H109" s="66"/>
      <c r="I109" s="66">
        <f t="shared" si="76"/>
        <v>0</v>
      </c>
      <c r="J109" s="66">
        <f t="shared" si="77"/>
        <v>0</v>
      </c>
      <c r="K109" s="66">
        <f t="shared" si="78"/>
        <v>0</v>
      </c>
      <c r="L109" s="66">
        <v>0.27936</v>
      </c>
      <c r="M109" s="66">
        <f t="shared" si="79"/>
        <v>0.335232</v>
      </c>
      <c r="N109" s="69" t="s">
        <v>545</v>
      </c>
      <c r="Z109" s="66">
        <f t="shared" si="80"/>
        <v>0</v>
      </c>
      <c r="AB109" s="66">
        <f t="shared" si="81"/>
        <v>0</v>
      </c>
      <c r="AC109" s="66">
        <f t="shared" si="82"/>
        <v>0</v>
      </c>
      <c r="AD109" s="66">
        <f t="shared" si="83"/>
        <v>0</v>
      </c>
      <c r="AE109" s="66">
        <f t="shared" si="84"/>
        <v>0</v>
      </c>
      <c r="AF109" s="66">
        <f t="shared" si="85"/>
        <v>0</v>
      </c>
      <c r="AG109" s="66">
        <f t="shared" si="86"/>
        <v>0</v>
      </c>
      <c r="AH109" s="66">
        <f t="shared" si="87"/>
        <v>0</v>
      </c>
      <c r="AI109" s="99" t="s">
        <v>450</v>
      </c>
      <c r="AJ109" s="66">
        <f t="shared" si="88"/>
        <v>0</v>
      </c>
      <c r="AK109" s="66">
        <f t="shared" si="89"/>
        <v>0</v>
      </c>
      <c r="AL109" s="66">
        <f t="shared" si="90"/>
        <v>0</v>
      </c>
      <c r="AN109" s="66">
        <v>21</v>
      </c>
      <c r="AO109" s="66">
        <f>H109*0.0564349745484031</f>
        <v>0</v>
      </c>
      <c r="AP109" s="66">
        <f>H109*(1-0.0564349745484031)</f>
        <v>0</v>
      </c>
      <c r="AQ109" s="111" t="s">
        <v>644</v>
      </c>
      <c r="AV109" s="66">
        <f t="shared" si="91"/>
        <v>0</v>
      </c>
      <c r="AW109" s="66">
        <f t="shared" si="92"/>
        <v>0</v>
      </c>
      <c r="AX109" s="66">
        <f t="shared" si="93"/>
        <v>0</v>
      </c>
      <c r="AY109" s="111" t="s">
        <v>567</v>
      </c>
      <c r="AZ109" s="111" t="s">
        <v>233</v>
      </c>
      <c r="BA109" s="99" t="s">
        <v>498</v>
      </c>
      <c r="BC109" s="66">
        <f t="shared" si="94"/>
        <v>0</v>
      </c>
      <c r="BD109" s="66">
        <f t="shared" si="95"/>
        <v>0</v>
      </c>
      <c r="BE109" s="66">
        <v>0</v>
      </c>
      <c r="BF109" s="66">
        <f t="shared" si="96"/>
        <v>0.335232</v>
      </c>
      <c r="BH109" s="66">
        <f t="shared" si="97"/>
        <v>0</v>
      </c>
      <c r="BI109" s="66">
        <f t="shared" si="98"/>
        <v>0</v>
      </c>
      <c r="BJ109" s="66">
        <f t="shared" si="99"/>
        <v>0</v>
      </c>
      <c r="BK109" s="66"/>
      <c r="BL109" s="66">
        <v>96</v>
      </c>
    </row>
    <row r="110" spans="1:64" s="58" customFormat="1" ht="15" customHeight="1">
      <c r="A110" s="64" t="s">
        <v>657</v>
      </c>
      <c r="B110" s="65" t="s">
        <v>450</v>
      </c>
      <c r="C110" s="65" t="s">
        <v>325</v>
      </c>
      <c r="D110" s="174" t="s">
        <v>413</v>
      </c>
      <c r="E110" s="174"/>
      <c r="F110" s="65" t="s">
        <v>635</v>
      </c>
      <c r="G110" s="66">
        <v>36.769</v>
      </c>
      <c r="H110" s="66"/>
      <c r="I110" s="66">
        <f t="shared" si="76"/>
        <v>0</v>
      </c>
      <c r="J110" s="66">
        <f t="shared" si="77"/>
        <v>0</v>
      </c>
      <c r="K110" s="66">
        <f t="shared" si="78"/>
        <v>0</v>
      </c>
      <c r="L110" s="66">
        <v>0.55836</v>
      </c>
      <c r="M110" s="66">
        <f t="shared" si="79"/>
        <v>20.53033884</v>
      </c>
      <c r="N110" s="69" t="s">
        <v>545</v>
      </c>
      <c r="Z110" s="66">
        <f t="shared" si="80"/>
        <v>0</v>
      </c>
      <c r="AB110" s="66">
        <f t="shared" si="81"/>
        <v>0</v>
      </c>
      <c r="AC110" s="66">
        <f t="shared" si="82"/>
        <v>0</v>
      </c>
      <c r="AD110" s="66">
        <f t="shared" si="83"/>
        <v>0</v>
      </c>
      <c r="AE110" s="66">
        <f t="shared" si="84"/>
        <v>0</v>
      </c>
      <c r="AF110" s="66">
        <f t="shared" si="85"/>
        <v>0</v>
      </c>
      <c r="AG110" s="66">
        <f t="shared" si="86"/>
        <v>0</v>
      </c>
      <c r="AH110" s="66">
        <f t="shared" si="87"/>
        <v>0</v>
      </c>
      <c r="AI110" s="99" t="s">
        <v>450</v>
      </c>
      <c r="AJ110" s="66">
        <f t="shared" si="88"/>
        <v>0</v>
      </c>
      <c r="AK110" s="66">
        <f t="shared" si="89"/>
        <v>0</v>
      </c>
      <c r="AL110" s="66">
        <f t="shared" si="90"/>
        <v>0</v>
      </c>
      <c r="AN110" s="66">
        <v>21</v>
      </c>
      <c r="AO110" s="66">
        <f>H110*0.0380327887693461</f>
        <v>0</v>
      </c>
      <c r="AP110" s="66">
        <f>H110*(1-0.0380327887693461)</f>
        <v>0</v>
      </c>
      <c r="AQ110" s="111" t="s">
        <v>644</v>
      </c>
      <c r="AV110" s="66">
        <f t="shared" si="91"/>
        <v>0</v>
      </c>
      <c r="AW110" s="66">
        <f t="shared" si="92"/>
        <v>0</v>
      </c>
      <c r="AX110" s="66">
        <f t="shared" si="93"/>
        <v>0</v>
      </c>
      <c r="AY110" s="111" t="s">
        <v>567</v>
      </c>
      <c r="AZ110" s="111" t="s">
        <v>233</v>
      </c>
      <c r="BA110" s="99" t="s">
        <v>498</v>
      </c>
      <c r="BC110" s="66">
        <f t="shared" si="94"/>
        <v>0</v>
      </c>
      <c r="BD110" s="66">
        <f t="shared" si="95"/>
        <v>0</v>
      </c>
      <c r="BE110" s="66">
        <v>0</v>
      </c>
      <c r="BF110" s="66">
        <f t="shared" si="96"/>
        <v>20.53033884</v>
      </c>
      <c r="BH110" s="66">
        <f t="shared" si="97"/>
        <v>0</v>
      </c>
      <c r="BI110" s="66">
        <f t="shared" si="98"/>
        <v>0</v>
      </c>
      <c r="BJ110" s="66">
        <f t="shared" si="99"/>
        <v>0</v>
      </c>
      <c r="BK110" s="66"/>
      <c r="BL110" s="66">
        <v>96</v>
      </c>
    </row>
    <row r="111" spans="1:64" s="58" customFormat="1" ht="15" customHeight="1">
      <c r="A111" s="64" t="s">
        <v>589</v>
      </c>
      <c r="B111" s="65" t="s">
        <v>450</v>
      </c>
      <c r="C111" s="65" t="s">
        <v>337</v>
      </c>
      <c r="D111" s="174" t="s">
        <v>704</v>
      </c>
      <c r="E111" s="174"/>
      <c r="F111" s="65" t="s">
        <v>635</v>
      </c>
      <c r="G111" s="66">
        <v>92.637</v>
      </c>
      <c r="H111" s="66"/>
      <c r="I111" s="66">
        <f t="shared" si="76"/>
        <v>0</v>
      </c>
      <c r="J111" s="66">
        <f t="shared" si="77"/>
        <v>0</v>
      </c>
      <c r="K111" s="66">
        <f t="shared" si="78"/>
        <v>0</v>
      </c>
      <c r="L111" s="66">
        <v>0.27936</v>
      </c>
      <c r="M111" s="66">
        <f t="shared" si="79"/>
        <v>25.87907232</v>
      </c>
      <c r="N111" s="69" t="s">
        <v>545</v>
      </c>
      <c r="Z111" s="66">
        <f t="shared" si="80"/>
        <v>0</v>
      </c>
      <c r="AB111" s="66">
        <f t="shared" si="81"/>
        <v>0</v>
      </c>
      <c r="AC111" s="66">
        <f t="shared" si="82"/>
        <v>0</v>
      </c>
      <c r="AD111" s="66">
        <f t="shared" si="83"/>
        <v>0</v>
      </c>
      <c r="AE111" s="66">
        <f t="shared" si="84"/>
        <v>0</v>
      </c>
      <c r="AF111" s="66">
        <f t="shared" si="85"/>
        <v>0</v>
      </c>
      <c r="AG111" s="66">
        <f t="shared" si="86"/>
        <v>0</v>
      </c>
      <c r="AH111" s="66">
        <f t="shared" si="87"/>
        <v>0</v>
      </c>
      <c r="AI111" s="99" t="s">
        <v>450</v>
      </c>
      <c r="AJ111" s="66">
        <f t="shared" si="88"/>
        <v>0</v>
      </c>
      <c r="AK111" s="66">
        <f t="shared" si="89"/>
        <v>0</v>
      </c>
      <c r="AL111" s="66">
        <f t="shared" si="90"/>
        <v>0</v>
      </c>
      <c r="AN111" s="66">
        <v>21</v>
      </c>
      <c r="AO111" s="66">
        <f>H111*0.037756315230181</f>
        <v>0</v>
      </c>
      <c r="AP111" s="66">
        <f>H111*(1-0.037756315230181)</f>
        <v>0</v>
      </c>
      <c r="AQ111" s="111" t="s">
        <v>644</v>
      </c>
      <c r="AV111" s="66">
        <f t="shared" si="91"/>
        <v>0</v>
      </c>
      <c r="AW111" s="66">
        <f t="shared" si="92"/>
        <v>0</v>
      </c>
      <c r="AX111" s="66">
        <f t="shared" si="93"/>
        <v>0</v>
      </c>
      <c r="AY111" s="111" t="s">
        <v>567</v>
      </c>
      <c r="AZ111" s="111" t="s">
        <v>233</v>
      </c>
      <c r="BA111" s="99" t="s">
        <v>498</v>
      </c>
      <c r="BC111" s="66">
        <f t="shared" si="94"/>
        <v>0</v>
      </c>
      <c r="BD111" s="66">
        <f t="shared" si="95"/>
        <v>0</v>
      </c>
      <c r="BE111" s="66">
        <v>0</v>
      </c>
      <c r="BF111" s="66">
        <f t="shared" si="96"/>
        <v>25.87907232</v>
      </c>
      <c r="BH111" s="66">
        <f t="shared" si="97"/>
        <v>0</v>
      </c>
      <c r="BI111" s="66">
        <f t="shared" si="98"/>
        <v>0</v>
      </c>
      <c r="BJ111" s="66">
        <f t="shared" si="99"/>
        <v>0</v>
      </c>
      <c r="BK111" s="66"/>
      <c r="BL111" s="66">
        <v>96</v>
      </c>
    </row>
    <row r="112" spans="1:64" s="58" customFormat="1" ht="15" customHeight="1">
      <c r="A112" s="64" t="s">
        <v>439</v>
      </c>
      <c r="B112" s="65" t="s">
        <v>450</v>
      </c>
      <c r="C112" s="65" t="s">
        <v>552</v>
      </c>
      <c r="D112" s="174" t="s">
        <v>124</v>
      </c>
      <c r="E112" s="174"/>
      <c r="F112" s="65" t="s">
        <v>621</v>
      </c>
      <c r="G112" s="66">
        <v>1.28</v>
      </c>
      <c r="H112" s="66"/>
      <c r="I112" s="66">
        <f t="shared" si="76"/>
        <v>0</v>
      </c>
      <c r="J112" s="66">
        <f t="shared" si="77"/>
        <v>0</v>
      </c>
      <c r="K112" s="66">
        <f t="shared" si="78"/>
        <v>0</v>
      </c>
      <c r="L112" s="66">
        <v>2.40666</v>
      </c>
      <c r="M112" s="66">
        <f t="shared" si="79"/>
        <v>3.0805248</v>
      </c>
      <c r="N112" s="69" t="s">
        <v>545</v>
      </c>
      <c r="Z112" s="66">
        <f t="shared" si="80"/>
        <v>0</v>
      </c>
      <c r="AB112" s="66">
        <f t="shared" si="81"/>
        <v>0</v>
      </c>
      <c r="AC112" s="66">
        <f t="shared" si="82"/>
        <v>0</v>
      </c>
      <c r="AD112" s="66">
        <f t="shared" si="83"/>
        <v>0</v>
      </c>
      <c r="AE112" s="66">
        <f t="shared" si="84"/>
        <v>0</v>
      </c>
      <c r="AF112" s="66">
        <f t="shared" si="85"/>
        <v>0</v>
      </c>
      <c r="AG112" s="66">
        <f t="shared" si="86"/>
        <v>0</v>
      </c>
      <c r="AH112" s="66">
        <f t="shared" si="87"/>
        <v>0</v>
      </c>
      <c r="AI112" s="99" t="s">
        <v>450</v>
      </c>
      <c r="AJ112" s="66">
        <f t="shared" si="88"/>
        <v>0</v>
      </c>
      <c r="AK112" s="66">
        <f t="shared" si="89"/>
        <v>0</v>
      </c>
      <c r="AL112" s="66">
        <f t="shared" si="90"/>
        <v>0</v>
      </c>
      <c r="AN112" s="66">
        <v>21</v>
      </c>
      <c r="AO112" s="66">
        <f>H112*0.047958168846657</f>
        <v>0</v>
      </c>
      <c r="AP112" s="66">
        <f>H112*(1-0.047958168846657)</f>
        <v>0</v>
      </c>
      <c r="AQ112" s="111" t="s">
        <v>644</v>
      </c>
      <c r="AV112" s="66">
        <f t="shared" si="91"/>
        <v>0</v>
      </c>
      <c r="AW112" s="66">
        <f t="shared" si="92"/>
        <v>0</v>
      </c>
      <c r="AX112" s="66">
        <f t="shared" si="93"/>
        <v>0</v>
      </c>
      <c r="AY112" s="111" t="s">
        <v>567</v>
      </c>
      <c r="AZ112" s="111" t="s">
        <v>233</v>
      </c>
      <c r="BA112" s="99" t="s">
        <v>498</v>
      </c>
      <c r="BC112" s="66">
        <f t="shared" si="94"/>
        <v>0</v>
      </c>
      <c r="BD112" s="66">
        <f t="shared" si="95"/>
        <v>0</v>
      </c>
      <c r="BE112" s="66">
        <v>0</v>
      </c>
      <c r="BF112" s="66">
        <f t="shared" si="96"/>
        <v>3.0805248</v>
      </c>
      <c r="BH112" s="66">
        <f t="shared" si="97"/>
        <v>0</v>
      </c>
      <c r="BI112" s="66">
        <f t="shared" si="98"/>
        <v>0</v>
      </c>
      <c r="BJ112" s="66">
        <f t="shared" si="99"/>
        <v>0</v>
      </c>
      <c r="BK112" s="66"/>
      <c r="BL112" s="66">
        <v>96</v>
      </c>
    </row>
    <row r="113" spans="1:64" s="58" customFormat="1" ht="15" customHeight="1">
      <c r="A113" s="64" t="s">
        <v>342</v>
      </c>
      <c r="B113" s="65" t="s">
        <v>450</v>
      </c>
      <c r="C113" s="65" t="s">
        <v>582</v>
      </c>
      <c r="D113" s="174" t="s">
        <v>102</v>
      </c>
      <c r="E113" s="174"/>
      <c r="F113" s="65" t="s">
        <v>621</v>
      </c>
      <c r="G113" s="66">
        <v>36.9696</v>
      </c>
      <c r="H113" s="66"/>
      <c r="I113" s="66">
        <f t="shared" si="76"/>
        <v>0</v>
      </c>
      <c r="J113" s="66">
        <f t="shared" si="77"/>
        <v>0</v>
      </c>
      <c r="K113" s="66">
        <f t="shared" si="78"/>
        <v>0</v>
      </c>
      <c r="L113" s="66">
        <v>0.57</v>
      </c>
      <c r="M113" s="66">
        <f t="shared" si="79"/>
        <v>21.072671999999997</v>
      </c>
      <c r="N113" s="69" t="s">
        <v>545</v>
      </c>
      <c r="Z113" s="66">
        <f t="shared" si="80"/>
        <v>0</v>
      </c>
      <c r="AB113" s="66">
        <f t="shared" si="81"/>
        <v>0</v>
      </c>
      <c r="AC113" s="66">
        <f t="shared" si="82"/>
        <v>0</v>
      </c>
      <c r="AD113" s="66">
        <f t="shared" si="83"/>
        <v>0</v>
      </c>
      <c r="AE113" s="66">
        <f t="shared" si="84"/>
        <v>0</v>
      </c>
      <c r="AF113" s="66">
        <f t="shared" si="85"/>
        <v>0</v>
      </c>
      <c r="AG113" s="66">
        <f t="shared" si="86"/>
        <v>0</v>
      </c>
      <c r="AH113" s="66">
        <f t="shared" si="87"/>
        <v>0</v>
      </c>
      <c r="AI113" s="99" t="s">
        <v>450</v>
      </c>
      <c r="AJ113" s="66">
        <f t="shared" si="88"/>
        <v>0</v>
      </c>
      <c r="AK113" s="66">
        <f t="shared" si="89"/>
        <v>0</v>
      </c>
      <c r="AL113" s="66">
        <f t="shared" si="90"/>
        <v>0</v>
      </c>
      <c r="AN113" s="66">
        <v>21</v>
      </c>
      <c r="AO113" s="66">
        <f>H113*0</f>
        <v>0</v>
      </c>
      <c r="AP113" s="66">
        <f>H113*(1-0)</f>
        <v>0</v>
      </c>
      <c r="AQ113" s="111" t="s">
        <v>644</v>
      </c>
      <c r="AV113" s="66">
        <f t="shared" si="91"/>
        <v>0</v>
      </c>
      <c r="AW113" s="66">
        <f t="shared" si="92"/>
        <v>0</v>
      </c>
      <c r="AX113" s="66">
        <f t="shared" si="93"/>
        <v>0</v>
      </c>
      <c r="AY113" s="111" t="s">
        <v>567</v>
      </c>
      <c r="AZ113" s="111" t="s">
        <v>233</v>
      </c>
      <c r="BA113" s="99" t="s">
        <v>498</v>
      </c>
      <c r="BC113" s="66">
        <f t="shared" si="94"/>
        <v>0</v>
      </c>
      <c r="BD113" s="66">
        <f t="shared" si="95"/>
        <v>0</v>
      </c>
      <c r="BE113" s="66">
        <v>0</v>
      </c>
      <c r="BF113" s="66">
        <f t="shared" si="96"/>
        <v>21.072671999999997</v>
      </c>
      <c r="BH113" s="66">
        <f t="shared" si="97"/>
        <v>0</v>
      </c>
      <c r="BI113" s="66">
        <f t="shared" si="98"/>
        <v>0</v>
      </c>
      <c r="BJ113" s="66">
        <f t="shared" si="99"/>
        <v>0</v>
      </c>
      <c r="BK113" s="66"/>
      <c r="BL113" s="66">
        <v>96</v>
      </c>
    </row>
    <row r="114" spans="1:64" s="58" customFormat="1" ht="15" customHeight="1">
      <c r="A114" s="64" t="s">
        <v>142</v>
      </c>
      <c r="B114" s="65" t="s">
        <v>450</v>
      </c>
      <c r="C114" s="65" t="s">
        <v>282</v>
      </c>
      <c r="D114" s="174" t="s">
        <v>322</v>
      </c>
      <c r="E114" s="174"/>
      <c r="F114" s="65" t="s">
        <v>311</v>
      </c>
      <c r="G114" s="66">
        <v>1.4148</v>
      </c>
      <c r="H114" s="66"/>
      <c r="I114" s="66">
        <f t="shared" si="76"/>
        <v>0</v>
      </c>
      <c r="J114" s="66">
        <f t="shared" si="77"/>
        <v>0</v>
      </c>
      <c r="K114" s="66">
        <f t="shared" si="78"/>
        <v>0</v>
      </c>
      <c r="L114" s="66">
        <v>1.27927</v>
      </c>
      <c r="M114" s="66">
        <f t="shared" si="79"/>
        <v>1.8099111959999998</v>
      </c>
      <c r="N114" s="69" t="s">
        <v>545</v>
      </c>
      <c r="Z114" s="66">
        <f t="shared" si="80"/>
        <v>0</v>
      </c>
      <c r="AB114" s="66">
        <f t="shared" si="81"/>
        <v>0</v>
      </c>
      <c r="AC114" s="66">
        <f t="shared" si="82"/>
        <v>0</v>
      </c>
      <c r="AD114" s="66">
        <f t="shared" si="83"/>
        <v>0</v>
      </c>
      <c r="AE114" s="66">
        <f t="shared" si="84"/>
        <v>0</v>
      </c>
      <c r="AF114" s="66">
        <f t="shared" si="85"/>
        <v>0</v>
      </c>
      <c r="AG114" s="66">
        <f t="shared" si="86"/>
        <v>0</v>
      </c>
      <c r="AH114" s="66">
        <f t="shared" si="87"/>
        <v>0</v>
      </c>
      <c r="AI114" s="99" t="s">
        <v>450</v>
      </c>
      <c r="AJ114" s="66">
        <f t="shared" si="88"/>
        <v>0</v>
      </c>
      <c r="AK114" s="66">
        <f t="shared" si="89"/>
        <v>0</v>
      </c>
      <c r="AL114" s="66">
        <f t="shared" si="90"/>
        <v>0</v>
      </c>
      <c r="AN114" s="66">
        <v>21</v>
      </c>
      <c r="AO114" s="66">
        <f>H114*0.0781787545787546</f>
        <v>0</v>
      </c>
      <c r="AP114" s="66">
        <f>H114*(1-0.0781787545787546)</f>
        <v>0</v>
      </c>
      <c r="AQ114" s="111" t="s">
        <v>644</v>
      </c>
      <c r="AV114" s="66">
        <f t="shared" si="91"/>
        <v>0</v>
      </c>
      <c r="AW114" s="66">
        <f t="shared" si="92"/>
        <v>0</v>
      </c>
      <c r="AX114" s="66">
        <f t="shared" si="93"/>
        <v>0</v>
      </c>
      <c r="AY114" s="111" t="s">
        <v>567</v>
      </c>
      <c r="AZ114" s="111" t="s">
        <v>233</v>
      </c>
      <c r="BA114" s="99" t="s">
        <v>498</v>
      </c>
      <c r="BC114" s="66">
        <f t="shared" si="94"/>
        <v>0</v>
      </c>
      <c r="BD114" s="66">
        <f t="shared" si="95"/>
        <v>0</v>
      </c>
      <c r="BE114" s="66">
        <v>0</v>
      </c>
      <c r="BF114" s="66">
        <f t="shared" si="96"/>
        <v>1.8099111959999998</v>
      </c>
      <c r="BH114" s="66">
        <f t="shared" si="97"/>
        <v>0</v>
      </c>
      <c r="BI114" s="66">
        <f t="shared" si="98"/>
        <v>0</v>
      </c>
      <c r="BJ114" s="66">
        <f t="shared" si="99"/>
        <v>0</v>
      </c>
      <c r="BK114" s="66"/>
      <c r="BL114" s="66">
        <v>96</v>
      </c>
    </row>
    <row r="115" spans="1:64" s="58" customFormat="1" ht="15" customHeight="1">
      <c r="A115" s="64" t="s">
        <v>55</v>
      </c>
      <c r="B115" s="65" t="s">
        <v>450</v>
      </c>
      <c r="C115" s="65" t="s">
        <v>267</v>
      </c>
      <c r="D115" s="174" t="s">
        <v>695</v>
      </c>
      <c r="E115" s="174"/>
      <c r="F115" s="65" t="s">
        <v>635</v>
      </c>
      <c r="G115" s="66">
        <v>205.6306</v>
      </c>
      <c r="H115" s="66"/>
      <c r="I115" s="66">
        <f t="shared" si="76"/>
        <v>0</v>
      </c>
      <c r="J115" s="66">
        <f t="shared" si="77"/>
        <v>0</v>
      </c>
      <c r="K115" s="66">
        <f t="shared" si="78"/>
        <v>0</v>
      </c>
      <c r="L115" s="66">
        <v>0.122</v>
      </c>
      <c r="M115" s="66">
        <f t="shared" si="79"/>
        <v>25.086933199999997</v>
      </c>
      <c r="N115" s="69" t="s">
        <v>545</v>
      </c>
      <c r="Z115" s="66">
        <f t="shared" si="80"/>
        <v>0</v>
      </c>
      <c r="AB115" s="66">
        <f t="shared" si="81"/>
        <v>0</v>
      </c>
      <c r="AC115" s="66">
        <f t="shared" si="82"/>
        <v>0</v>
      </c>
      <c r="AD115" s="66">
        <f t="shared" si="83"/>
        <v>0</v>
      </c>
      <c r="AE115" s="66">
        <f t="shared" si="84"/>
        <v>0</v>
      </c>
      <c r="AF115" s="66">
        <f t="shared" si="85"/>
        <v>0</v>
      </c>
      <c r="AG115" s="66">
        <f t="shared" si="86"/>
        <v>0</v>
      </c>
      <c r="AH115" s="66">
        <f t="shared" si="87"/>
        <v>0</v>
      </c>
      <c r="AI115" s="99" t="s">
        <v>450</v>
      </c>
      <c r="AJ115" s="66">
        <f t="shared" si="88"/>
        <v>0</v>
      </c>
      <c r="AK115" s="66">
        <f t="shared" si="89"/>
        <v>0</v>
      </c>
      <c r="AL115" s="66">
        <f t="shared" si="90"/>
        <v>0</v>
      </c>
      <c r="AN115" s="66">
        <v>21</v>
      </c>
      <c r="AO115" s="66">
        <f>H115*0</f>
        <v>0</v>
      </c>
      <c r="AP115" s="66">
        <f>H115*(1-0)</f>
        <v>0</v>
      </c>
      <c r="AQ115" s="111" t="s">
        <v>644</v>
      </c>
      <c r="AV115" s="66">
        <f t="shared" si="91"/>
        <v>0</v>
      </c>
      <c r="AW115" s="66">
        <f t="shared" si="92"/>
        <v>0</v>
      </c>
      <c r="AX115" s="66">
        <f t="shared" si="93"/>
        <v>0</v>
      </c>
      <c r="AY115" s="111" t="s">
        <v>567</v>
      </c>
      <c r="AZ115" s="111" t="s">
        <v>233</v>
      </c>
      <c r="BA115" s="99" t="s">
        <v>498</v>
      </c>
      <c r="BC115" s="66">
        <f t="shared" si="94"/>
        <v>0</v>
      </c>
      <c r="BD115" s="66">
        <f t="shared" si="95"/>
        <v>0</v>
      </c>
      <c r="BE115" s="66">
        <v>0</v>
      </c>
      <c r="BF115" s="66">
        <f t="shared" si="96"/>
        <v>25.086933199999997</v>
      </c>
      <c r="BH115" s="66">
        <f t="shared" si="97"/>
        <v>0</v>
      </c>
      <c r="BI115" s="66">
        <f t="shared" si="98"/>
        <v>0</v>
      </c>
      <c r="BJ115" s="66">
        <f t="shared" si="99"/>
        <v>0</v>
      </c>
      <c r="BK115" s="66"/>
      <c r="BL115" s="66">
        <v>96</v>
      </c>
    </row>
    <row r="116" spans="1:64" s="58" customFormat="1" ht="15" customHeight="1">
      <c r="A116" s="64" t="s">
        <v>634</v>
      </c>
      <c r="B116" s="65" t="s">
        <v>450</v>
      </c>
      <c r="C116" s="65" t="s">
        <v>273</v>
      </c>
      <c r="D116" s="174" t="s">
        <v>170</v>
      </c>
      <c r="E116" s="174"/>
      <c r="F116" s="65" t="s">
        <v>621</v>
      </c>
      <c r="G116" s="66">
        <v>62.72217</v>
      </c>
      <c r="H116" s="66"/>
      <c r="I116" s="66">
        <f t="shared" si="76"/>
        <v>0</v>
      </c>
      <c r="J116" s="66">
        <f t="shared" si="77"/>
        <v>0</v>
      </c>
      <c r="K116" s="66">
        <f t="shared" si="78"/>
        <v>0</v>
      </c>
      <c r="L116" s="66">
        <v>2.2</v>
      </c>
      <c r="M116" s="66">
        <f t="shared" si="79"/>
        <v>137.988774</v>
      </c>
      <c r="N116" s="69" t="s">
        <v>545</v>
      </c>
      <c r="Z116" s="66">
        <f t="shared" si="80"/>
        <v>0</v>
      </c>
      <c r="AB116" s="66">
        <f t="shared" si="81"/>
        <v>0</v>
      </c>
      <c r="AC116" s="66">
        <f t="shared" si="82"/>
        <v>0</v>
      </c>
      <c r="AD116" s="66">
        <f t="shared" si="83"/>
        <v>0</v>
      </c>
      <c r="AE116" s="66">
        <f t="shared" si="84"/>
        <v>0</v>
      </c>
      <c r="AF116" s="66">
        <f t="shared" si="85"/>
        <v>0</v>
      </c>
      <c r="AG116" s="66">
        <f t="shared" si="86"/>
        <v>0</v>
      </c>
      <c r="AH116" s="66">
        <f t="shared" si="87"/>
        <v>0</v>
      </c>
      <c r="AI116" s="99" t="s">
        <v>450</v>
      </c>
      <c r="AJ116" s="66">
        <f t="shared" si="88"/>
        <v>0</v>
      </c>
      <c r="AK116" s="66">
        <f t="shared" si="89"/>
        <v>0</v>
      </c>
      <c r="AL116" s="66">
        <f t="shared" si="90"/>
        <v>0</v>
      </c>
      <c r="AN116" s="66">
        <v>21</v>
      </c>
      <c r="AO116" s="66">
        <f>H116*0</f>
        <v>0</v>
      </c>
      <c r="AP116" s="66">
        <f>H116*(1-0)</f>
        <v>0</v>
      </c>
      <c r="AQ116" s="111" t="s">
        <v>644</v>
      </c>
      <c r="AV116" s="66">
        <f t="shared" si="91"/>
        <v>0</v>
      </c>
      <c r="AW116" s="66">
        <f t="shared" si="92"/>
        <v>0</v>
      </c>
      <c r="AX116" s="66">
        <f t="shared" si="93"/>
        <v>0</v>
      </c>
      <c r="AY116" s="111" t="s">
        <v>567</v>
      </c>
      <c r="AZ116" s="111" t="s">
        <v>233</v>
      </c>
      <c r="BA116" s="99" t="s">
        <v>498</v>
      </c>
      <c r="BC116" s="66">
        <f t="shared" si="94"/>
        <v>0</v>
      </c>
      <c r="BD116" s="66">
        <f t="shared" si="95"/>
        <v>0</v>
      </c>
      <c r="BE116" s="66">
        <v>0</v>
      </c>
      <c r="BF116" s="66">
        <f t="shared" si="96"/>
        <v>137.988774</v>
      </c>
      <c r="BH116" s="66">
        <f t="shared" si="97"/>
        <v>0</v>
      </c>
      <c r="BI116" s="66">
        <f t="shared" si="98"/>
        <v>0</v>
      </c>
      <c r="BJ116" s="66">
        <f t="shared" si="99"/>
        <v>0</v>
      </c>
      <c r="BK116" s="66"/>
      <c r="BL116" s="66">
        <v>96</v>
      </c>
    </row>
    <row r="117" spans="1:64" s="58" customFormat="1" ht="15" customHeight="1">
      <c r="A117" s="64" t="s">
        <v>114</v>
      </c>
      <c r="B117" s="65" t="s">
        <v>450</v>
      </c>
      <c r="C117" s="65" t="s">
        <v>672</v>
      </c>
      <c r="D117" s="174" t="s">
        <v>170</v>
      </c>
      <c r="E117" s="174"/>
      <c r="F117" s="65" t="s">
        <v>621</v>
      </c>
      <c r="G117" s="66">
        <v>48.48678</v>
      </c>
      <c r="H117" s="66"/>
      <c r="I117" s="66">
        <f t="shared" si="76"/>
        <v>0</v>
      </c>
      <c r="J117" s="66">
        <f t="shared" si="77"/>
        <v>0</v>
      </c>
      <c r="K117" s="66">
        <f t="shared" si="78"/>
        <v>0</v>
      </c>
      <c r="L117" s="66">
        <v>2.2</v>
      </c>
      <c r="M117" s="66">
        <f t="shared" si="79"/>
        <v>106.67091600000002</v>
      </c>
      <c r="N117" s="69" t="s">
        <v>545</v>
      </c>
      <c r="Z117" s="66">
        <f t="shared" si="80"/>
        <v>0</v>
      </c>
      <c r="AB117" s="66">
        <f t="shared" si="81"/>
        <v>0</v>
      </c>
      <c r="AC117" s="66">
        <f t="shared" si="82"/>
        <v>0</v>
      </c>
      <c r="AD117" s="66">
        <f t="shared" si="83"/>
        <v>0</v>
      </c>
      <c r="AE117" s="66">
        <f t="shared" si="84"/>
        <v>0</v>
      </c>
      <c r="AF117" s="66">
        <f t="shared" si="85"/>
        <v>0</v>
      </c>
      <c r="AG117" s="66">
        <f t="shared" si="86"/>
        <v>0</v>
      </c>
      <c r="AH117" s="66">
        <f t="shared" si="87"/>
        <v>0</v>
      </c>
      <c r="AI117" s="99" t="s">
        <v>450</v>
      </c>
      <c r="AJ117" s="66">
        <f t="shared" si="88"/>
        <v>0</v>
      </c>
      <c r="AK117" s="66">
        <f t="shared" si="89"/>
        <v>0</v>
      </c>
      <c r="AL117" s="66">
        <f t="shared" si="90"/>
        <v>0</v>
      </c>
      <c r="AN117" s="66">
        <v>21</v>
      </c>
      <c r="AO117" s="66">
        <f>H117*0</f>
        <v>0</v>
      </c>
      <c r="AP117" s="66">
        <f>H117*(1-0)</f>
        <v>0</v>
      </c>
      <c r="AQ117" s="111" t="s">
        <v>644</v>
      </c>
      <c r="AV117" s="66">
        <f t="shared" si="91"/>
        <v>0</v>
      </c>
      <c r="AW117" s="66">
        <f t="shared" si="92"/>
        <v>0</v>
      </c>
      <c r="AX117" s="66">
        <f t="shared" si="93"/>
        <v>0</v>
      </c>
      <c r="AY117" s="111" t="s">
        <v>567</v>
      </c>
      <c r="AZ117" s="111" t="s">
        <v>233</v>
      </c>
      <c r="BA117" s="99" t="s">
        <v>498</v>
      </c>
      <c r="BC117" s="66">
        <f t="shared" si="94"/>
        <v>0</v>
      </c>
      <c r="BD117" s="66">
        <f t="shared" si="95"/>
        <v>0</v>
      </c>
      <c r="BE117" s="66">
        <v>0</v>
      </c>
      <c r="BF117" s="66">
        <f t="shared" si="96"/>
        <v>106.67091600000002</v>
      </c>
      <c r="BH117" s="66">
        <f t="shared" si="97"/>
        <v>0</v>
      </c>
      <c r="BI117" s="66">
        <f t="shared" si="98"/>
        <v>0</v>
      </c>
      <c r="BJ117" s="66">
        <f t="shared" si="99"/>
        <v>0</v>
      </c>
      <c r="BK117" s="66"/>
      <c r="BL117" s="66">
        <v>96</v>
      </c>
    </row>
    <row r="118" spans="1:64" s="58" customFormat="1" ht="15" customHeight="1">
      <c r="A118" s="64" t="s">
        <v>121</v>
      </c>
      <c r="B118" s="65" t="s">
        <v>450</v>
      </c>
      <c r="C118" s="65" t="s">
        <v>198</v>
      </c>
      <c r="D118" s="174" t="s">
        <v>252</v>
      </c>
      <c r="E118" s="174"/>
      <c r="F118" s="65" t="s">
        <v>635</v>
      </c>
      <c r="G118" s="66">
        <v>58.9</v>
      </c>
      <c r="H118" s="66"/>
      <c r="I118" s="66">
        <f t="shared" si="76"/>
        <v>0</v>
      </c>
      <c r="J118" s="66">
        <f t="shared" si="77"/>
        <v>0</v>
      </c>
      <c r="K118" s="66">
        <f t="shared" si="78"/>
        <v>0</v>
      </c>
      <c r="L118" s="66">
        <v>0.02</v>
      </c>
      <c r="M118" s="66">
        <f t="shared" si="79"/>
        <v>1.178</v>
      </c>
      <c r="N118" s="69" t="s">
        <v>545</v>
      </c>
      <c r="Z118" s="66">
        <f t="shared" si="80"/>
        <v>0</v>
      </c>
      <c r="AB118" s="66">
        <f t="shared" si="81"/>
        <v>0</v>
      </c>
      <c r="AC118" s="66">
        <f t="shared" si="82"/>
        <v>0</v>
      </c>
      <c r="AD118" s="66">
        <f t="shared" si="83"/>
        <v>0</v>
      </c>
      <c r="AE118" s="66">
        <f t="shared" si="84"/>
        <v>0</v>
      </c>
      <c r="AF118" s="66">
        <f t="shared" si="85"/>
        <v>0</v>
      </c>
      <c r="AG118" s="66">
        <f t="shared" si="86"/>
        <v>0</v>
      </c>
      <c r="AH118" s="66">
        <f t="shared" si="87"/>
        <v>0</v>
      </c>
      <c r="AI118" s="99" t="s">
        <v>450</v>
      </c>
      <c r="AJ118" s="66">
        <f t="shared" si="88"/>
        <v>0</v>
      </c>
      <c r="AK118" s="66">
        <f t="shared" si="89"/>
        <v>0</v>
      </c>
      <c r="AL118" s="66">
        <f t="shared" si="90"/>
        <v>0</v>
      </c>
      <c r="AN118" s="66">
        <v>21</v>
      </c>
      <c r="AO118" s="66">
        <f>H118*0</f>
        <v>0</v>
      </c>
      <c r="AP118" s="66">
        <f>H118*(1-0)</f>
        <v>0</v>
      </c>
      <c r="AQ118" s="111" t="s">
        <v>644</v>
      </c>
      <c r="AV118" s="66">
        <f t="shared" si="91"/>
        <v>0</v>
      </c>
      <c r="AW118" s="66">
        <f t="shared" si="92"/>
        <v>0</v>
      </c>
      <c r="AX118" s="66">
        <f t="shared" si="93"/>
        <v>0</v>
      </c>
      <c r="AY118" s="111" t="s">
        <v>567</v>
      </c>
      <c r="AZ118" s="111" t="s">
        <v>233</v>
      </c>
      <c r="BA118" s="99" t="s">
        <v>498</v>
      </c>
      <c r="BC118" s="66">
        <f t="shared" si="94"/>
        <v>0</v>
      </c>
      <c r="BD118" s="66">
        <f t="shared" si="95"/>
        <v>0</v>
      </c>
      <c r="BE118" s="66">
        <v>0</v>
      </c>
      <c r="BF118" s="66">
        <f t="shared" si="96"/>
        <v>1.178</v>
      </c>
      <c r="BH118" s="66">
        <f t="shared" si="97"/>
        <v>0</v>
      </c>
      <c r="BI118" s="66">
        <f t="shared" si="98"/>
        <v>0</v>
      </c>
      <c r="BJ118" s="66">
        <f t="shared" si="99"/>
        <v>0</v>
      </c>
      <c r="BK118" s="66"/>
      <c r="BL118" s="66">
        <v>96</v>
      </c>
    </row>
    <row r="119" spans="1:64" s="58" customFormat="1" ht="15" customHeight="1">
      <c r="A119" s="64" t="s">
        <v>663</v>
      </c>
      <c r="B119" s="65" t="s">
        <v>450</v>
      </c>
      <c r="C119" s="65" t="s">
        <v>409</v>
      </c>
      <c r="D119" s="174" t="s">
        <v>36</v>
      </c>
      <c r="E119" s="174"/>
      <c r="F119" s="65" t="s">
        <v>621</v>
      </c>
      <c r="G119" s="66">
        <v>62.72217</v>
      </c>
      <c r="H119" s="66"/>
      <c r="I119" s="66">
        <f t="shared" si="76"/>
        <v>0</v>
      </c>
      <c r="J119" s="66">
        <f t="shared" si="77"/>
        <v>0</v>
      </c>
      <c r="K119" s="66">
        <f t="shared" si="78"/>
        <v>0</v>
      </c>
      <c r="L119" s="66">
        <v>1.4</v>
      </c>
      <c r="M119" s="66">
        <f t="shared" si="79"/>
        <v>87.811038</v>
      </c>
      <c r="N119" s="69" t="s">
        <v>545</v>
      </c>
      <c r="Z119" s="66">
        <f t="shared" si="80"/>
        <v>0</v>
      </c>
      <c r="AB119" s="66">
        <f t="shared" si="81"/>
        <v>0</v>
      </c>
      <c r="AC119" s="66">
        <f t="shared" si="82"/>
        <v>0</v>
      </c>
      <c r="AD119" s="66">
        <f t="shared" si="83"/>
        <v>0</v>
      </c>
      <c r="AE119" s="66">
        <f t="shared" si="84"/>
        <v>0</v>
      </c>
      <c r="AF119" s="66">
        <f t="shared" si="85"/>
        <v>0</v>
      </c>
      <c r="AG119" s="66">
        <f t="shared" si="86"/>
        <v>0</v>
      </c>
      <c r="AH119" s="66">
        <f t="shared" si="87"/>
        <v>0</v>
      </c>
      <c r="AI119" s="99" t="s">
        <v>450</v>
      </c>
      <c r="AJ119" s="66">
        <f t="shared" si="88"/>
        <v>0</v>
      </c>
      <c r="AK119" s="66">
        <f t="shared" si="89"/>
        <v>0</v>
      </c>
      <c r="AL119" s="66">
        <f t="shared" si="90"/>
        <v>0</v>
      </c>
      <c r="AN119" s="66">
        <v>21</v>
      </c>
      <c r="AO119" s="66">
        <f>H119*0</f>
        <v>0</v>
      </c>
      <c r="AP119" s="66">
        <f>H119*(1-0)</f>
        <v>0</v>
      </c>
      <c r="AQ119" s="111" t="s">
        <v>644</v>
      </c>
      <c r="AV119" s="66">
        <f t="shared" si="91"/>
        <v>0</v>
      </c>
      <c r="AW119" s="66">
        <f t="shared" si="92"/>
        <v>0</v>
      </c>
      <c r="AX119" s="66">
        <f t="shared" si="93"/>
        <v>0</v>
      </c>
      <c r="AY119" s="111" t="s">
        <v>567</v>
      </c>
      <c r="AZ119" s="111" t="s">
        <v>233</v>
      </c>
      <c r="BA119" s="99" t="s">
        <v>498</v>
      </c>
      <c r="BC119" s="66">
        <f t="shared" si="94"/>
        <v>0</v>
      </c>
      <c r="BD119" s="66">
        <f t="shared" si="95"/>
        <v>0</v>
      </c>
      <c r="BE119" s="66">
        <v>0</v>
      </c>
      <c r="BF119" s="66">
        <f t="shared" si="96"/>
        <v>87.811038</v>
      </c>
      <c r="BH119" s="66">
        <f t="shared" si="97"/>
        <v>0</v>
      </c>
      <c r="BI119" s="66">
        <f t="shared" si="98"/>
        <v>0</v>
      </c>
      <c r="BJ119" s="66">
        <f t="shared" si="99"/>
        <v>0</v>
      </c>
      <c r="BK119" s="66"/>
      <c r="BL119" s="66">
        <v>96</v>
      </c>
    </row>
    <row r="120" spans="1:64" s="58" customFormat="1" ht="15" customHeight="1">
      <c r="A120" s="64" t="s">
        <v>391</v>
      </c>
      <c r="B120" s="65" t="s">
        <v>450</v>
      </c>
      <c r="C120" s="65" t="s">
        <v>607</v>
      </c>
      <c r="D120" s="174" t="s">
        <v>467</v>
      </c>
      <c r="E120" s="174"/>
      <c r="F120" s="65" t="s">
        <v>635</v>
      </c>
      <c r="G120" s="66">
        <v>4.7696</v>
      </c>
      <c r="H120" s="66"/>
      <c r="I120" s="66">
        <f t="shared" si="76"/>
        <v>0</v>
      </c>
      <c r="J120" s="66">
        <f t="shared" si="77"/>
        <v>0</v>
      </c>
      <c r="K120" s="66">
        <f t="shared" si="78"/>
        <v>0</v>
      </c>
      <c r="L120" s="66">
        <v>0.18334</v>
      </c>
      <c r="M120" s="66">
        <f t="shared" si="79"/>
        <v>0.8744584639999999</v>
      </c>
      <c r="N120" s="69" t="s">
        <v>545</v>
      </c>
      <c r="Z120" s="66">
        <f t="shared" si="80"/>
        <v>0</v>
      </c>
      <c r="AB120" s="66">
        <f t="shared" si="81"/>
        <v>0</v>
      </c>
      <c r="AC120" s="66">
        <f t="shared" si="82"/>
        <v>0</v>
      </c>
      <c r="AD120" s="66">
        <f t="shared" si="83"/>
        <v>0</v>
      </c>
      <c r="AE120" s="66">
        <f t="shared" si="84"/>
        <v>0</v>
      </c>
      <c r="AF120" s="66">
        <f t="shared" si="85"/>
        <v>0</v>
      </c>
      <c r="AG120" s="66">
        <f t="shared" si="86"/>
        <v>0</v>
      </c>
      <c r="AH120" s="66">
        <f t="shared" si="87"/>
        <v>0</v>
      </c>
      <c r="AI120" s="99" t="s">
        <v>450</v>
      </c>
      <c r="AJ120" s="66">
        <f t="shared" si="88"/>
        <v>0</v>
      </c>
      <c r="AK120" s="66">
        <f t="shared" si="89"/>
        <v>0</v>
      </c>
      <c r="AL120" s="66">
        <f t="shared" si="90"/>
        <v>0</v>
      </c>
      <c r="AN120" s="66">
        <v>21</v>
      </c>
      <c r="AO120" s="66">
        <f>H120*0.0484653062919062</f>
        <v>0</v>
      </c>
      <c r="AP120" s="66">
        <f>H120*(1-0.0484653062919062)</f>
        <v>0</v>
      </c>
      <c r="AQ120" s="111" t="s">
        <v>644</v>
      </c>
      <c r="AV120" s="66">
        <f t="shared" si="91"/>
        <v>0</v>
      </c>
      <c r="AW120" s="66">
        <f t="shared" si="92"/>
        <v>0</v>
      </c>
      <c r="AX120" s="66">
        <f t="shared" si="93"/>
        <v>0</v>
      </c>
      <c r="AY120" s="111" t="s">
        <v>567</v>
      </c>
      <c r="AZ120" s="111" t="s">
        <v>233</v>
      </c>
      <c r="BA120" s="99" t="s">
        <v>498</v>
      </c>
      <c r="BC120" s="66">
        <f t="shared" si="94"/>
        <v>0</v>
      </c>
      <c r="BD120" s="66">
        <f t="shared" si="95"/>
        <v>0</v>
      </c>
      <c r="BE120" s="66">
        <v>0</v>
      </c>
      <c r="BF120" s="66">
        <f t="shared" si="96"/>
        <v>0.8744584639999999</v>
      </c>
      <c r="BH120" s="66">
        <f t="shared" si="97"/>
        <v>0</v>
      </c>
      <c r="BI120" s="66">
        <f t="shared" si="98"/>
        <v>0</v>
      </c>
      <c r="BJ120" s="66">
        <f t="shared" si="99"/>
        <v>0</v>
      </c>
      <c r="BK120" s="66"/>
      <c r="BL120" s="66">
        <v>96</v>
      </c>
    </row>
    <row r="121" spans="1:64" s="58" customFormat="1" ht="15" customHeight="1">
      <c r="A121" s="64" t="s">
        <v>331</v>
      </c>
      <c r="B121" s="65" t="s">
        <v>450</v>
      </c>
      <c r="C121" s="65" t="s">
        <v>540</v>
      </c>
      <c r="D121" s="174" t="s">
        <v>314</v>
      </c>
      <c r="E121" s="174"/>
      <c r="F121" s="65" t="s">
        <v>157</v>
      </c>
      <c r="G121" s="66">
        <v>78</v>
      </c>
      <c r="H121" s="66"/>
      <c r="I121" s="66">
        <f t="shared" si="76"/>
        <v>0</v>
      </c>
      <c r="J121" s="66">
        <f t="shared" si="77"/>
        <v>0</v>
      </c>
      <c r="K121" s="66">
        <f t="shared" si="78"/>
        <v>0</v>
      </c>
      <c r="L121" s="66">
        <v>0</v>
      </c>
      <c r="M121" s="66">
        <f t="shared" si="79"/>
        <v>0</v>
      </c>
      <c r="N121" s="69" t="s">
        <v>545</v>
      </c>
      <c r="Z121" s="66">
        <f t="shared" si="80"/>
        <v>0</v>
      </c>
      <c r="AB121" s="66">
        <f t="shared" si="81"/>
        <v>0</v>
      </c>
      <c r="AC121" s="66">
        <f t="shared" si="82"/>
        <v>0</v>
      </c>
      <c r="AD121" s="66">
        <f t="shared" si="83"/>
        <v>0</v>
      </c>
      <c r="AE121" s="66">
        <f t="shared" si="84"/>
        <v>0</v>
      </c>
      <c r="AF121" s="66">
        <f t="shared" si="85"/>
        <v>0</v>
      </c>
      <c r="AG121" s="66">
        <f t="shared" si="86"/>
        <v>0</v>
      </c>
      <c r="AH121" s="66">
        <f t="shared" si="87"/>
        <v>0</v>
      </c>
      <c r="AI121" s="99" t="s">
        <v>450</v>
      </c>
      <c r="AJ121" s="66">
        <f t="shared" si="88"/>
        <v>0</v>
      </c>
      <c r="AK121" s="66">
        <f t="shared" si="89"/>
        <v>0</v>
      </c>
      <c r="AL121" s="66">
        <f t="shared" si="90"/>
        <v>0</v>
      </c>
      <c r="AN121" s="66">
        <v>21</v>
      </c>
      <c r="AO121" s="66">
        <f>H121*0</f>
        <v>0</v>
      </c>
      <c r="AP121" s="66">
        <f>H121*(1-0)</f>
        <v>0</v>
      </c>
      <c r="AQ121" s="111" t="s">
        <v>644</v>
      </c>
      <c r="AV121" s="66">
        <f t="shared" si="91"/>
        <v>0</v>
      </c>
      <c r="AW121" s="66">
        <f t="shared" si="92"/>
        <v>0</v>
      </c>
      <c r="AX121" s="66">
        <f t="shared" si="93"/>
        <v>0</v>
      </c>
      <c r="AY121" s="111" t="s">
        <v>567</v>
      </c>
      <c r="AZ121" s="111" t="s">
        <v>233</v>
      </c>
      <c r="BA121" s="99" t="s">
        <v>498</v>
      </c>
      <c r="BC121" s="66">
        <f t="shared" si="94"/>
        <v>0</v>
      </c>
      <c r="BD121" s="66">
        <f t="shared" si="95"/>
        <v>0</v>
      </c>
      <c r="BE121" s="66">
        <v>0</v>
      </c>
      <c r="BF121" s="66">
        <f t="shared" si="96"/>
        <v>0</v>
      </c>
      <c r="BH121" s="66">
        <f t="shared" si="97"/>
        <v>0</v>
      </c>
      <c r="BI121" s="66">
        <f t="shared" si="98"/>
        <v>0</v>
      </c>
      <c r="BJ121" s="66">
        <f t="shared" si="99"/>
        <v>0</v>
      </c>
      <c r="BK121" s="66"/>
      <c r="BL121" s="66">
        <v>96</v>
      </c>
    </row>
    <row r="122" spans="1:64" s="58" customFormat="1" ht="15" customHeight="1">
      <c r="A122" s="64" t="s">
        <v>433</v>
      </c>
      <c r="B122" s="65" t="s">
        <v>450</v>
      </c>
      <c r="C122" s="65" t="s">
        <v>510</v>
      </c>
      <c r="D122" s="174" t="s">
        <v>387</v>
      </c>
      <c r="E122" s="174"/>
      <c r="F122" s="65" t="s">
        <v>157</v>
      </c>
      <c r="G122" s="66">
        <v>25</v>
      </c>
      <c r="H122" s="66"/>
      <c r="I122" s="66">
        <f t="shared" si="76"/>
        <v>0</v>
      </c>
      <c r="J122" s="66">
        <f t="shared" si="77"/>
        <v>0</v>
      </c>
      <c r="K122" s="66">
        <f t="shared" si="78"/>
        <v>0</v>
      </c>
      <c r="L122" s="66">
        <v>0</v>
      </c>
      <c r="M122" s="66">
        <f t="shared" si="79"/>
        <v>0</v>
      </c>
      <c r="N122" s="69" t="s">
        <v>545</v>
      </c>
      <c r="Z122" s="66">
        <f t="shared" si="80"/>
        <v>0</v>
      </c>
      <c r="AB122" s="66">
        <f t="shared" si="81"/>
        <v>0</v>
      </c>
      <c r="AC122" s="66">
        <f t="shared" si="82"/>
        <v>0</v>
      </c>
      <c r="AD122" s="66">
        <f t="shared" si="83"/>
        <v>0</v>
      </c>
      <c r="AE122" s="66">
        <f t="shared" si="84"/>
        <v>0</v>
      </c>
      <c r="AF122" s="66">
        <f t="shared" si="85"/>
        <v>0</v>
      </c>
      <c r="AG122" s="66">
        <f t="shared" si="86"/>
        <v>0</v>
      </c>
      <c r="AH122" s="66">
        <f t="shared" si="87"/>
        <v>0</v>
      </c>
      <c r="AI122" s="99" t="s">
        <v>450</v>
      </c>
      <c r="AJ122" s="66">
        <f t="shared" si="88"/>
        <v>0</v>
      </c>
      <c r="AK122" s="66">
        <f t="shared" si="89"/>
        <v>0</v>
      </c>
      <c r="AL122" s="66">
        <f t="shared" si="90"/>
        <v>0</v>
      </c>
      <c r="AN122" s="66">
        <v>21</v>
      </c>
      <c r="AO122" s="66">
        <f>H122*0</f>
        <v>0</v>
      </c>
      <c r="AP122" s="66">
        <f>H122*(1-0)</f>
        <v>0</v>
      </c>
      <c r="AQ122" s="111" t="s">
        <v>644</v>
      </c>
      <c r="AV122" s="66">
        <f t="shared" si="91"/>
        <v>0</v>
      </c>
      <c r="AW122" s="66">
        <f t="shared" si="92"/>
        <v>0</v>
      </c>
      <c r="AX122" s="66">
        <f t="shared" si="93"/>
        <v>0</v>
      </c>
      <c r="AY122" s="111" t="s">
        <v>567</v>
      </c>
      <c r="AZ122" s="111" t="s">
        <v>233</v>
      </c>
      <c r="BA122" s="99" t="s">
        <v>498</v>
      </c>
      <c r="BC122" s="66">
        <f t="shared" si="94"/>
        <v>0</v>
      </c>
      <c r="BD122" s="66">
        <f t="shared" si="95"/>
        <v>0</v>
      </c>
      <c r="BE122" s="66">
        <v>0</v>
      </c>
      <c r="BF122" s="66">
        <f t="shared" si="96"/>
        <v>0</v>
      </c>
      <c r="BH122" s="66">
        <f t="shared" si="97"/>
        <v>0</v>
      </c>
      <c r="BI122" s="66">
        <f t="shared" si="98"/>
        <v>0</v>
      </c>
      <c r="BJ122" s="66">
        <f t="shared" si="99"/>
        <v>0</v>
      </c>
      <c r="BK122" s="66"/>
      <c r="BL122" s="66">
        <v>96</v>
      </c>
    </row>
    <row r="123" spans="1:64" s="58" customFormat="1" ht="15" customHeight="1">
      <c r="A123" s="64" t="s">
        <v>26</v>
      </c>
      <c r="B123" s="65" t="s">
        <v>450</v>
      </c>
      <c r="C123" s="65" t="s">
        <v>491</v>
      </c>
      <c r="D123" s="174" t="s">
        <v>620</v>
      </c>
      <c r="E123" s="174"/>
      <c r="F123" s="65" t="s">
        <v>157</v>
      </c>
      <c r="G123" s="66">
        <v>40</v>
      </c>
      <c r="H123" s="66"/>
      <c r="I123" s="66">
        <f t="shared" si="76"/>
        <v>0</v>
      </c>
      <c r="J123" s="66">
        <f t="shared" si="77"/>
        <v>0</v>
      </c>
      <c r="K123" s="66">
        <f t="shared" si="78"/>
        <v>0</v>
      </c>
      <c r="L123" s="66">
        <v>0</v>
      </c>
      <c r="M123" s="66">
        <f t="shared" si="79"/>
        <v>0</v>
      </c>
      <c r="N123" s="69" t="s">
        <v>545</v>
      </c>
      <c r="Z123" s="66">
        <f t="shared" si="80"/>
        <v>0</v>
      </c>
      <c r="AB123" s="66">
        <f t="shared" si="81"/>
        <v>0</v>
      </c>
      <c r="AC123" s="66">
        <f t="shared" si="82"/>
        <v>0</v>
      </c>
      <c r="AD123" s="66">
        <f t="shared" si="83"/>
        <v>0</v>
      </c>
      <c r="AE123" s="66">
        <f t="shared" si="84"/>
        <v>0</v>
      </c>
      <c r="AF123" s="66">
        <f t="shared" si="85"/>
        <v>0</v>
      </c>
      <c r="AG123" s="66">
        <f t="shared" si="86"/>
        <v>0</v>
      </c>
      <c r="AH123" s="66">
        <f t="shared" si="87"/>
        <v>0</v>
      </c>
      <c r="AI123" s="99" t="s">
        <v>450</v>
      </c>
      <c r="AJ123" s="66">
        <f t="shared" si="88"/>
        <v>0</v>
      </c>
      <c r="AK123" s="66">
        <f t="shared" si="89"/>
        <v>0</v>
      </c>
      <c r="AL123" s="66">
        <f t="shared" si="90"/>
        <v>0</v>
      </c>
      <c r="AN123" s="66">
        <v>21</v>
      </c>
      <c r="AO123" s="66">
        <f>H123*0</f>
        <v>0</v>
      </c>
      <c r="AP123" s="66">
        <f>H123*(1-0)</f>
        <v>0</v>
      </c>
      <c r="AQ123" s="111" t="s">
        <v>644</v>
      </c>
      <c r="AV123" s="66">
        <f t="shared" si="91"/>
        <v>0</v>
      </c>
      <c r="AW123" s="66">
        <f t="shared" si="92"/>
        <v>0</v>
      </c>
      <c r="AX123" s="66">
        <f t="shared" si="93"/>
        <v>0</v>
      </c>
      <c r="AY123" s="111" t="s">
        <v>567</v>
      </c>
      <c r="AZ123" s="111" t="s">
        <v>233</v>
      </c>
      <c r="BA123" s="99" t="s">
        <v>498</v>
      </c>
      <c r="BC123" s="66">
        <f t="shared" si="94"/>
        <v>0</v>
      </c>
      <c r="BD123" s="66">
        <f t="shared" si="95"/>
        <v>0</v>
      </c>
      <c r="BE123" s="66">
        <v>0</v>
      </c>
      <c r="BF123" s="66">
        <f t="shared" si="96"/>
        <v>0</v>
      </c>
      <c r="BH123" s="66">
        <f t="shared" si="97"/>
        <v>0</v>
      </c>
      <c r="BI123" s="66">
        <f t="shared" si="98"/>
        <v>0</v>
      </c>
      <c r="BJ123" s="66">
        <f t="shared" si="99"/>
        <v>0</v>
      </c>
      <c r="BK123" s="66"/>
      <c r="BL123" s="66">
        <v>96</v>
      </c>
    </row>
    <row r="124" spans="1:64" s="58" customFormat="1" ht="15" customHeight="1">
      <c r="A124" s="64" t="s">
        <v>701</v>
      </c>
      <c r="B124" s="65" t="s">
        <v>450</v>
      </c>
      <c r="C124" s="65" t="s">
        <v>451</v>
      </c>
      <c r="D124" s="174" t="s">
        <v>553</v>
      </c>
      <c r="E124" s="174"/>
      <c r="F124" s="65" t="s">
        <v>157</v>
      </c>
      <c r="G124" s="66">
        <v>2</v>
      </c>
      <c r="H124" s="66"/>
      <c r="I124" s="66">
        <f t="shared" si="76"/>
        <v>0</v>
      </c>
      <c r="J124" s="66">
        <f t="shared" si="77"/>
        <v>0</v>
      </c>
      <c r="K124" s="66">
        <f t="shared" si="78"/>
        <v>0</v>
      </c>
      <c r="L124" s="66">
        <v>0</v>
      </c>
      <c r="M124" s="66">
        <f t="shared" si="79"/>
        <v>0</v>
      </c>
      <c r="N124" s="69" t="s">
        <v>545</v>
      </c>
      <c r="Z124" s="66">
        <f t="shared" si="80"/>
        <v>0</v>
      </c>
      <c r="AB124" s="66">
        <f t="shared" si="81"/>
        <v>0</v>
      </c>
      <c r="AC124" s="66">
        <f t="shared" si="82"/>
        <v>0</v>
      </c>
      <c r="AD124" s="66">
        <f t="shared" si="83"/>
        <v>0</v>
      </c>
      <c r="AE124" s="66">
        <f t="shared" si="84"/>
        <v>0</v>
      </c>
      <c r="AF124" s="66">
        <f t="shared" si="85"/>
        <v>0</v>
      </c>
      <c r="AG124" s="66">
        <f t="shared" si="86"/>
        <v>0</v>
      </c>
      <c r="AH124" s="66">
        <f t="shared" si="87"/>
        <v>0</v>
      </c>
      <c r="AI124" s="99" t="s">
        <v>450</v>
      </c>
      <c r="AJ124" s="66">
        <f t="shared" si="88"/>
        <v>0</v>
      </c>
      <c r="AK124" s="66">
        <f t="shared" si="89"/>
        <v>0</v>
      </c>
      <c r="AL124" s="66">
        <f t="shared" si="90"/>
        <v>0</v>
      </c>
      <c r="AN124" s="66">
        <v>21</v>
      </c>
      <c r="AO124" s="66">
        <f>H124*0</f>
        <v>0</v>
      </c>
      <c r="AP124" s="66">
        <f>H124*(1-0)</f>
        <v>0</v>
      </c>
      <c r="AQ124" s="111" t="s">
        <v>644</v>
      </c>
      <c r="AV124" s="66">
        <f t="shared" si="91"/>
        <v>0</v>
      </c>
      <c r="AW124" s="66">
        <f t="shared" si="92"/>
        <v>0</v>
      </c>
      <c r="AX124" s="66">
        <f t="shared" si="93"/>
        <v>0</v>
      </c>
      <c r="AY124" s="111" t="s">
        <v>567</v>
      </c>
      <c r="AZ124" s="111" t="s">
        <v>233</v>
      </c>
      <c r="BA124" s="99" t="s">
        <v>498</v>
      </c>
      <c r="BC124" s="66">
        <f t="shared" si="94"/>
        <v>0</v>
      </c>
      <c r="BD124" s="66">
        <f t="shared" si="95"/>
        <v>0</v>
      </c>
      <c r="BE124" s="66">
        <v>0</v>
      </c>
      <c r="BF124" s="66">
        <f t="shared" si="96"/>
        <v>0</v>
      </c>
      <c r="BH124" s="66">
        <f t="shared" si="97"/>
        <v>0</v>
      </c>
      <c r="BI124" s="66">
        <f t="shared" si="98"/>
        <v>0</v>
      </c>
      <c r="BJ124" s="66">
        <f t="shared" si="99"/>
        <v>0</v>
      </c>
      <c r="BK124" s="66"/>
      <c r="BL124" s="66">
        <v>96</v>
      </c>
    </row>
    <row r="125" spans="1:64" s="58" customFormat="1" ht="15" customHeight="1">
      <c r="A125" s="64" t="s">
        <v>693</v>
      </c>
      <c r="B125" s="65" t="s">
        <v>450</v>
      </c>
      <c r="C125" s="65" t="s">
        <v>210</v>
      </c>
      <c r="D125" s="174" t="s">
        <v>239</v>
      </c>
      <c r="E125" s="174"/>
      <c r="F125" s="65" t="s">
        <v>635</v>
      </c>
      <c r="G125" s="66">
        <v>9.69</v>
      </c>
      <c r="H125" s="66"/>
      <c r="I125" s="66">
        <f t="shared" si="76"/>
        <v>0</v>
      </c>
      <c r="J125" s="66">
        <f t="shared" si="77"/>
        <v>0</v>
      </c>
      <c r="K125" s="66">
        <f t="shared" si="78"/>
        <v>0</v>
      </c>
      <c r="L125" s="66">
        <v>0.04319</v>
      </c>
      <c r="M125" s="66">
        <f t="shared" si="79"/>
        <v>0.41851109999999997</v>
      </c>
      <c r="N125" s="69" t="s">
        <v>545</v>
      </c>
      <c r="Z125" s="66">
        <f t="shared" si="80"/>
        <v>0</v>
      </c>
      <c r="AB125" s="66">
        <f t="shared" si="81"/>
        <v>0</v>
      </c>
      <c r="AC125" s="66">
        <f t="shared" si="82"/>
        <v>0</v>
      </c>
      <c r="AD125" s="66">
        <f t="shared" si="83"/>
        <v>0</v>
      </c>
      <c r="AE125" s="66">
        <f t="shared" si="84"/>
        <v>0</v>
      </c>
      <c r="AF125" s="66">
        <f t="shared" si="85"/>
        <v>0</v>
      </c>
      <c r="AG125" s="66">
        <f t="shared" si="86"/>
        <v>0</v>
      </c>
      <c r="AH125" s="66">
        <f t="shared" si="87"/>
        <v>0</v>
      </c>
      <c r="AI125" s="99" t="s">
        <v>450</v>
      </c>
      <c r="AJ125" s="66">
        <f t="shared" si="88"/>
        <v>0</v>
      </c>
      <c r="AK125" s="66">
        <f t="shared" si="89"/>
        <v>0</v>
      </c>
      <c r="AL125" s="66">
        <f t="shared" si="90"/>
        <v>0</v>
      </c>
      <c r="AN125" s="66">
        <v>21</v>
      </c>
      <c r="AO125" s="66">
        <f>H125*0.220965517241379</f>
        <v>0</v>
      </c>
      <c r="AP125" s="66">
        <f>H125*(1-0.220965517241379)</f>
        <v>0</v>
      </c>
      <c r="AQ125" s="111" t="s">
        <v>644</v>
      </c>
      <c r="AV125" s="66">
        <f t="shared" si="91"/>
        <v>0</v>
      </c>
      <c r="AW125" s="66">
        <f t="shared" si="92"/>
        <v>0</v>
      </c>
      <c r="AX125" s="66">
        <f t="shared" si="93"/>
        <v>0</v>
      </c>
      <c r="AY125" s="111" t="s">
        <v>567</v>
      </c>
      <c r="AZ125" s="111" t="s">
        <v>233</v>
      </c>
      <c r="BA125" s="99" t="s">
        <v>498</v>
      </c>
      <c r="BC125" s="66">
        <f t="shared" si="94"/>
        <v>0</v>
      </c>
      <c r="BD125" s="66">
        <f t="shared" si="95"/>
        <v>0</v>
      </c>
      <c r="BE125" s="66">
        <v>0</v>
      </c>
      <c r="BF125" s="66">
        <f t="shared" si="96"/>
        <v>0.41851109999999997</v>
      </c>
      <c r="BH125" s="66">
        <f t="shared" si="97"/>
        <v>0</v>
      </c>
      <c r="BI125" s="66">
        <f t="shared" si="98"/>
        <v>0</v>
      </c>
      <c r="BJ125" s="66">
        <f t="shared" si="99"/>
        <v>0</v>
      </c>
      <c r="BK125" s="66"/>
      <c r="BL125" s="66">
        <v>96</v>
      </c>
    </row>
    <row r="126" spans="1:64" s="58" customFormat="1" ht="15" customHeight="1">
      <c r="A126" s="64" t="s">
        <v>691</v>
      </c>
      <c r="B126" s="65" t="s">
        <v>450</v>
      </c>
      <c r="C126" s="65" t="s">
        <v>24</v>
      </c>
      <c r="D126" s="174" t="s">
        <v>694</v>
      </c>
      <c r="E126" s="174"/>
      <c r="F126" s="65" t="s">
        <v>635</v>
      </c>
      <c r="G126" s="66">
        <v>9.32</v>
      </c>
      <c r="H126" s="66"/>
      <c r="I126" s="66">
        <f t="shared" si="76"/>
        <v>0</v>
      </c>
      <c r="J126" s="66">
        <f t="shared" si="77"/>
        <v>0</v>
      </c>
      <c r="K126" s="66">
        <f t="shared" si="78"/>
        <v>0</v>
      </c>
      <c r="L126" s="66">
        <v>0.032</v>
      </c>
      <c r="M126" s="66">
        <f t="shared" si="79"/>
        <v>0.29824</v>
      </c>
      <c r="N126" s="69" t="s">
        <v>545</v>
      </c>
      <c r="Z126" s="66">
        <f t="shared" si="80"/>
        <v>0</v>
      </c>
      <c r="AB126" s="66">
        <f t="shared" si="81"/>
        <v>0</v>
      </c>
      <c r="AC126" s="66">
        <f t="shared" si="82"/>
        <v>0</v>
      </c>
      <c r="AD126" s="66">
        <f t="shared" si="83"/>
        <v>0</v>
      </c>
      <c r="AE126" s="66">
        <f t="shared" si="84"/>
        <v>0</v>
      </c>
      <c r="AF126" s="66">
        <f t="shared" si="85"/>
        <v>0</v>
      </c>
      <c r="AG126" s="66">
        <f t="shared" si="86"/>
        <v>0</v>
      </c>
      <c r="AH126" s="66">
        <f t="shared" si="87"/>
        <v>0</v>
      </c>
      <c r="AI126" s="99" t="s">
        <v>450</v>
      </c>
      <c r="AJ126" s="66">
        <f t="shared" si="88"/>
        <v>0</v>
      </c>
      <c r="AK126" s="66">
        <f t="shared" si="89"/>
        <v>0</v>
      </c>
      <c r="AL126" s="66">
        <f t="shared" si="90"/>
        <v>0</v>
      </c>
      <c r="AN126" s="66">
        <v>21</v>
      </c>
      <c r="AO126" s="66">
        <f>H126*0.170437317784257</f>
        <v>0</v>
      </c>
      <c r="AP126" s="66">
        <f>H126*(1-0.170437317784257)</f>
        <v>0</v>
      </c>
      <c r="AQ126" s="111" t="s">
        <v>644</v>
      </c>
      <c r="AV126" s="66">
        <f t="shared" si="91"/>
        <v>0</v>
      </c>
      <c r="AW126" s="66">
        <f t="shared" si="92"/>
        <v>0</v>
      </c>
      <c r="AX126" s="66">
        <f t="shared" si="93"/>
        <v>0</v>
      </c>
      <c r="AY126" s="111" t="s">
        <v>567</v>
      </c>
      <c r="AZ126" s="111" t="s">
        <v>233</v>
      </c>
      <c r="BA126" s="99" t="s">
        <v>498</v>
      </c>
      <c r="BC126" s="66">
        <f t="shared" si="94"/>
        <v>0</v>
      </c>
      <c r="BD126" s="66">
        <f t="shared" si="95"/>
        <v>0</v>
      </c>
      <c r="BE126" s="66">
        <v>0</v>
      </c>
      <c r="BF126" s="66">
        <f t="shared" si="96"/>
        <v>0.29824</v>
      </c>
      <c r="BH126" s="66">
        <f t="shared" si="97"/>
        <v>0</v>
      </c>
      <c r="BI126" s="66">
        <f t="shared" si="98"/>
        <v>0</v>
      </c>
      <c r="BJ126" s="66">
        <f t="shared" si="99"/>
        <v>0</v>
      </c>
      <c r="BK126" s="66"/>
      <c r="BL126" s="66">
        <v>96</v>
      </c>
    </row>
    <row r="127" spans="1:64" s="58" customFormat="1" ht="15" customHeight="1">
      <c r="A127" s="64" t="s">
        <v>23</v>
      </c>
      <c r="B127" s="65" t="s">
        <v>450</v>
      </c>
      <c r="C127" s="65" t="s">
        <v>696</v>
      </c>
      <c r="D127" s="174" t="s">
        <v>222</v>
      </c>
      <c r="E127" s="174"/>
      <c r="F127" s="65" t="s">
        <v>635</v>
      </c>
      <c r="G127" s="66">
        <v>114.415</v>
      </c>
      <c r="H127" s="66"/>
      <c r="I127" s="66">
        <f t="shared" si="76"/>
        <v>0</v>
      </c>
      <c r="J127" s="66">
        <f t="shared" si="77"/>
        <v>0</v>
      </c>
      <c r="K127" s="66">
        <f t="shared" si="78"/>
        <v>0</v>
      </c>
      <c r="L127" s="66">
        <v>0.02792</v>
      </c>
      <c r="M127" s="66">
        <f t="shared" si="79"/>
        <v>3.1944668000000003</v>
      </c>
      <c r="N127" s="69" t="s">
        <v>545</v>
      </c>
      <c r="Z127" s="66">
        <f t="shared" si="80"/>
        <v>0</v>
      </c>
      <c r="AB127" s="66">
        <f t="shared" si="81"/>
        <v>0</v>
      </c>
      <c r="AC127" s="66">
        <f t="shared" si="82"/>
        <v>0</v>
      </c>
      <c r="AD127" s="66">
        <f t="shared" si="83"/>
        <v>0</v>
      </c>
      <c r="AE127" s="66">
        <f t="shared" si="84"/>
        <v>0</v>
      </c>
      <c r="AF127" s="66">
        <f t="shared" si="85"/>
        <v>0</v>
      </c>
      <c r="AG127" s="66">
        <f t="shared" si="86"/>
        <v>0</v>
      </c>
      <c r="AH127" s="66">
        <f t="shared" si="87"/>
        <v>0</v>
      </c>
      <c r="AI127" s="99" t="s">
        <v>450</v>
      </c>
      <c r="AJ127" s="66">
        <f t="shared" si="88"/>
        <v>0</v>
      </c>
      <c r="AK127" s="66">
        <f t="shared" si="89"/>
        <v>0</v>
      </c>
      <c r="AL127" s="66">
        <f t="shared" si="90"/>
        <v>0</v>
      </c>
      <c r="AN127" s="66">
        <v>21</v>
      </c>
      <c r="AO127" s="66">
        <f>H127*0.191374299052341</f>
        <v>0</v>
      </c>
      <c r="AP127" s="66">
        <f>H127*(1-0.191374299052341)</f>
        <v>0</v>
      </c>
      <c r="AQ127" s="111" t="s">
        <v>644</v>
      </c>
      <c r="AV127" s="66">
        <f t="shared" si="91"/>
        <v>0</v>
      </c>
      <c r="AW127" s="66">
        <f t="shared" si="92"/>
        <v>0</v>
      </c>
      <c r="AX127" s="66">
        <f t="shared" si="93"/>
        <v>0</v>
      </c>
      <c r="AY127" s="111" t="s">
        <v>567</v>
      </c>
      <c r="AZ127" s="111" t="s">
        <v>233</v>
      </c>
      <c r="BA127" s="99" t="s">
        <v>498</v>
      </c>
      <c r="BC127" s="66">
        <f t="shared" si="94"/>
        <v>0</v>
      </c>
      <c r="BD127" s="66">
        <f t="shared" si="95"/>
        <v>0</v>
      </c>
      <c r="BE127" s="66">
        <v>0</v>
      </c>
      <c r="BF127" s="66">
        <f t="shared" si="96"/>
        <v>3.1944668000000003</v>
      </c>
      <c r="BH127" s="66">
        <f t="shared" si="97"/>
        <v>0</v>
      </c>
      <c r="BI127" s="66">
        <f t="shared" si="98"/>
        <v>0</v>
      </c>
      <c r="BJ127" s="66">
        <f t="shared" si="99"/>
        <v>0</v>
      </c>
      <c r="BK127" s="66"/>
      <c r="BL127" s="66">
        <v>96</v>
      </c>
    </row>
    <row r="128" spans="1:64" s="58" customFormat="1" ht="15" customHeight="1">
      <c r="A128" s="64" t="s">
        <v>0</v>
      </c>
      <c r="B128" s="65" t="s">
        <v>450</v>
      </c>
      <c r="C128" s="65" t="s">
        <v>676</v>
      </c>
      <c r="D128" s="174" t="s">
        <v>336</v>
      </c>
      <c r="E128" s="174"/>
      <c r="F128" s="65" t="s">
        <v>635</v>
      </c>
      <c r="G128" s="66">
        <v>4.097</v>
      </c>
      <c r="H128" s="66"/>
      <c r="I128" s="66">
        <f t="shared" si="76"/>
        <v>0</v>
      </c>
      <c r="J128" s="66">
        <f t="shared" si="77"/>
        <v>0</v>
      </c>
      <c r="K128" s="66">
        <f t="shared" si="78"/>
        <v>0</v>
      </c>
      <c r="L128" s="66">
        <v>0.068</v>
      </c>
      <c r="M128" s="66">
        <f t="shared" si="79"/>
        <v>0.27859600000000007</v>
      </c>
      <c r="N128" s="69" t="s">
        <v>545</v>
      </c>
      <c r="Z128" s="66">
        <f t="shared" si="80"/>
        <v>0</v>
      </c>
      <c r="AB128" s="66">
        <f t="shared" si="81"/>
        <v>0</v>
      </c>
      <c r="AC128" s="66">
        <f t="shared" si="82"/>
        <v>0</v>
      </c>
      <c r="AD128" s="66">
        <f t="shared" si="83"/>
        <v>0</v>
      </c>
      <c r="AE128" s="66">
        <f t="shared" si="84"/>
        <v>0</v>
      </c>
      <c r="AF128" s="66">
        <f t="shared" si="85"/>
        <v>0</v>
      </c>
      <c r="AG128" s="66">
        <f t="shared" si="86"/>
        <v>0</v>
      </c>
      <c r="AH128" s="66">
        <f t="shared" si="87"/>
        <v>0</v>
      </c>
      <c r="AI128" s="99" t="s">
        <v>450</v>
      </c>
      <c r="AJ128" s="66">
        <f t="shared" si="88"/>
        <v>0</v>
      </c>
      <c r="AK128" s="66">
        <f t="shared" si="89"/>
        <v>0</v>
      </c>
      <c r="AL128" s="66">
        <f t="shared" si="90"/>
        <v>0</v>
      </c>
      <c r="AN128" s="66">
        <v>21</v>
      </c>
      <c r="AO128" s="66">
        <f>H128*0.114403513632282</f>
        <v>0</v>
      </c>
      <c r="AP128" s="66">
        <f>H128*(1-0.114403513632282)</f>
        <v>0</v>
      </c>
      <c r="AQ128" s="111" t="s">
        <v>644</v>
      </c>
      <c r="AV128" s="66">
        <f t="shared" si="91"/>
        <v>0</v>
      </c>
      <c r="AW128" s="66">
        <f t="shared" si="92"/>
        <v>0</v>
      </c>
      <c r="AX128" s="66">
        <f t="shared" si="93"/>
        <v>0</v>
      </c>
      <c r="AY128" s="111" t="s">
        <v>567</v>
      </c>
      <c r="AZ128" s="111" t="s">
        <v>233</v>
      </c>
      <c r="BA128" s="99" t="s">
        <v>498</v>
      </c>
      <c r="BC128" s="66">
        <f t="shared" si="94"/>
        <v>0</v>
      </c>
      <c r="BD128" s="66">
        <f t="shared" si="95"/>
        <v>0</v>
      </c>
      <c r="BE128" s="66">
        <v>0</v>
      </c>
      <c r="BF128" s="66">
        <f t="shared" si="96"/>
        <v>0.27859600000000007</v>
      </c>
      <c r="BH128" s="66">
        <f t="shared" si="97"/>
        <v>0</v>
      </c>
      <c r="BI128" s="66">
        <f t="shared" si="98"/>
        <v>0</v>
      </c>
      <c r="BJ128" s="66">
        <f t="shared" si="99"/>
        <v>0</v>
      </c>
      <c r="BK128" s="66"/>
      <c r="BL128" s="66">
        <v>96</v>
      </c>
    </row>
    <row r="129" spans="1:64" s="58" customFormat="1" ht="15" customHeight="1">
      <c r="A129" s="64" t="s">
        <v>584</v>
      </c>
      <c r="B129" s="65" t="s">
        <v>450</v>
      </c>
      <c r="C129" s="65" t="s">
        <v>186</v>
      </c>
      <c r="D129" s="174" t="s">
        <v>248</v>
      </c>
      <c r="E129" s="174"/>
      <c r="F129" s="65" t="s">
        <v>635</v>
      </c>
      <c r="G129" s="66">
        <v>3.92</v>
      </c>
      <c r="H129" s="66"/>
      <c r="I129" s="66">
        <f t="shared" si="76"/>
        <v>0</v>
      </c>
      <c r="J129" s="66">
        <f t="shared" si="77"/>
        <v>0</v>
      </c>
      <c r="K129" s="66">
        <f t="shared" si="78"/>
        <v>0</v>
      </c>
      <c r="L129" s="66">
        <v>0.03461</v>
      </c>
      <c r="M129" s="66">
        <f t="shared" si="79"/>
        <v>0.1356712</v>
      </c>
      <c r="N129" s="69" t="s">
        <v>545</v>
      </c>
      <c r="Z129" s="66">
        <f t="shared" si="80"/>
        <v>0</v>
      </c>
      <c r="AB129" s="66">
        <f t="shared" si="81"/>
        <v>0</v>
      </c>
      <c r="AC129" s="66">
        <f t="shared" si="82"/>
        <v>0</v>
      </c>
      <c r="AD129" s="66">
        <f t="shared" si="83"/>
        <v>0</v>
      </c>
      <c r="AE129" s="66">
        <f t="shared" si="84"/>
        <v>0</v>
      </c>
      <c r="AF129" s="66">
        <f t="shared" si="85"/>
        <v>0</v>
      </c>
      <c r="AG129" s="66">
        <f t="shared" si="86"/>
        <v>0</v>
      </c>
      <c r="AH129" s="66">
        <f t="shared" si="87"/>
        <v>0</v>
      </c>
      <c r="AI129" s="99" t="s">
        <v>450</v>
      </c>
      <c r="AJ129" s="66">
        <f t="shared" si="88"/>
        <v>0</v>
      </c>
      <c r="AK129" s="66">
        <f t="shared" si="89"/>
        <v>0</v>
      </c>
      <c r="AL129" s="66">
        <f t="shared" si="90"/>
        <v>0</v>
      </c>
      <c r="AN129" s="66">
        <v>21</v>
      </c>
      <c r="AO129" s="66">
        <f>H129*0.134446405278907</f>
        <v>0</v>
      </c>
      <c r="AP129" s="66">
        <f>H129*(1-0.134446405278907)</f>
        <v>0</v>
      </c>
      <c r="AQ129" s="111" t="s">
        <v>644</v>
      </c>
      <c r="AV129" s="66">
        <f t="shared" si="91"/>
        <v>0</v>
      </c>
      <c r="AW129" s="66">
        <f t="shared" si="92"/>
        <v>0</v>
      </c>
      <c r="AX129" s="66">
        <f t="shared" si="93"/>
        <v>0</v>
      </c>
      <c r="AY129" s="111" t="s">
        <v>567</v>
      </c>
      <c r="AZ129" s="111" t="s">
        <v>233</v>
      </c>
      <c r="BA129" s="99" t="s">
        <v>498</v>
      </c>
      <c r="BC129" s="66">
        <f t="shared" si="94"/>
        <v>0</v>
      </c>
      <c r="BD129" s="66">
        <f t="shared" si="95"/>
        <v>0</v>
      </c>
      <c r="BE129" s="66">
        <v>0</v>
      </c>
      <c r="BF129" s="66">
        <f t="shared" si="96"/>
        <v>0.1356712</v>
      </c>
      <c r="BH129" s="66">
        <f t="shared" si="97"/>
        <v>0</v>
      </c>
      <c r="BI129" s="66">
        <f t="shared" si="98"/>
        <v>0</v>
      </c>
      <c r="BJ129" s="66">
        <f t="shared" si="99"/>
        <v>0</v>
      </c>
      <c r="BK129" s="66"/>
      <c r="BL129" s="66">
        <v>96</v>
      </c>
    </row>
    <row r="130" spans="1:64" s="58" customFormat="1" ht="15" customHeight="1">
      <c r="A130" s="64" t="s">
        <v>80</v>
      </c>
      <c r="B130" s="65" t="s">
        <v>450</v>
      </c>
      <c r="C130" s="65" t="s">
        <v>127</v>
      </c>
      <c r="D130" s="174" t="s">
        <v>372</v>
      </c>
      <c r="E130" s="174"/>
      <c r="F130" s="65" t="s">
        <v>635</v>
      </c>
      <c r="G130" s="66">
        <v>60.4</v>
      </c>
      <c r="H130" s="66"/>
      <c r="I130" s="66">
        <f t="shared" si="76"/>
        <v>0</v>
      </c>
      <c r="J130" s="66">
        <f t="shared" si="77"/>
        <v>0</v>
      </c>
      <c r="K130" s="66">
        <f t="shared" si="78"/>
        <v>0</v>
      </c>
      <c r="L130" s="66">
        <v>0.07717</v>
      </c>
      <c r="M130" s="66">
        <f t="shared" si="79"/>
        <v>4.661068</v>
      </c>
      <c r="N130" s="69" t="s">
        <v>545</v>
      </c>
      <c r="Z130" s="66">
        <f t="shared" si="80"/>
        <v>0</v>
      </c>
      <c r="AB130" s="66">
        <f t="shared" si="81"/>
        <v>0</v>
      </c>
      <c r="AC130" s="66">
        <f t="shared" si="82"/>
        <v>0</v>
      </c>
      <c r="AD130" s="66">
        <f t="shared" si="83"/>
        <v>0</v>
      </c>
      <c r="AE130" s="66">
        <f t="shared" si="84"/>
        <v>0</v>
      </c>
      <c r="AF130" s="66">
        <f t="shared" si="85"/>
        <v>0</v>
      </c>
      <c r="AG130" s="66">
        <f t="shared" si="86"/>
        <v>0</v>
      </c>
      <c r="AH130" s="66">
        <f t="shared" si="87"/>
        <v>0</v>
      </c>
      <c r="AI130" s="99" t="s">
        <v>450</v>
      </c>
      <c r="AJ130" s="66">
        <f t="shared" si="88"/>
        <v>0</v>
      </c>
      <c r="AK130" s="66">
        <f t="shared" si="89"/>
        <v>0</v>
      </c>
      <c r="AL130" s="66">
        <f t="shared" si="90"/>
        <v>0</v>
      </c>
      <c r="AN130" s="66">
        <v>21</v>
      </c>
      <c r="AO130" s="66">
        <f>H130*0.0794443418866531</f>
        <v>0</v>
      </c>
      <c r="AP130" s="66">
        <f>H130*(1-0.0794443418866531)</f>
        <v>0</v>
      </c>
      <c r="AQ130" s="111" t="s">
        <v>644</v>
      </c>
      <c r="AV130" s="66">
        <f t="shared" si="91"/>
        <v>0</v>
      </c>
      <c r="AW130" s="66">
        <f t="shared" si="92"/>
        <v>0</v>
      </c>
      <c r="AX130" s="66">
        <f t="shared" si="93"/>
        <v>0</v>
      </c>
      <c r="AY130" s="111" t="s">
        <v>567</v>
      </c>
      <c r="AZ130" s="111" t="s">
        <v>233</v>
      </c>
      <c r="BA130" s="99" t="s">
        <v>498</v>
      </c>
      <c r="BC130" s="66">
        <f t="shared" si="94"/>
        <v>0</v>
      </c>
      <c r="BD130" s="66">
        <f t="shared" si="95"/>
        <v>0</v>
      </c>
      <c r="BE130" s="66">
        <v>0</v>
      </c>
      <c r="BF130" s="66">
        <f t="shared" si="96"/>
        <v>4.661068</v>
      </c>
      <c r="BH130" s="66">
        <f t="shared" si="97"/>
        <v>0</v>
      </c>
      <c r="BI130" s="66">
        <f t="shared" si="98"/>
        <v>0</v>
      </c>
      <c r="BJ130" s="66">
        <f t="shared" si="99"/>
        <v>0</v>
      </c>
      <c r="BK130" s="66"/>
      <c r="BL130" s="66">
        <v>96</v>
      </c>
    </row>
    <row r="131" spans="1:64" s="58" customFormat="1" ht="15" customHeight="1">
      <c r="A131" s="64" t="s">
        <v>261</v>
      </c>
      <c r="B131" s="65" t="s">
        <v>450</v>
      </c>
      <c r="C131" s="65" t="s">
        <v>353</v>
      </c>
      <c r="D131" s="174" t="s">
        <v>687</v>
      </c>
      <c r="E131" s="174"/>
      <c r="F131" s="65" t="s">
        <v>538</v>
      </c>
      <c r="G131" s="66">
        <v>45</v>
      </c>
      <c r="H131" s="66"/>
      <c r="I131" s="66">
        <f t="shared" si="76"/>
        <v>0</v>
      </c>
      <c r="J131" s="66">
        <f t="shared" si="77"/>
        <v>0</v>
      </c>
      <c r="K131" s="66">
        <f t="shared" si="78"/>
        <v>0</v>
      </c>
      <c r="L131" s="66">
        <v>0.01338</v>
      </c>
      <c r="M131" s="66">
        <f t="shared" si="79"/>
        <v>0.6021</v>
      </c>
      <c r="N131" s="69" t="s">
        <v>545</v>
      </c>
      <c r="Z131" s="66">
        <f t="shared" si="80"/>
        <v>0</v>
      </c>
      <c r="AB131" s="66">
        <f t="shared" si="81"/>
        <v>0</v>
      </c>
      <c r="AC131" s="66">
        <f t="shared" si="82"/>
        <v>0</v>
      </c>
      <c r="AD131" s="66">
        <f t="shared" si="83"/>
        <v>0</v>
      </c>
      <c r="AE131" s="66">
        <f t="shared" si="84"/>
        <v>0</v>
      </c>
      <c r="AF131" s="66">
        <f t="shared" si="85"/>
        <v>0</v>
      </c>
      <c r="AG131" s="66">
        <f t="shared" si="86"/>
        <v>0</v>
      </c>
      <c r="AH131" s="66">
        <f t="shared" si="87"/>
        <v>0</v>
      </c>
      <c r="AI131" s="99" t="s">
        <v>450</v>
      </c>
      <c r="AJ131" s="66">
        <f t="shared" si="88"/>
        <v>0</v>
      </c>
      <c r="AK131" s="66">
        <f t="shared" si="89"/>
        <v>0</v>
      </c>
      <c r="AL131" s="66">
        <f t="shared" si="90"/>
        <v>0</v>
      </c>
      <c r="AN131" s="66">
        <v>21</v>
      </c>
      <c r="AO131" s="66">
        <f>H131*0.205156335710368</f>
        <v>0</v>
      </c>
      <c r="AP131" s="66">
        <f>H131*(1-0.205156335710368)</f>
        <v>0</v>
      </c>
      <c r="AQ131" s="111" t="s">
        <v>644</v>
      </c>
      <c r="AV131" s="66">
        <f t="shared" si="91"/>
        <v>0</v>
      </c>
      <c r="AW131" s="66">
        <f t="shared" si="92"/>
        <v>0</v>
      </c>
      <c r="AX131" s="66">
        <f t="shared" si="93"/>
        <v>0</v>
      </c>
      <c r="AY131" s="111" t="s">
        <v>567</v>
      </c>
      <c r="AZ131" s="111" t="s">
        <v>233</v>
      </c>
      <c r="BA131" s="99" t="s">
        <v>498</v>
      </c>
      <c r="BC131" s="66">
        <f t="shared" si="94"/>
        <v>0</v>
      </c>
      <c r="BD131" s="66">
        <f t="shared" si="95"/>
        <v>0</v>
      </c>
      <c r="BE131" s="66">
        <v>0</v>
      </c>
      <c r="BF131" s="66">
        <f t="shared" si="96"/>
        <v>0.6021</v>
      </c>
      <c r="BH131" s="66">
        <f t="shared" si="97"/>
        <v>0</v>
      </c>
      <c r="BI131" s="66">
        <f t="shared" si="98"/>
        <v>0</v>
      </c>
      <c r="BJ131" s="66">
        <f t="shared" si="99"/>
        <v>0</v>
      </c>
      <c r="BK131" s="66"/>
      <c r="BL131" s="66">
        <v>96</v>
      </c>
    </row>
    <row r="132" spans="1:64" s="58" customFormat="1" ht="15" customHeight="1">
      <c r="A132" s="64" t="s">
        <v>370</v>
      </c>
      <c r="B132" s="65" t="s">
        <v>450</v>
      </c>
      <c r="C132" s="65" t="s">
        <v>174</v>
      </c>
      <c r="D132" s="174" t="s">
        <v>237</v>
      </c>
      <c r="E132" s="174"/>
      <c r="F132" s="65" t="s">
        <v>538</v>
      </c>
      <c r="G132" s="66">
        <v>15</v>
      </c>
      <c r="H132" s="66"/>
      <c r="I132" s="66">
        <f t="shared" si="76"/>
        <v>0</v>
      </c>
      <c r="J132" s="66">
        <f t="shared" si="77"/>
        <v>0</v>
      </c>
      <c r="K132" s="66">
        <f t="shared" si="78"/>
        <v>0</v>
      </c>
      <c r="L132" s="66">
        <v>0.03759</v>
      </c>
      <c r="M132" s="66">
        <f t="shared" si="79"/>
        <v>0.56385</v>
      </c>
      <c r="N132" s="69" t="s">
        <v>545</v>
      </c>
      <c r="Z132" s="66">
        <f t="shared" si="80"/>
        <v>0</v>
      </c>
      <c r="AB132" s="66">
        <f t="shared" si="81"/>
        <v>0</v>
      </c>
      <c r="AC132" s="66">
        <f t="shared" si="82"/>
        <v>0</v>
      </c>
      <c r="AD132" s="66">
        <f t="shared" si="83"/>
        <v>0</v>
      </c>
      <c r="AE132" s="66">
        <f t="shared" si="84"/>
        <v>0</v>
      </c>
      <c r="AF132" s="66">
        <f t="shared" si="85"/>
        <v>0</v>
      </c>
      <c r="AG132" s="66">
        <f t="shared" si="86"/>
        <v>0</v>
      </c>
      <c r="AH132" s="66">
        <f t="shared" si="87"/>
        <v>0</v>
      </c>
      <c r="AI132" s="99" t="s">
        <v>450</v>
      </c>
      <c r="AJ132" s="66">
        <f t="shared" si="88"/>
        <v>0</v>
      </c>
      <c r="AK132" s="66">
        <f t="shared" si="89"/>
        <v>0</v>
      </c>
      <c r="AL132" s="66">
        <f t="shared" si="90"/>
        <v>0</v>
      </c>
      <c r="AN132" s="66">
        <v>21</v>
      </c>
      <c r="AO132" s="66">
        <f>H132*0.0836185819070905</f>
        <v>0</v>
      </c>
      <c r="AP132" s="66">
        <f>H132*(1-0.0836185819070905)</f>
        <v>0</v>
      </c>
      <c r="AQ132" s="111" t="s">
        <v>644</v>
      </c>
      <c r="AV132" s="66">
        <f t="shared" si="91"/>
        <v>0</v>
      </c>
      <c r="AW132" s="66">
        <f t="shared" si="92"/>
        <v>0</v>
      </c>
      <c r="AX132" s="66">
        <f t="shared" si="93"/>
        <v>0</v>
      </c>
      <c r="AY132" s="111" t="s">
        <v>567</v>
      </c>
      <c r="AZ132" s="111" t="s">
        <v>233</v>
      </c>
      <c r="BA132" s="99" t="s">
        <v>498</v>
      </c>
      <c r="BC132" s="66">
        <f t="shared" si="94"/>
        <v>0</v>
      </c>
      <c r="BD132" s="66">
        <f t="shared" si="95"/>
        <v>0</v>
      </c>
      <c r="BE132" s="66">
        <v>0</v>
      </c>
      <c r="BF132" s="66">
        <f t="shared" si="96"/>
        <v>0.56385</v>
      </c>
      <c r="BH132" s="66">
        <f t="shared" si="97"/>
        <v>0</v>
      </c>
      <c r="BI132" s="66">
        <f t="shared" si="98"/>
        <v>0</v>
      </c>
      <c r="BJ132" s="66">
        <f t="shared" si="99"/>
        <v>0</v>
      </c>
      <c r="BK132" s="66"/>
      <c r="BL132" s="66">
        <v>96</v>
      </c>
    </row>
    <row r="133" spans="1:64" s="58" customFormat="1" ht="15" customHeight="1">
      <c r="A133" s="64" t="s">
        <v>79</v>
      </c>
      <c r="B133" s="65" t="s">
        <v>450</v>
      </c>
      <c r="C133" s="65" t="s">
        <v>686</v>
      </c>
      <c r="D133" s="174" t="s">
        <v>263</v>
      </c>
      <c r="E133" s="174"/>
      <c r="F133" s="65" t="s">
        <v>538</v>
      </c>
      <c r="G133" s="66">
        <v>30</v>
      </c>
      <c r="H133" s="66"/>
      <c r="I133" s="66">
        <f t="shared" si="76"/>
        <v>0</v>
      </c>
      <c r="J133" s="66">
        <f t="shared" si="77"/>
        <v>0</v>
      </c>
      <c r="K133" s="66">
        <f t="shared" si="78"/>
        <v>0</v>
      </c>
      <c r="L133" s="66">
        <v>0.06359</v>
      </c>
      <c r="M133" s="66">
        <f t="shared" si="79"/>
        <v>1.9076999999999997</v>
      </c>
      <c r="N133" s="69" t="s">
        <v>545</v>
      </c>
      <c r="Z133" s="66">
        <f t="shared" si="80"/>
        <v>0</v>
      </c>
      <c r="AB133" s="66">
        <f t="shared" si="81"/>
        <v>0</v>
      </c>
      <c r="AC133" s="66">
        <f t="shared" si="82"/>
        <v>0</v>
      </c>
      <c r="AD133" s="66">
        <f t="shared" si="83"/>
        <v>0</v>
      </c>
      <c r="AE133" s="66">
        <f t="shared" si="84"/>
        <v>0</v>
      </c>
      <c r="AF133" s="66">
        <f t="shared" si="85"/>
        <v>0</v>
      </c>
      <c r="AG133" s="66">
        <f t="shared" si="86"/>
        <v>0</v>
      </c>
      <c r="AH133" s="66">
        <f t="shared" si="87"/>
        <v>0</v>
      </c>
      <c r="AI133" s="99" t="s">
        <v>450</v>
      </c>
      <c r="AJ133" s="66">
        <f t="shared" si="88"/>
        <v>0</v>
      </c>
      <c r="AK133" s="66">
        <f t="shared" si="89"/>
        <v>0</v>
      </c>
      <c r="AL133" s="66">
        <f t="shared" si="90"/>
        <v>0</v>
      </c>
      <c r="AN133" s="66">
        <v>21</v>
      </c>
      <c r="AO133" s="66">
        <f>H133*0.076</f>
        <v>0</v>
      </c>
      <c r="AP133" s="66">
        <f>H133*(1-0.076)</f>
        <v>0</v>
      </c>
      <c r="AQ133" s="111" t="s">
        <v>644</v>
      </c>
      <c r="AV133" s="66">
        <f t="shared" si="91"/>
        <v>0</v>
      </c>
      <c r="AW133" s="66">
        <f t="shared" si="92"/>
        <v>0</v>
      </c>
      <c r="AX133" s="66">
        <f t="shared" si="93"/>
        <v>0</v>
      </c>
      <c r="AY133" s="111" t="s">
        <v>567</v>
      </c>
      <c r="AZ133" s="111" t="s">
        <v>233</v>
      </c>
      <c r="BA133" s="99" t="s">
        <v>498</v>
      </c>
      <c r="BC133" s="66">
        <f t="shared" si="94"/>
        <v>0</v>
      </c>
      <c r="BD133" s="66">
        <f t="shared" si="95"/>
        <v>0</v>
      </c>
      <c r="BE133" s="66">
        <v>0</v>
      </c>
      <c r="BF133" s="66">
        <f t="shared" si="96"/>
        <v>1.9076999999999997</v>
      </c>
      <c r="BH133" s="66">
        <f t="shared" si="97"/>
        <v>0</v>
      </c>
      <c r="BI133" s="66">
        <f t="shared" si="98"/>
        <v>0</v>
      </c>
      <c r="BJ133" s="66">
        <f t="shared" si="99"/>
        <v>0</v>
      </c>
      <c r="BK133" s="66"/>
      <c r="BL133" s="66">
        <v>96</v>
      </c>
    </row>
    <row r="134" spans="1:64" s="58" customFormat="1" ht="15" customHeight="1">
      <c r="A134" s="64" t="s">
        <v>455</v>
      </c>
      <c r="B134" s="65" t="s">
        <v>450</v>
      </c>
      <c r="C134" s="65" t="s">
        <v>587</v>
      </c>
      <c r="D134" s="174" t="s">
        <v>58</v>
      </c>
      <c r="E134" s="174"/>
      <c r="F134" s="65" t="s">
        <v>529</v>
      </c>
      <c r="G134" s="66">
        <v>1</v>
      </c>
      <c r="H134" s="66"/>
      <c r="I134" s="66">
        <f t="shared" si="76"/>
        <v>0</v>
      </c>
      <c r="J134" s="66">
        <f t="shared" si="77"/>
        <v>0</v>
      </c>
      <c r="K134" s="66">
        <f t="shared" si="78"/>
        <v>0</v>
      </c>
      <c r="L134" s="66">
        <v>0</v>
      </c>
      <c r="M134" s="66">
        <f t="shared" si="79"/>
        <v>0</v>
      </c>
      <c r="N134" s="69" t="s">
        <v>450</v>
      </c>
      <c r="Z134" s="66">
        <f t="shared" si="80"/>
        <v>0</v>
      </c>
      <c r="AB134" s="66">
        <f t="shared" si="81"/>
        <v>0</v>
      </c>
      <c r="AC134" s="66">
        <f t="shared" si="82"/>
        <v>0</v>
      </c>
      <c r="AD134" s="66">
        <f t="shared" si="83"/>
        <v>0</v>
      </c>
      <c r="AE134" s="66">
        <f t="shared" si="84"/>
        <v>0</v>
      </c>
      <c r="AF134" s="66">
        <f t="shared" si="85"/>
        <v>0</v>
      </c>
      <c r="AG134" s="66">
        <f t="shared" si="86"/>
        <v>0</v>
      </c>
      <c r="AH134" s="66">
        <f t="shared" si="87"/>
        <v>0</v>
      </c>
      <c r="AI134" s="99" t="s">
        <v>450</v>
      </c>
      <c r="AJ134" s="66">
        <f t="shared" si="88"/>
        <v>0</v>
      </c>
      <c r="AK134" s="66">
        <f t="shared" si="89"/>
        <v>0</v>
      </c>
      <c r="AL134" s="66">
        <f t="shared" si="90"/>
        <v>0</v>
      </c>
      <c r="AN134" s="66">
        <v>21</v>
      </c>
      <c r="AO134" s="66">
        <f>H134*0</f>
        <v>0</v>
      </c>
      <c r="AP134" s="66">
        <f>H134*(1-0)</f>
        <v>0</v>
      </c>
      <c r="AQ134" s="111" t="s">
        <v>644</v>
      </c>
      <c r="AV134" s="66">
        <f t="shared" si="91"/>
        <v>0</v>
      </c>
      <c r="AW134" s="66">
        <f t="shared" si="92"/>
        <v>0</v>
      </c>
      <c r="AX134" s="66">
        <f t="shared" si="93"/>
        <v>0</v>
      </c>
      <c r="AY134" s="111" t="s">
        <v>567</v>
      </c>
      <c r="AZ134" s="111" t="s">
        <v>233</v>
      </c>
      <c r="BA134" s="99" t="s">
        <v>498</v>
      </c>
      <c r="BC134" s="66">
        <f t="shared" si="94"/>
        <v>0</v>
      </c>
      <c r="BD134" s="66">
        <f t="shared" si="95"/>
        <v>0</v>
      </c>
      <c r="BE134" s="66">
        <v>0</v>
      </c>
      <c r="BF134" s="66">
        <f t="shared" si="96"/>
        <v>0</v>
      </c>
      <c r="BH134" s="66">
        <f t="shared" si="97"/>
        <v>0</v>
      </c>
      <c r="BI134" s="66">
        <f t="shared" si="98"/>
        <v>0</v>
      </c>
      <c r="BJ134" s="66">
        <f t="shared" si="99"/>
        <v>0</v>
      </c>
      <c r="BK134" s="66"/>
      <c r="BL134" s="66">
        <v>96</v>
      </c>
    </row>
    <row r="135" spans="1:64" s="58" customFormat="1" ht="15" customHeight="1">
      <c r="A135" s="64" t="s">
        <v>321</v>
      </c>
      <c r="B135" s="65" t="s">
        <v>450</v>
      </c>
      <c r="C135" s="65" t="s">
        <v>159</v>
      </c>
      <c r="D135" s="174" t="s">
        <v>272</v>
      </c>
      <c r="E135" s="174"/>
      <c r="F135" s="65" t="s">
        <v>529</v>
      </c>
      <c r="G135" s="66">
        <v>1</v>
      </c>
      <c r="H135" s="66"/>
      <c r="I135" s="66">
        <f t="shared" si="76"/>
        <v>0</v>
      </c>
      <c r="J135" s="66">
        <f t="shared" si="77"/>
        <v>0</v>
      </c>
      <c r="K135" s="66">
        <f t="shared" si="78"/>
        <v>0</v>
      </c>
      <c r="L135" s="66">
        <v>0</v>
      </c>
      <c r="M135" s="66">
        <f t="shared" si="79"/>
        <v>0</v>
      </c>
      <c r="N135" s="69" t="s">
        <v>450</v>
      </c>
      <c r="Z135" s="66">
        <f t="shared" si="80"/>
        <v>0</v>
      </c>
      <c r="AB135" s="66">
        <f t="shared" si="81"/>
        <v>0</v>
      </c>
      <c r="AC135" s="66">
        <f t="shared" si="82"/>
        <v>0</v>
      </c>
      <c r="AD135" s="66">
        <f t="shared" si="83"/>
        <v>0</v>
      </c>
      <c r="AE135" s="66">
        <f t="shared" si="84"/>
        <v>0</v>
      </c>
      <c r="AF135" s="66">
        <f t="shared" si="85"/>
        <v>0</v>
      </c>
      <c r="AG135" s="66">
        <f t="shared" si="86"/>
        <v>0</v>
      </c>
      <c r="AH135" s="66">
        <f t="shared" si="87"/>
        <v>0</v>
      </c>
      <c r="AI135" s="99" t="s">
        <v>450</v>
      </c>
      <c r="AJ135" s="66">
        <f t="shared" si="88"/>
        <v>0</v>
      </c>
      <c r="AK135" s="66">
        <f t="shared" si="89"/>
        <v>0</v>
      </c>
      <c r="AL135" s="66">
        <f t="shared" si="90"/>
        <v>0</v>
      </c>
      <c r="AN135" s="66">
        <v>21</v>
      </c>
      <c r="AO135" s="66">
        <f>H135*0</f>
        <v>0</v>
      </c>
      <c r="AP135" s="66">
        <f>H135*(1-0)</f>
        <v>0</v>
      </c>
      <c r="AQ135" s="111" t="s">
        <v>644</v>
      </c>
      <c r="AV135" s="66">
        <f t="shared" si="91"/>
        <v>0</v>
      </c>
      <c r="AW135" s="66">
        <f t="shared" si="92"/>
        <v>0</v>
      </c>
      <c r="AX135" s="66">
        <f t="shared" si="93"/>
        <v>0</v>
      </c>
      <c r="AY135" s="111" t="s">
        <v>567</v>
      </c>
      <c r="AZ135" s="111" t="s">
        <v>233</v>
      </c>
      <c r="BA135" s="99" t="s">
        <v>498</v>
      </c>
      <c r="BC135" s="66">
        <f t="shared" si="94"/>
        <v>0</v>
      </c>
      <c r="BD135" s="66">
        <f t="shared" si="95"/>
        <v>0</v>
      </c>
      <c r="BE135" s="66">
        <v>0</v>
      </c>
      <c r="BF135" s="66">
        <f t="shared" si="96"/>
        <v>0</v>
      </c>
      <c r="BH135" s="66">
        <f t="shared" si="97"/>
        <v>0</v>
      </c>
      <c r="BI135" s="66">
        <f t="shared" si="98"/>
        <v>0</v>
      </c>
      <c r="BJ135" s="66">
        <f t="shared" si="99"/>
        <v>0</v>
      </c>
      <c r="BK135" s="66"/>
      <c r="BL135" s="66">
        <v>96</v>
      </c>
    </row>
    <row r="136" spans="1:47" s="58" customFormat="1" ht="15" customHeight="1">
      <c r="A136" s="95" t="s">
        <v>450</v>
      </c>
      <c r="B136" s="96" t="s">
        <v>450</v>
      </c>
      <c r="C136" s="96" t="s">
        <v>79</v>
      </c>
      <c r="D136" s="173" t="s">
        <v>720</v>
      </c>
      <c r="E136" s="173"/>
      <c r="F136" s="97" t="s">
        <v>595</v>
      </c>
      <c r="G136" s="97" t="s">
        <v>595</v>
      </c>
      <c r="H136" s="97"/>
      <c r="I136" s="98">
        <f>SUM(I137:I140)</f>
        <v>0</v>
      </c>
      <c r="J136" s="98">
        <f>SUM(J137:J140)</f>
        <v>0</v>
      </c>
      <c r="K136" s="98">
        <f>SUM(K137:K140)</f>
        <v>0</v>
      </c>
      <c r="L136" s="99" t="s">
        <v>450</v>
      </c>
      <c r="M136" s="98">
        <f>SUM(M137:M140)</f>
        <v>0</v>
      </c>
      <c r="N136" s="100" t="s">
        <v>450</v>
      </c>
      <c r="AI136" s="99" t="s">
        <v>450</v>
      </c>
      <c r="AS136" s="98">
        <f>SUM(AJ137:AJ140)</f>
        <v>0</v>
      </c>
      <c r="AT136" s="98">
        <f>SUM(AK137:AK140)</f>
        <v>0</v>
      </c>
      <c r="AU136" s="98">
        <f>SUM(AL137:AL140)</f>
        <v>0</v>
      </c>
    </row>
    <row r="137" spans="1:64" s="58" customFormat="1" ht="15" customHeight="1">
      <c r="A137" s="64" t="s">
        <v>534</v>
      </c>
      <c r="B137" s="65" t="s">
        <v>450</v>
      </c>
      <c r="C137" s="65" t="s">
        <v>381</v>
      </c>
      <c r="D137" s="174" t="s">
        <v>340</v>
      </c>
      <c r="E137" s="174"/>
      <c r="F137" s="65" t="s">
        <v>311</v>
      </c>
      <c r="G137" s="66">
        <v>30</v>
      </c>
      <c r="H137" s="66"/>
      <c r="I137" s="66">
        <f>G137*AO137</f>
        <v>0</v>
      </c>
      <c r="J137" s="66">
        <f>G137*AP137</f>
        <v>0</v>
      </c>
      <c r="K137" s="66">
        <f>G137*H137</f>
        <v>0</v>
      </c>
      <c r="L137" s="66">
        <v>0</v>
      </c>
      <c r="M137" s="66">
        <f>G137*L137</f>
        <v>0</v>
      </c>
      <c r="N137" s="69" t="s">
        <v>545</v>
      </c>
      <c r="Z137" s="66">
        <f>IF(AQ137="5",BJ137,0)</f>
        <v>0</v>
      </c>
      <c r="AB137" s="66">
        <f>IF(AQ137="1",BH137,0)</f>
        <v>0</v>
      </c>
      <c r="AC137" s="66">
        <f>IF(AQ137="1",BI137,0)</f>
        <v>0</v>
      </c>
      <c r="AD137" s="66">
        <f>IF(AQ137="7",BH137,0)</f>
        <v>0</v>
      </c>
      <c r="AE137" s="66">
        <f>IF(AQ137="7",BI137,0)</f>
        <v>0</v>
      </c>
      <c r="AF137" s="66">
        <f>IF(AQ137="2",BH137,0)</f>
        <v>0</v>
      </c>
      <c r="AG137" s="66">
        <f>IF(AQ137="2",BI137,0)</f>
        <v>0</v>
      </c>
      <c r="AH137" s="66">
        <f>IF(AQ137="0",BJ137,0)</f>
        <v>0</v>
      </c>
      <c r="AI137" s="99" t="s">
        <v>450</v>
      </c>
      <c r="AJ137" s="66">
        <f>IF(AN137=0,K137,0)</f>
        <v>0</v>
      </c>
      <c r="AK137" s="66">
        <f>IF(AN137=15,K137,0)</f>
        <v>0</v>
      </c>
      <c r="AL137" s="66">
        <f>IF(AN137=21,K137,0)</f>
        <v>0</v>
      </c>
      <c r="AN137" s="66">
        <v>21</v>
      </c>
      <c r="AO137" s="66">
        <f>H137*0</f>
        <v>0</v>
      </c>
      <c r="AP137" s="66">
        <f>H137*(1-0)</f>
        <v>0</v>
      </c>
      <c r="AQ137" s="111" t="s">
        <v>644</v>
      </c>
      <c r="AV137" s="66">
        <f>AW137+AX137</f>
        <v>0</v>
      </c>
      <c r="AW137" s="66">
        <f>G137*AO137</f>
        <v>0</v>
      </c>
      <c r="AX137" s="66">
        <f>G137*AP137</f>
        <v>0</v>
      </c>
      <c r="AY137" s="111" t="s">
        <v>201</v>
      </c>
      <c r="AZ137" s="111" t="s">
        <v>233</v>
      </c>
      <c r="BA137" s="99" t="s">
        <v>498</v>
      </c>
      <c r="BC137" s="66">
        <f>AW137+AX137</f>
        <v>0</v>
      </c>
      <c r="BD137" s="66">
        <f>H137/(100-BE137)*100</f>
        <v>0</v>
      </c>
      <c r="BE137" s="66">
        <v>0</v>
      </c>
      <c r="BF137" s="66">
        <f>M137</f>
        <v>0</v>
      </c>
      <c r="BH137" s="66">
        <f>G137*AO137</f>
        <v>0</v>
      </c>
      <c r="BI137" s="66">
        <f>G137*AP137</f>
        <v>0</v>
      </c>
      <c r="BJ137" s="66">
        <f>G137*H137</f>
        <v>0</v>
      </c>
      <c r="BK137" s="66"/>
      <c r="BL137" s="66">
        <v>97</v>
      </c>
    </row>
    <row r="138" spans="1:64" s="58" customFormat="1" ht="15" customHeight="1">
      <c r="A138" s="64" t="s">
        <v>588</v>
      </c>
      <c r="B138" s="65" t="s">
        <v>450</v>
      </c>
      <c r="C138" s="65" t="s">
        <v>381</v>
      </c>
      <c r="D138" s="174" t="s">
        <v>217</v>
      </c>
      <c r="E138" s="174"/>
      <c r="F138" s="65" t="s">
        <v>311</v>
      </c>
      <c r="G138" s="66">
        <v>10</v>
      </c>
      <c r="H138" s="66"/>
      <c r="I138" s="66">
        <f>G138*AO138</f>
        <v>0</v>
      </c>
      <c r="J138" s="66">
        <f>G138*AP138</f>
        <v>0</v>
      </c>
      <c r="K138" s="66">
        <f>G138*H138</f>
        <v>0</v>
      </c>
      <c r="L138" s="66">
        <v>0</v>
      </c>
      <c r="M138" s="66">
        <f>G138*L138</f>
        <v>0</v>
      </c>
      <c r="N138" s="69" t="s">
        <v>545</v>
      </c>
      <c r="Z138" s="66">
        <f>IF(AQ138="5",BJ138,0)</f>
        <v>0</v>
      </c>
      <c r="AB138" s="66">
        <f>IF(AQ138="1",BH138,0)</f>
        <v>0</v>
      </c>
      <c r="AC138" s="66">
        <f>IF(AQ138="1",BI138,0)</f>
        <v>0</v>
      </c>
      <c r="AD138" s="66">
        <f>IF(AQ138="7",BH138,0)</f>
        <v>0</v>
      </c>
      <c r="AE138" s="66">
        <f>IF(AQ138="7",BI138,0)</f>
        <v>0</v>
      </c>
      <c r="AF138" s="66">
        <f>IF(AQ138="2",BH138,0)</f>
        <v>0</v>
      </c>
      <c r="AG138" s="66">
        <f>IF(AQ138="2",BI138,0)</f>
        <v>0</v>
      </c>
      <c r="AH138" s="66">
        <f>IF(AQ138="0",BJ138,0)</f>
        <v>0</v>
      </c>
      <c r="AI138" s="99" t="s">
        <v>450</v>
      </c>
      <c r="AJ138" s="66">
        <f>IF(AN138=0,K138,0)</f>
        <v>0</v>
      </c>
      <c r="AK138" s="66">
        <f>IF(AN138=15,K138,0)</f>
        <v>0</v>
      </c>
      <c r="AL138" s="66">
        <f>IF(AN138=21,K138,0)</f>
        <v>0</v>
      </c>
      <c r="AN138" s="66">
        <v>21</v>
      </c>
      <c r="AO138" s="66">
        <f>H138*0</f>
        <v>0</v>
      </c>
      <c r="AP138" s="66">
        <f>H138*(1-0)</f>
        <v>0</v>
      </c>
      <c r="AQ138" s="111" t="s">
        <v>644</v>
      </c>
      <c r="AV138" s="66">
        <f>AW138+AX138</f>
        <v>0</v>
      </c>
      <c r="AW138" s="66">
        <f>G138*AO138</f>
        <v>0</v>
      </c>
      <c r="AX138" s="66">
        <f>G138*AP138</f>
        <v>0</v>
      </c>
      <c r="AY138" s="111" t="s">
        <v>201</v>
      </c>
      <c r="AZ138" s="111" t="s">
        <v>233</v>
      </c>
      <c r="BA138" s="99" t="s">
        <v>498</v>
      </c>
      <c r="BC138" s="66">
        <f>AW138+AX138</f>
        <v>0</v>
      </c>
      <c r="BD138" s="66">
        <f>H138/(100-BE138)*100</f>
        <v>0</v>
      </c>
      <c r="BE138" s="66">
        <v>0</v>
      </c>
      <c r="BF138" s="66">
        <f>M138</f>
        <v>0</v>
      </c>
      <c r="BH138" s="66">
        <f>G138*AO138</f>
        <v>0</v>
      </c>
      <c r="BI138" s="66">
        <f>G138*AP138</f>
        <v>0</v>
      </c>
      <c r="BJ138" s="66">
        <f>G138*H138</f>
        <v>0</v>
      </c>
      <c r="BK138" s="66"/>
      <c r="BL138" s="66">
        <v>97</v>
      </c>
    </row>
    <row r="139" spans="1:64" s="58" customFormat="1" ht="15" customHeight="1">
      <c r="A139" s="64" t="s">
        <v>564</v>
      </c>
      <c r="B139" s="65" t="s">
        <v>450</v>
      </c>
      <c r="C139" s="65" t="s">
        <v>513</v>
      </c>
      <c r="D139" s="174" t="s">
        <v>537</v>
      </c>
      <c r="E139" s="174"/>
      <c r="F139" s="65" t="s">
        <v>157</v>
      </c>
      <c r="G139" s="66">
        <v>1</v>
      </c>
      <c r="H139" s="66"/>
      <c r="I139" s="66">
        <f>G139*AO139</f>
        <v>0</v>
      </c>
      <c r="J139" s="66">
        <f>G139*AP139</f>
        <v>0</v>
      </c>
      <c r="K139" s="66">
        <f>G139*H139</f>
        <v>0</v>
      </c>
      <c r="L139" s="66">
        <v>0</v>
      </c>
      <c r="M139" s="66">
        <f>G139*L139</f>
        <v>0</v>
      </c>
      <c r="N139" s="69" t="s">
        <v>545</v>
      </c>
      <c r="Z139" s="66">
        <f>IF(AQ139="5",BJ139,0)</f>
        <v>0</v>
      </c>
      <c r="AB139" s="66">
        <f>IF(AQ139="1",BH139,0)</f>
        <v>0</v>
      </c>
      <c r="AC139" s="66">
        <f>IF(AQ139="1",BI139,0)</f>
        <v>0</v>
      </c>
      <c r="AD139" s="66">
        <f>IF(AQ139="7",BH139,0)</f>
        <v>0</v>
      </c>
      <c r="AE139" s="66">
        <f>IF(AQ139="7",BI139,0)</f>
        <v>0</v>
      </c>
      <c r="AF139" s="66">
        <f>IF(AQ139="2",BH139,0)</f>
        <v>0</v>
      </c>
      <c r="AG139" s="66">
        <f>IF(AQ139="2",BI139,0)</f>
        <v>0</v>
      </c>
      <c r="AH139" s="66">
        <f>IF(AQ139="0",BJ139,0)</f>
        <v>0</v>
      </c>
      <c r="AI139" s="99" t="s">
        <v>450</v>
      </c>
      <c r="AJ139" s="66">
        <f>IF(AN139=0,K139,0)</f>
        <v>0</v>
      </c>
      <c r="AK139" s="66">
        <f>IF(AN139=15,K139,0)</f>
        <v>0</v>
      </c>
      <c r="AL139" s="66">
        <f>IF(AN139=21,K139,0)</f>
        <v>0</v>
      </c>
      <c r="AN139" s="66">
        <v>21</v>
      </c>
      <c r="AO139" s="66">
        <f>H139*0</f>
        <v>0</v>
      </c>
      <c r="AP139" s="66">
        <f>H139*(1-0)</f>
        <v>0</v>
      </c>
      <c r="AQ139" s="111" t="s">
        <v>644</v>
      </c>
      <c r="AV139" s="66">
        <f>AW139+AX139</f>
        <v>0</v>
      </c>
      <c r="AW139" s="66">
        <f>G139*AO139</f>
        <v>0</v>
      </c>
      <c r="AX139" s="66">
        <f>G139*AP139</f>
        <v>0</v>
      </c>
      <c r="AY139" s="111" t="s">
        <v>201</v>
      </c>
      <c r="AZ139" s="111" t="s">
        <v>233</v>
      </c>
      <c r="BA139" s="99" t="s">
        <v>498</v>
      </c>
      <c r="BC139" s="66">
        <f>AW139+AX139</f>
        <v>0</v>
      </c>
      <c r="BD139" s="66">
        <f>H139/(100-BE139)*100</f>
        <v>0</v>
      </c>
      <c r="BE139" s="66">
        <v>0</v>
      </c>
      <c r="BF139" s="66">
        <f>M139</f>
        <v>0</v>
      </c>
      <c r="BH139" s="66">
        <f>G139*AO139</f>
        <v>0</v>
      </c>
      <c r="BI139" s="66">
        <f>G139*AP139</f>
        <v>0</v>
      </c>
      <c r="BJ139" s="66">
        <f>G139*H139</f>
        <v>0</v>
      </c>
      <c r="BK139" s="66"/>
      <c r="BL139" s="66">
        <v>97</v>
      </c>
    </row>
    <row r="140" spans="1:64" s="58" customFormat="1" ht="15" customHeight="1">
      <c r="A140" s="64" t="s">
        <v>12</v>
      </c>
      <c r="B140" s="65" t="s">
        <v>450</v>
      </c>
      <c r="C140" s="65" t="s">
        <v>673</v>
      </c>
      <c r="D140" s="174" t="s">
        <v>14</v>
      </c>
      <c r="E140" s="174"/>
      <c r="F140" s="65" t="s">
        <v>218</v>
      </c>
      <c r="G140" s="66">
        <v>1</v>
      </c>
      <c r="H140" s="66"/>
      <c r="I140" s="66">
        <f>G140*AO140</f>
        <v>0</v>
      </c>
      <c r="J140" s="66">
        <f>G140*AP140</f>
        <v>0</v>
      </c>
      <c r="K140" s="66">
        <f>G140*H140</f>
        <v>0</v>
      </c>
      <c r="L140" s="66">
        <v>0</v>
      </c>
      <c r="M140" s="66">
        <f>G140*L140</f>
        <v>0</v>
      </c>
      <c r="N140" s="69" t="s">
        <v>545</v>
      </c>
      <c r="Z140" s="66">
        <f>IF(AQ140="5",BJ140,0)</f>
        <v>0</v>
      </c>
      <c r="AB140" s="66">
        <f>IF(AQ140="1",BH140,0)</f>
        <v>0</v>
      </c>
      <c r="AC140" s="66">
        <f>IF(AQ140="1",BI140,0)</f>
        <v>0</v>
      </c>
      <c r="AD140" s="66">
        <f>IF(AQ140="7",BH140,0)</f>
        <v>0</v>
      </c>
      <c r="AE140" s="66">
        <f>IF(AQ140="7",BI140,0)</f>
        <v>0</v>
      </c>
      <c r="AF140" s="66">
        <f>IF(AQ140="2",BH140,0)</f>
        <v>0</v>
      </c>
      <c r="AG140" s="66">
        <f>IF(AQ140="2",BI140,0)</f>
        <v>0</v>
      </c>
      <c r="AH140" s="66">
        <f>IF(AQ140="0",BJ140,0)</f>
        <v>0</v>
      </c>
      <c r="AI140" s="99" t="s">
        <v>450</v>
      </c>
      <c r="AJ140" s="66">
        <f>IF(AN140=0,K140,0)</f>
        <v>0</v>
      </c>
      <c r="AK140" s="66">
        <f>IF(AN140=15,K140,0)</f>
        <v>0</v>
      </c>
      <c r="AL140" s="66">
        <f>IF(AN140=21,K140,0)</f>
        <v>0</v>
      </c>
      <c r="AN140" s="66">
        <v>21</v>
      </c>
      <c r="AO140" s="66">
        <f>H140*0</f>
        <v>0</v>
      </c>
      <c r="AP140" s="66">
        <f>H140*(1-0)</f>
        <v>0</v>
      </c>
      <c r="AQ140" s="111" t="s">
        <v>644</v>
      </c>
      <c r="AV140" s="66">
        <f>AW140+AX140</f>
        <v>0</v>
      </c>
      <c r="AW140" s="66">
        <f>G140*AO140</f>
        <v>0</v>
      </c>
      <c r="AX140" s="66">
        <f>G140*AP140</f>
        <v>0</v>
      </c>
      <c r="AY140" s="111" t="s">
        <v>201</v>
      </c>
      <c r="AZ140" s="111" t="s">
        <v>233</v>
      </c>
      <c r="BA140" s="99" t="s">
        <v>498</v>
      </c>
      <c r="BC140" s="66">
        <f>AW140+AX140</f>
        <v>0</v>
      </c>
      <c r="BD140" s="66">
        <f>H140/(100-BE140)*100</f>
        <v>0</v>
      </c>
      <c r="BE140" s="66">
        <v>0</v>
      </c>
      <c r="BF140" s="66">
        <f>M140</f>
        <v>0</v>
      </c>
      <c r="BH140" s="66">
        <f>G140*AO140</f>
        <v>0</v>
      </c>
      <c r="BI140" s="66">
        <f>G140*AP140</f>
        <v>0</v>
      </c>
      <c r="BJ140" s="66">
        <f>G140*H140</f>
        <v>0</v>
      </c>
      <c r="BK140" s="66"/>
      <c r="BL140" s="66">
        <v>97</v>
      </c>
    </row>
    <row r="141" spans="1:47" s="58" customFormat="1" ht="15" customHeight="1">
      <c r="A141" s="95" t="s">
        <v>450</v>
      </c>
      <c r="B141" s="96" t="s">
        <v>450</v>
      </c>
      <c r="C141" s="96" t="s">
        <v>455</v>
      </c>
      <c r="D141" s="173" t="s">
        <v>570</v>
      </c>
      <c r="E141" s="173"/>
      <c r="F141" s="97" t="s">
        <v>595</v>
      </c>
      <c r="G141" s="97" t="s">
        <v>595</v>
      </c>
      <c r="H141" s="97"/>
      <c r="I141" s="98">
        <f>SUM(I142:I152)</f>
        <v>0</v>
      </c>
      <c r="J141" s="98">
        <f>SUM(J142:J152)</f>
        <v>0</v>
      </c>
      <c r="K141" s="98">
        <f>SUM(K142:K152)</f>
        <v>0</v>
      </c>
      <c r="L141" s="99" t="s">
        <v>450</v>
      </c>
      <c r="M141" s="98">
        <f>SUM(M142:M152)</f>
        <v>1527.4744787908999</v>
      </c>
      <c r="N141" s="100" t="s">
        <v>450</v>
      </c>
      <c r="AI141" s="99" t="s">
        <v>450</v>
      </c>
      <c r="AS141" s="98">
        <f>SUM(AJ142:AJ152)</f>
        <v>0</v>
      </c>
      <c r="AT141" s="98">
        <f>SUM(AK142:AK152)</f>
        <v>0</v>
      </c>
      <c r="AU141" s="98">
        <f>SUM(AL142:AL152)</f>
        <v>0</v>
      </c>
    </row>
    <row r="142" spans="1:64" s="58" customFormat="1" ht="15" customHeight="1">
      <c r="A142" s="64" t="s">
        <v>255</v>
      </c>
      <c r="B142" s="65" t="s">
        <v>450</v>
      </c>
      <c r="C142" s="65" t="s">
        <v>709</v>
      </c>
      <c r="D142" s="174" t="s">
        <v>733</v>
      </c>
      <c r="E142" s="174"/>
      <c r="F142" s="65" t="s">
        <v>621</v>
      </c>
      <c r="G142" s="66">
        <v>829.29427</v>
      </c>
      <c r="H142" s="66"/>
      <c r="I142" s="66">
        <f aca="true" t="shared" si="100" ref="I142:I152">G142*AO142</f>
        <v>0</v>
      </c>
      <c r="J142" s="66">
        <f aca="true" t="shared" si="101" ref="J142:J152">G142*AP142</f>
        <v>0</v>
      </c>
      <c r="K142" s="66">
        <f aca="true" t="shared" si="102" ref="K142:K152">G142*H142</f>
        <v>0</v>
      </c>
      <c r="L142" s="66">
        <v>1.807</v>
      </c>
      <c r="M142" s="66">
        <f aca="true" t="shared" si="103" ref="M142:M152">G142*L142</f>
        <v>1498.5347458899998</v>
      </c>
      <c r="N142" s="69" t="s">
        <v>545</v>
      </c>
      <c r="Z142" s="66">
        <f aca="true" t="shared" si="104" ref="Z142:Z152">IF(AQ142="5",BJ142,0)</f>
        <v>0</v>
      </c>
      <c r="AB142" s="66">
        <f aca="true" t="shared" si="105" ref="AB142:AB152">IF(AQ142="1",BH142,0)</f>
        <v>0</v>
      </c>
      <c r="AC142" s="66">
        <f aca="true" t="shared" si="106" ref="AC142:AC152">IF(AQ142="1",BI142,0)</f>
        <v>0</v>
      </c>
      <c r="AD142" s="66">
        <f aca="true" t="shared" si="107" ref="AD142:AD152">IF(AQ142="7",BH142,0)</f>
        <v>0</v>
      </c>
      <c r="AE142" s="66">
        <f aca="true" t="shared" si="108" ref="AE142:AE152">IF(AQ142="7",BI142,0)</f>
        <v>0</v>
      </c>
      <c r="AF142" s="66">
        <f aca="true" t="shared" si="109" ref="AF142:AF152">IF(AQ142="2",BH142,0)</f>
        <v>0</v>
      </c>
      <c r="AG142" s="66">
        <f aca="true" t="shared" si="110" ref="AG142:AG152">IF(AQ142="2",BI142,0)</f>
        <v>0</v>
      </c>
      <c r="AH142" s="66">
        <f aca="true" t="shared" si="111" ref="AH142:AH152">IF(AQ142="0",BJ142,0)</f>
        <v>0</v>
      </c>
      <c r="AI142" s="99" t="s">
        <v>450</v>
      </c>
      <c r="AJ142" s="66">
        <f aca="true" t="shared" si="112" ref="AJ142:AJ152">IF(AN142=0,K142,0)</f>
        <v>0</v>
      </c>
      <c r="AK142" s="66">
        <f aca="true" t="shared" si="113" ref="AK142:AK152">IF(AN142=15,K142,0)</f>
        <v>0</v>
      </c>
      <c r="AL142" s="66">
        <f aca="true" t="shared" si="114" ref="AL142:AL152">IF(AN142=21,K142,0)</f>
        <v>0</v>
      </c>
      <c r="AN142" s="66">
        <v>21</v>
      </c>
      <c r="AO142" s="66">
        <f>H142*0.0132339331221611</f>
        <v>0</v>
      </c>
      <c r="AP142" s="66">
        <f>H142*(1-0.0132339331221611)</f>
        <v>0</v>
      </c>
      <c r="AQ142" s="111" t="s">
        <v>644</v>
      </c>
      <c r="AV142" s="66">
        <f aca="true" t="shared" si="115" ref="AV142:AV152">AW142+AX142</f>
        <v>0</v>
      </c>
      <c r="AW142" s="66">
        <f aca="true" t="shared" si="116" ref="AW142:AW152">G142*AO142</f>
        <v>0</v>
      </c>
      <c r="AX142" s="66">
        <f aca="true" t="shared" si="117" ref="AX142:AX152">G142*AP142</f>
        <v>0</v>
      </c>
      <c r="AY142" s="111" t="s">
        <v>509</v>
      </c>
      <c r="AZ142" s="111" t="s">
        <v>233</v>
      </c>
      <c r="BA142" s="99" t="s">
        <v>498</v>
      </c>
      <c r="BC142" s="66">
        <f aca="true" t="shared" si="118" ref="BC142:BC152">AW142+AX142</f>
        <v>0</v>
      </c>
      <c r="BD142" s="66">
        <f aca="true" t="shared" si="119" ref="BD142:BD152">H142/(100-BE142)*100</f>
        <v>0</v>
      </c>
      <c r="BE142" s="66">
        <v>0</v>
      </c>
      <c r="BF142" s="66">
        <f aca="true" t="shared" si="120" ref="BF142:BF152">M142</f>
        <v>1498.5347458899998</v>
      </c>
      <c r="BH142" s="66">
        <f aca="true" t="shared" si="121" ref="BH142:BH152">G142*AO142</f>
        <v>0</v>
      </c>
      <c r="BI142" s="66">
        <f aca="true" t="shared" si="122" ref="BI142:BI152">G142*AP142</f>
        <v>0</v>
      </c>
      <c r="BJ142" s="66">
        <f aca="true" t="shared" si="123" ref="BJ142:BJ152">G142*H142</f>
        <v>0</v>
      </c>
      <c r="BK142" s="66"/>
      <c r="BL142" s="66">
        <v>98</v>
      </c>
    </row>
    <row r="143" spans="1:64" s="58" customFormat="1" ht="15" customHeight="1">
      <c r="A143" s="64" t="s">
        <v>90</v>
      </c>
      <c r="B143" s="65" t="s">
        <v>450</v>
      </c>
      <c r="C143" s="65" t="s">
        <v>411</v>
      </c>
      <c r="D143" s="174" t="s">
        <v>103</v>
      </c>
      <c r="E143" s="174"/>
      <c r="F143" s="65" t="s">
        <v>621</v>
      </c>
      <c r="G143" s="66">
        <v>16.06897</v>
      </c>
      <c r="H143" s="66"/>
      <c r="I143" s="66">
        <f t="shared" si="100"/>
        <v>0</v>
      </c>
      <c r="J143" s="66">
        <f t="shared" si="101"/>
        <v>0</v>
      </c>
      <c r="K143" s="66">
        <f t="shared" si="102"/>
        <v>0</v>
      </c>
      <c r="L143" s="66">
        <v>1.80097</v>
      </c>
      <c r="M143" s="66">
        <f t="shared" si="103"/>
        <v>28.9397329009</v>
      </c>
      <c r="N143" s="69" t="s">
        <v>545</v>
      </c>
      <c r="Z143" s="66">
        <f t="shared" si="104"/>
        <v>0</v>
      </c>
      <c r="AB143" s="66">
        <f t="shared" si="105"/>
        <v>0</v>
      </c>
      <c r="AC143" s="66">
        <f t="shared" si="106"/>
        <v>0</v>
      </c>
      <c r="AD143" s="66">
        <f t="shared" si="107"/>
        <v>0</v>
      </c>
      <c r="AE143" s="66">
        <f t="shared" si="108"/>
        <v>0</v>
      </c>
      <c r="AF143" s="66">
        <f t="shared" si="109"/>
        <v>0</v>
      </c>
      <c r="AG143" s="66">
        <f t="shared" si="110"/>
        <v>0</v>
      </c>
      <c r="AH143" s="66">
        <f t="shared" si="111"/>
        <v>0</v>
      </c>
      <c r="AI143" s="99" t="s">
        <v>450</v>
      </c>
      <c r="AJ143" s="66">
        <f t="shared" si="112"/>
        <v>0</v>
      </c>
      <c r="AK143" s="66">
        <f t="shared" si="113"/>
        <v>0</v>
      </c>
      <c r="AL143" s="66">
        <f t="shared" si="114"/>
        <v>0</v>
      </c>
      <c r="AN143" s="66">
        <v>21</v>
      </c>
      <c r="AO143" s="66">
        <f>H143*0.00203047097363201</f>
        <v>0</v>
      </c>
      <c r="AP143" s="66">
        <f>H143*(1-0.00203047097363201)</f>
        <v>0</v>
      </c>
      <c r="AQ143" s="111" t="s">
        <v>644</v>
      </c>
      <c r="AV143" s="66">
        <f t="shared" si="115"/>
        <v>0</v>
      </c>
      <c r="AW143" s="66">
        <f t="shared" si="116"/>
        <v>0</v>
      </c>
      <c r="AX143" s="66">
        <f t="shared" si="117"/>
        <v>0</v>
      </c>
      <c r="AY143" s="111" t="s">
        <v>509</v>
      </c>
      <c r="AZ143" s="111" t="s">
        <v>233</v>
      </c>
      <c r="BA143" s="99" t="s">
        <v>498</v>
      </c>
      <c r="BC143" s="66">
        <f t="shared" si="118"/>
        <v>0</v>
      </c>
      <c r="BD143" s="66">
        <f t="shared" si="119"/>
        <v>0</v>
      </c>
      <c r="BE143" s="66">
        <v>0</v>
      </c>
      <c r="BF143" s="66">
        <f t="shared" si="120"/>
        <v>28.9397329009</v>
      </c>
      <c r="BH143" s="66">
        <f t="shared" si="121"/>
        <v>0</v>
      </c>
      <c r="BI143" s="66">
        <f t="shared" si="122"/>
        <v>0</v>
      </c>
      <c r="BJ143" s="66">
        <f t="shared" si="123"/>
        <v>0</v>
      </c>
      <c r="BK143" s="66"/>
      <c r="BL143" s="66">
        <v>98</v>
      </c>
    </row>
    <row r="144" spans="1:64" s="58" customFormat="1" ht="15" customHeight="1">
      <c r="A144" s="64" t="s">
        <v>715</v>
      </c>
      <c r="B144" s="65" t="s">
        <v>450</v>
      </c>
      <c r="C144" s="65" t="s">
        <v>662</v>
      </c>
      <c r="D144" s="174" t="s">
        <v>171</v>
      </c>
      <c r="E144" s="174"/>
      <c r="F144" s="65" t="s">
        <v>311</v>
      </c>
      <c r="G144" s="66">
        <v>2403.62927</v>
      </c>
      <c r="H144" s="66"/>
      <c r="I144" s="66">
        <f t="shared" si="100"/>
        <v>0</v>
      </c>
      <c r="J144" s="66">
        <f t="shared" si="101"/>
        <v>0</v>
      </c>
      <c r="K144" s="66">
        <f t="shared" si="102"/>
        <v>0</v>
      </c>
      <c r="L144" s="66">
        <v>0</v>
      </c>
      <c r="M144" s="66">
        <f t="shared" si="103"/>
        <v>0</v>
      </c>
      <c r="N144" s="69" t="s">
        <v>545</v>
      </c>
      <c r="Z144" s="66">
        <f t="shared" si="104"/>
        <v>0</v>
      </c>
      <c r="AB144" s="66">
        <f t="shared" si="105"/>
        <v>0</v>
      </c>
      <c r="AC144" s="66">
        <f t="shared" si="106"/>
        <v>0</v>
      </c>
      <c r="AD144" s="66">
        <f t="shared" si="107"/>
        <v>0</v>
      </c>
      <c r="AE144" s="66">
        <f t="shared" si="108"/>
        <v>0</v>
      </c>
      <c r="AF144" s="66">
        <f t="shared" si="109"/>
        <v>0</v>
      </c>
      <c r="AG144" s="66">
        <f t="shared" si="110"/>
        <v>0</v>
      </c>
      <c r="AH144" s="66">
        <f t="shared" si="111"/>
        <v>0</v>
      </c>
      <c r="AI144" s="99" t="s">
        <v>450</v>
      </c>
      <c r="AJ144" s="66">
        <f t="shared" si="112"/>
        <v>0</v>
      </c>
      <c r="AK144" s="66">
        <f t="shared" si="113"/>
        <v>0</v>
      </c>
      <c r="AL144" s="66">
        <f t="shared" si="114"/>
        <v>0</v>
      </c>
      <c r="AN144" s="66">
        <v>21</v>
      </c>
      <c r="AO144" s="66">
        <f aca="true" t="shared" si="124" ref="AO144:AO152">H144*0</f>
        <v>0</v>
      </c>
      <c r="AP144" s="66">
        <f aca="true" t="shared" si="125" ref="AP144:AP152">H144*(1-0)</f>
        <v>0</v>
      </c>
      <c r="AQ144" s="111" t="s">
        <v>355</v>
      </c>
      <c r="AV144" s="66">
        <f t="shared" si="115"/>
        <v>0</v>
      </c>
      <c r="AW144" s="66">
        <f t="shared" si="116"/>
        <v>0</v>
      </c>
      <c r="AX144" s="66">
        <f t="shared" si="117"/>
        <v>0</v>
      </c>
      <c r="AY144" s="111" t="s">
        <v>509</v>
      </c>
      <c r="AZ144" s="111" t="s">
        <v>233</v>
      </c>
      <c r="BA144" s="99" t="s">
        <v>498</v>
      </c>
      <c r="BC144" s="66">
        <f t="shared" si="118"/>
        <v>0</v>
      </c>
      <c r="BD144" s="66">
        <f t="shared" si="119"/>
        <v>0</v>
      </c>
      <c r="BE144" s="66">
        <v>0</v>
      </c>
      <c r="BF144" s="66">
        <f t="shared" si="120"/>
        <v>0</v>
      </c>
      <c r="BH144" s="66">
        <f t="shared" si="121"/>
        <v>0</v>
      </c>
      <c r="BI144" s="66">
        <f t="shared" si="122"/>
        <v>0</v>
      </c>
      <c r="BJ144" s="66">
        <f t="shared" si="123"/>
        <v>0</v>
      </c>
      <c r="BK144" s="66"/>
      <c r="BL144" s="66">
        <v>98</v>
      </c>
    </row>
    <row r="145" spans="1:64" s="58" customFormat="1" ht="15" customHeight="1">
      <c r="A145" s="64" t="s">
        <v>323</v>
      </c>
      <c r="B145" s="65" t="s">
        <v>450</v>
      </c>
      <c r="C145" s="65" t="s">
        <v>132</v>
      </c>
      <c r="D145" s="174" t="s">
        <v>335</v>
      </c>
      <c r="E145" s="174"/>
      <c r="F145" s="65" t="s">
        <v>311</v>
      </c>
      <c r="G145" s="66">
        <v>2403.62927</v>
      </c>
      <c r="H145" s="66"/>
      <c r="I145" s="66">
        <f t="shared" si="100"/>
        <v>0</v>
      </c>
      <c r="J145" s="66">
        <f t="shared" si="101"/>
        <v>0</v>
      </c>
      <c r="K145" s="66">
        <f t="shared" si="102"/>
        <v>0</v>
      </c>
      <c r="L145" s="66">
        <v>0</v>
      </c>
      <c r="M145" s="66">
        <f t="shared" si="103"/>
        <v>0</v>
      </c>
      <c r="N145" s="69" t="s">
        <v>545</v>
      </c>
      <c r="Z145" s="66">
        <f t="shared" si="104"/>
        <v>0</v>
      </c>
      <c r="AB145" s="66">
        <f t="shared" si="105"/>
        <v>0</v>
      </c>
      <c r="AC145" s="66">
        <f t="shared" si="106"/>
        <v>0</v>
      </c>
      <c r="AD145" s="66">
        <f t="shared" si="107"/>
        <v>0</v>
      </c>
      <c r="AE145" s="66">
        <f t="shared" si="108"/>
        <v>0</v>
      </c>
      <c r="AF145" s="66">
        <f t="shared" si="109"/>
        <v>0</v>
      </c>
      <c r="AG145" s="66">
        <f t="shared" si="110"/>
        <v>0</v>
      </c>
      <c r="AH145" s="66">
        <f t="shared" si="111"/>
        <v>0</v>
      </c>
      <c r="AI145" s="99" t="s">
        <v>450</v>
      </c>
      <c r="AJ145" s="66">
        <f t="shared" si="112"/>
        <v>0</v>
      </c>
      <c r="AK145" s="66">
        <f t="shared" si="113"/>
        <v>0</v>
      </c>
      <c r="AL145" s="66">
        <f t="shared" si="114"/>
        <v>0</v>
      </c>
      <c r="AN145" s="66">
        <v>21</v>
      </c>
      <c r="AO145" s="66">
        <f t="shared" si="124"/>
        <v>0</v>
      </c>
      <c r="AP145" s="66">
        <f t="shared" si="125"/>
        <v>0</v>
      </c>
      <c r="AQ145" s="111" t="s">
        <v>355</v>
      </c>
      <c r="AV145" s="66">
        <f t="shared" si="115"/>
        <v>0</v>
      </c>
      <c r="AW145" s="66">
        <f t="shared" si="116"/>
        <v>0</v>
      </c>
      <c r="AX145" s="66">
        <f t="shared" si="117"/>
        <v>0</v>
      </c>
      <c r="AY145" s="111" t="s">
        <v>509</v>
      </c>
      <c r="AZ145" s="111" t="s">
        <v>233</v>
      </c>
      <c r="BA145" s="99" t="s">
        <v>498</v>
      </c>
      <c r="BC145" s="66">
        <f t="shared" si="118"/>
        <v>0</v>
      </c>
      <c r="BD145" s="66">
        <f t="shared" si="119"/>
        <v>0</v>
      </c>
      <c r="BE145" s="66">
        <v>0</v>
      </c>
      <c r="BF145" s="66">
        <f t="shared" si="120"/>
        <v>0</v>
      </c>
      <c r="BH145" s="66">
        <f t="shared" si="121"/>
        <v>0</v>
      </c>
      <c r="BI145" s="66">
        <f t="shared" si="122"/>
        <v>0</v>
      </c>
      <c r="BJ145" s="66">
        <f t="shared" si="123"/>
        <v>0</v>
      </c>
      <c r="BK145" s="66"/>
      <c r="BL145" s="66">
        <v>98</v>
      </c>
    </row>
    <row r="146" spans="1:64" s="58" customFormat="1" ht="15" customHeight="1">
      <c r="A146" s="64" t="s">
        <v>535</v>
      </c>
      <c r="B146" s="65" t="s">
        <v>450</v>
      </c>
      <c r="C146" s="65" t="s">
        <v>590</v>
      </c>
      <c r="D146" s="174" t="s">
        <v>77</v>
      </c>
      <c r="E146" s="174"/>
      <c r="F146" s="65" t="s">
        <v>311</v>
      </c>
      <c r="G146" s="66">
        <v>2331.16702</v>
      </c>
      <c r="H146" s="66"/>
      <c r="I146" s="66">
        <f t="shared" si="100"/>
        <v>0</v>
      </c>
      <c r="J146" s="66">
        <f t="shared" si="101"/>
        <v>0</v>
      </c>
      <c r="K146" s="66">
        <f t="shared" si="102"/>
        <v>0</v>
      </c>
      <c r="L146" s="66">
        <v>0</v>
      </c>
      <c r="M146" s="66">
        <f t="shared" si="103"/>
        <v>0</v>
      </c>
      <c r="N146" s="69" t="s">
        <v>545</v>
      </c>
      <c r="Z146" s="66">
        <f t="shared" si="104"/>
        <v>0</v>
      </c>
      <c r="AB146" s="66">
        <f t="shared" si="105"/>
        <v>0</v>
      </c>
      <c r="AC146" s="66">
        <f t="shared" si="106"/>
        <v>0</v>
      </c>
      <c r="AD146" s="66">
        <f t="shared" si="107"/>
        <v>0</v>
      </c>
      <c r="AE146" s="66">
        <f t="shared" si="108"/>
        <v>0</v>
      </c>
      <c r="AF146" s="66">
        <f t="shared" si="109"/>
        <v>0</v>
      </c>
      <c r="AG146" s="66">
        <f t="shared" si="110"/>
        <v>0</v>
      </c>
      <c r="AH146" s="66">
        <f t="shared" si="111"/>
        <v>0</v>
      </c>
      <c r="AI146" s="99" t="s">
        <v>450</v>
      </c>
      <c r="AJ146" s="66">
        <f t="shared" si="112"/>
        <v>0</v>
      </c>
      <c r="AK146" s="66">
        <f t="shared" si="113"/>
        <v>0</v>
      </c>
      <c r="AL146" s="66">
        <f t="shared" si="114"/>
        <v>0</v>
      </c>
      <c r="AN146" s="66">
        <v>21</v>
      </c>
      <c r="AO146" s="66">
        <f t="shared" si="124"/>
        <v>0</v>
      </c>
      <c r="AP146" s="66">
        <f t="shared" si="125"/>
        <v>0</v>
      </c>
      <c r="AQ146" s="111" t="s">
        <v>355</v>
      </c>
      <c r="AV146" s="66">
        <f t="shared" si="115"/>
        <v>0</v>
      </c>
      <c r="AW146" s="66">
        <f t="shared" si="116"/>
        <v>0</v>
      </c>
      <c r="AX146" s="66">
        <f t="shared" si="117"/>
        <v>0</v>
      </c>
      <c r="AY146" s="111" t="s">
        <v>509</v>
      </c>
      <c r="AZ146" s="111" t="s">
        <v>233</v>
      </c>
      <c r="BA146" s="99" t="s">
        <v>498</v>
      </c>
      <c r="BC146" s="66">
        <f t="shared" si="118"/>
        <v>0</v>
      </c>
      <c r="BD146" s="66">
        <f t="shared" si="119"/>
        <v>0</v>
      </c>
      <c r="BE146" s="66">
        <v>0</v>
      </c>
      <c r="BF146" s="66">
        <f t="shared" si="120"/>
        <v>0</v>
      </c>
      <c r="BH146" s="66">
        <f t="shared" si="121"/>
        <v>0</v>
      </c>
      <c r="BI146" s="66">
        <f t="shared" si="122"/>
        <v>0</v>
      </c>
      <c r="BJ146" s="66">
        <f t="shared" si="123"/>
        <v>0</v>
      </c>
      <c r="BK146" s="66"/>
      <c r="BL146" s="66">
        <v>98</v>
      </c>
    </row>
    <row r="147" spans="1:64" s="58" customFormat="1" ht="15" customHeight="1">
      <c r="A147" s="64" t="s">
        <v>310</v>
      </c>
      <c r="B147" s="65" t="s">
        <v>450</v>
      </c>
      <c r="C147" s="65" t="s">
        <v>471</v>
      </c>
      <c r="D147" s="174" t="s">
        <v>579</v>
      </c>
      <c r="E147" s="174"/>
      <c r="F147" s="65" t="s">
        <v>311</v>
      </c>
      <c r="G147" s="66">
        <v>69.55561</v>
      </c>
      <c r="H147" s="66"/>
      <c r="I147" s="66">
        <f t="shared" si="100"/>
        <v>0</v>
      </c>
      <c r="J147" s="66">
        <f t="shared" si="101"/>
        <v>0</v>
      </c>
      <c r="K147" s="66">
        <f t="shared" si="102"/>
        <v>0</v>
      </c>
      <c r="L147" s="66">
        <v>0</v>
      </c>
      <c r="M147" s="66">
        <f t="shared" si="103"/>
        <v>0</v>
      </c>
      <c r="N147" s="69" t="s">
        <v>545</v>
      </c>
      <c r="Z147" s="66">
        <f t="shared" si="104"/>
        <v>0</v>
      </c>
      <c r="AB147" s="66">
        <f t="shared" si="105"/>
        <v>0</v>
      </c>
      <c r="AC147" s="66">
        <f t="shared" si="106"/>
        <v>0</v>
      </c>
      <c r="AD147" s="66">
        <f t="shared" si="107"/>
        <v>0</v>
      </c>
      <c r="AE147" s="66">
        <f t="shared" si="108"/>
        <v>0</v>
      </c>
      <c r="AF147" s="66">
        <f t="shared" si="109"/>
        <v>0</v>
      </c>
      <c r="AG147" s="66">
        <f t="shared" si="110"/>
        <v>0</v>
      </c>
      <c r="AH147" s="66">
        <f t="shared" si="111"/>
        <v>0</v>
      </c>
      <c r="AI147" s="99" t="s">
        <v>450</v>
      </c>
      <c r="AJ147" s="66">
        <f t="shared" si="112"/>
        <v>0</v>
      </c>
      <c r="AK147" s="66">
        <f t="shared" si="113"/>
        <v>0</v>
      </c>
      <c r="AL147" s="66">
        <f t="shared" si="114"/>
        <v>0</v>
      </c>
      <c r="AN147" s="66">
        <v>21</v>
      </c>
      <c r="AO147" s="66">
        <f t="shared" si="124"/>
        <v>0</v>
      </c>
      <c r="AP147" s="66">
        <f t="shared" si="125"/>
        <v>0</v>
      </c>
      <c r="AQ147" s="111" t="s">
        <v>355</v>
      </c>
      <c r="AV147" s="66">
        <f t="shared" si="115"/>
        <v>0</v>
      </c>
      <c r="AW147" s="66">
        <f t="shared" si="116"/>
        <v>0</v>
      </c>
      <c r="AX147" s="66">
        <f t="shared" si="117"/>
        <v>0</v>
      </c>
      <c r="AY147" s="111" t="s">
        <v>509</v>
      </c>
      <c r="AZ147" s="111" t="s">
        <v>233</v>
      </c>
      <c r="BA147" s="99" t="s">
        <v>498</v>
      </c>
      <c r="BC147" s="66">
        <f t="shared" si="118"/>
        <v>0</v>
      </c>
      <c r="BD147" s="66">
        <f t="shared" si="119"/>
        <v>0</v>
      </c>
      <c r="BE147" s="66">
        <v>0</v>
      </c>
      <c r="BF147" s="66">
        <f t="shared" si="120"/>
        <v>0</v>
      </c>
      <c r="BH147" s="66">
        <f t="shared" si="121"/>
        <v>0</v>
      </c>
      <c r="BI147" s="66">
        <f t="shared" si="122"/>
        <v>0</v>
      </c>
      <c r="BJ147" s="66">
        <f t="shared" si="123"/>
        <v>0</v>
      </c>
      <c r="BK147" s="66"/>
      <c r="BL147" s="66">
        <v>98</v>
      </c>
    </row>
    <row r="148" spans="1:64" s="58" customFormat="1" ht="15" customHeight="1">
      <c r="A148" s="64" t="s">
        <v>422</v>
      </c>
      <c r="B148" s="65" t="s">
        <v>450</v>
      </c>
      <c r="C148" s="65" t="s">
        <v>728</v>
      </c>
      <c r="D148" s="174" t="s">
        <v>319</v>
      </c>
      <c r="E148" s="174"/>
      <c r="F148" s="65" t="s">
        <v>311</v>
      </c>
      <c r="G148" s="66">
        <v>69.40193</v>
      </c>
      <c r="H148" s="66"/>
      <c r="I148" s="66">
        <f t="shared" si="100"/>
        <v>0</v>
      </c>
      <c r="J148" s="66">
        <f t="shared" si="101"/>
        <v>0</v>
      </c>
      <c r="K148" s="66">
        <f t="shared" si="102"/>
        <v>0</v>
      </c>
      <c r="L148" s="66">
        <v>0</v>
      </c>
      <c r="M148" s="66">
        <f t="shared" si="103"/>
        <v>0</v>
      </c>
      <c r="N148" s="69" t="s">
        <v>545</v>
      </c>
      <c r="Z148" s="66">
        <f t="shared" si="104"/>
        <v>0</v>
      </c>
      <c r="AB148" s="66">
        <f t="shared" si="105"/>
        <v>0</v>
      </c>
      <c r="AC148" s="66">
        <f t="shared" si="106"/>
        <v>0</v>
      </c>
      <c r="AD148" s="66">
        <f t="shared" si="107"/>
        <v>0</v>
      </c>
      <c r="AE148" s="66">
        <f t="shared" si="108"/>
        <v>0</v>
      </c>
      <c r="AF148" s="66">
        <f t="shared" si="109"/>
        <v>0</v>
      </c>
      <c r="AG148" s="66">
        <f t="shared" si="110"/>
        <v>0</v>
      </c>
      <c r="AH148" s="66">
        <f t="shared" si="111"/>
        <v>0</v>
      </c>
      <c r="AI148" s="99" t="s">
        <v>450</v>
      </c>
      <c r="AJ148" s="66">
        <f t="shared" si="112"/>
        <v>0</v>
      </c>
      <c r="AK148" s="66">
        <f t="shared" si="113"/>
        <v>0</v>
      </c>
      <c r="AL148" s="66">
        <f t="shared" si="114"/>
        <v>0</v>
      </c>
      <c r="AN148" s="66">
        <v>21</v>
      </c>
      <c r="AO148" s="66">
        <f t="shared" si="124"/>
        <v>0</v>
      </c>
      <c r="AP148" s="66">
        <f t="shared" si="125"/>
        <v>0</v>
      </c>
      <c r="AQ148" s="111" t="s">
        <v>355</v>
      </c>
      <c r="AV148" s="66">
        <f t="shared" si="115"/>
        <v>0</v>
      </c>
      <c r="AW148" s="66">
        <f t="shared" si="116"/>
        <v>0</v>
      </c>
      <c r="AX148" s="66">
        <f t="shared" si="117"/>
        <v>0</v>
      </c>
      <c r="AY148" s="111" t="s">
        <v>509</v>
      </c>
      <c r="AZ148" s="111" t="s">
        <v>233</v>
      </c>
      <c r="BA148" s="99" t="s">
        <v>498</v>
      </c>
      <c r="BC148" s="66">
        <f t="shared" si="118"/>
        <v>0</v>
      </c>
      <c r="BD148" s="66">
        <f t="shared" si="119"/>
        <v>0</v>
      </c>
      <c r="BE148" s="66">
        <v>0</v>
      </c>
      <c r="BF148" s="66">
        <f t="shared" si="120"/>
        <v>0</v>
      </c>
      <c r="BH148" s="66">
        <f t="shared" si="121"/>
        <v>0</v>
      </c>
      <c r="BI148" s="66">
        <f t="shared" si="122"/>
        <v>0</v>
      </c>
      <c r="BJ148" s="66">
        <f t="shared" si="123"/>
        <v>0</v>
      </c>
      <c r="BK148" s="66"/>
      <c r="BL148" s="66">
        <v>98</v>
      </c>
    </row>
    <row r="149" spans="1:64" s="58" customFormat="1" ht="15" customHeight="1">
      <c r="A149" s="64" t="s">
        <v>706</v>
      </c>
      <c r="B149" s="65" t="s">
        <v>450</v>
      </c>
      <c r="C149" s="65" t="s">
        <v>177</v>
      </c>
      <c r="D149" s="174" t="s">
        <v>478</v>
      </c>
      <c r="E149" s="174"/>
      <c r="F149" s="65" t="s">
        <v>311</v>
      </c>
      <c r="G149" s="66">
        <v>2400.72263</v>
      </c>
      <c r="H149" s="66"/>
      <c r="I149" s="66">
        <f t="shared" si="100"/>
        <v>0</v>
      </c>
      <c r="J149" s="66">
        <f t="shared" si="101"/>
        <v>0</v>
      </c>
      <c r="K149" s="66">
        <f t="shared" si="102"/>
        <v>0</v>
      </c>
      <c r="L149" s="66">
        <v>0</v>
      </c>
      <c r="M149" s="66">
        <f t="shared" si="103"/>
        <v>0</v>
      </c>
      <c r="N149" s="69" t="s">
        <v>545</v>
      </c>
      <c r="Z149" s="66">
        <f t="shared" si="104"/>
        <v>0</v>
      </c>
      <c r="AB149" s="66">
        <f t="shared" si="105"/>
        <v>0</v>
      </c>
      <c r="AC149" s="66">
        <f t="shared" si="106"/>
        <v>0</v>
      </c>
      <c r="AD149" s="66">
        <f t="shared" si="107"/>
        <v>0</v>
      </c>
      <c r="AE149" s="66">
        <f t="shared" si="108"/>
        <v>0</v>
      </c>
      <c r="AF149" s="66">
        <f t="shared" si="109"/>
        <v>0</v>
      </c>
      <c r="AG149" s="66">
        <f t="shared" si="110"/>
        <v>0</v>
      </c>
      <c r="AH149" s="66">
        <f t="shared" si="111"/>
        <v>0</v>
      </c>
      <c r="AI149" s="99" t="s">
        <v>450</v>
      </c>
      <c r="AJ149" s="66">
        <f t="shared" si="112"/>
        <v>0</v>
      </c>
      <c r="AK149" s="66">
        <f t="shared" si="113"/>
        <v>0</v>
      </c>
      <c r="AL149" s="66">
        <f t="shared" si="114"/>
        <v>0</v>
      </c>
      <c r="AN149" s="66">
        <v>21</v>
      </c>
      <c r="AO149" s="66">
        <f t="shared" si="124"/>
        <v>0</v>
      </c>
      <c r="AP149" s="66">
        <f t="shared" si="125"/>
        <v>0</v>
      </c>
      <c r="AQ149" s="111" t="s">
        <v>355</v>
      </c>
      <c r="AV149" s="66">
        <f t="shared" si="115"/>
        <v>0</v>
      </c>
      <c r="AW149" s="66">
        <f t="shared" si="116"/>
        <v>0</v>
      </c>
      <c r="AX149" s="66">
        <f t="shared" si="117"/>
        <v>0</v>
      </c>
      <c r="AY149" s="111" t="s">
        <v>509</v>
      </c>
      <c r="AZ149" s="111" t="s">
        <v>233</v>
      </c>
      <c r="BA149" s="99" t="s">
        <v>498</v>
      </c>
      <c r="BC149" s="66">
        <f t="shared" si="118"/>
        <v>0</v>
      </c>
      <c r="BD149" s="66">
        <f t="shared" si="119"/>
        <v>0</v>
      </c>
      <c r="BE149" s="66">
        <v>0</v>
      </c>
      <c r="BF149" s="66">
        <f t="shared" si="120"/>
        <v>0</v>
      </c>
      <c r="BH149" s="66">
        <f t="shared" si="121"/>
        <v>0</v>
      </c>
      <c r="BI149" s="66">
        <f t="shared" si="122"/>
        <v>0</v>
      </c>
      <c r="BJ149" s="66">
        <f t="shared" si="123"/>
        <v>0</v>
      </c>
      <c r="BK149" s="66"/>
      <c r="BL149" s="66">
        <v>98</v>
      </c>
    </row>
    <row r="150" spans="1:64" s="58" customFormat="1" ht="15" customHeight="1">
      <c r="A150" s="64" t="s">
        <v>456</v>
      </c>
      <c r="B150" s="65" t="s">
        <v>450</v>
      </c>
      <c r="C150" s="65" t="s">
        <v>100</v>
      </c>
      <c r="D150" s="174" t="s">
        <v>295</v>
      </c>
      <c r="E150" s="174"/>
      <c r="F150" s="65" t="s">
        <v>311</v>
      </c>
      <c r="G150" s="66">
        <v>45401.62442</v>
      </c>
      <c r="H150" s="66"/>
      <c r="I150" s="66">
        <f t="shared" si="100"/>
        <v>0</v>
      </c>
      <c r="J150" s="66">
        <f t="shared" si="101"/>
        <v>0</v>
      </c>
      <c r="K150" s="66">
        <f t="shared" si="102"/>
        <v>0</v>
      </c>
      <c r="L150" s="66">
        <v>0</v>
      </c>
      <c r="M150" s="66">
        <f t="shared" si="103"/>
        <v>0</v>
      </c>
      <c r="N150" s="69" t="s">
        <v>545</v>
      </c>
      <c r="Z150" s="66">
        <f t="shared" si="104"/>
        <v>0</v>
      </c>
      <c r="AB150" s="66">
        <f t="shared" si="105"/>
        <v>0</v>
      </c>
      <c r="AC150" s="66">
        <f t="shared" si="106"/>
        <v>0</v>
      </c>
      <c r="AD150" s="66">
        <f t="shared" si="107"/>
        <v>0</v>
      </c>
      <c r="AE150" s="66">
        <f t="shared" si="108"/>
        <v>0</v>
      </c>
      <c r="AF150" s="66">
        <f t="shared" si="109"/>
        <v>0</v>
      </c>
      <c r="AG150" s="66">
        <f t="shared" si="110"/>
        <v>0</v>
      </c>
      <c r="AH150" s="66">
        <f t="shared" si="111"/>
        <v>0</v>
      </c>
      <c r="AI150" s="99" t="s">
        <v>450</v>
      </c>
      <c r="AJ150" s="66">
        <f t="shared" si="112"/>
        <v>0</v>
      </c>
      <c r="AK150" s="66">
        <f t="shared" si="113"/>
        <v>0</v>
      </c>
      <c r="AL150" s="66">
        <f t="shared" si="114"/>
        <v>0</v>
      </c>
      <c r="AN150" s="66">
        <v>21</v>
      </c>
      <c r="AO150" s="66">
        <f t="shared" si="124"/>
        <v>0</v>
      </c>
      <c r="AP150" s="66">
        <f t="shared" si="125"/>
        <v>0</v>
      </c>
      <c r="AQ150" s="111" t="s">
        <v>355</v>
      </c>
      <c r="AV150" s="66">
        <f t="shared" si="115"/>
        <v>0</v>
      </c>
      <c r="AW150" s="66">
        <f t="shared" si="116"/>
        <v>0</v>
      </c>
      <c r="AX150" s="66">
        <f t="shared" si="117"/>
        <v>0</v>
      </c>
      <c r="AY150" s="111" t="s">
        <v>509</v>
      </c>
      <c r="AZ150" s="111" t="s">
        <v>233</v>
      </c>
      <c r="BA150" s="99" t="s">
        <v>498</v>
      </c>
      <c r="BC150" s="66">
        <f t="shared" si="118"/>
        <v>0</v>
      </c>
      <c r="BD150" s="66">
        <f t="shared" si="119"/>
        <v>0</v>
      </c>
      <c r="BE150" s="66">
        <v>0</v>
      </c>
      <c r="BF150" s="66">
        <f t="shared" si="120"/>
        <v>0</v>
      </c>
      <c r="BH150" s="66">
        <f t="shared" si="121"/>
        <v>0</v>
      </c>
      <c r="BI150" s="66">
        <f t="shared" si="122"/>
        <v>0</v>
      </c>
      <c r="BJ150" s="66">
        <f t="shared" si="123"/>
        <v>0</v>
      </c>
      <c r="BK150" s="66"/>
      <c r="BL150" s="66">
        <v>98</v>
      </c>
    </row>
    <row r="151" spans="1:64" s="58" customFormat="1" ht="15" customHeight="1">
      <c r="A151" s="64" t="s">
        <v>714</v>
      </c>
      <c r="B151" s="65" t="s">
        <v>450</v>
      </c>
      <c r="C151" s="65" t="s">
        <v>402</v>
      </c>
      <c r="D151" s="174" t="s">
        <v>137</v>
      </c>
      <c r="E151" s="174"/>
      <c r="F151" s="65" t="s">
        <v>311</v>
      </c>
      <c r="G151" s="66">
        <v>2389.95324</v>
      </c>
      <c r="H151" s="66"/>
      <c r="I151" s="66">
        <f t="shared" si="100"/>
        <v>0</v>
      </c>
      <c r="J151" s="66">
        <f t="shared" si="101"/>
        <v>0</v>
      </c>
      <c r="K151" s="66">
        <f t="shared" si="102"/>
        <v>0</v>
      </c>
      <c r="L151" s="66">
        <v>0</v>
      </c>
      <c r="M151" s="66">
        <f t="shared" si="103"/>
        <v>0</v>
      </c>
      <c r="N151" s="69" t="s">
        <v>545</v>
      </c>
      <c r="Z151" s="66">
        <f t="shared" si="104"/>
        <v>0</v>
      </c>
      <c r="AB151" s="66">
        <f t="shared" si="105"/>
        <v>0</v>
      </c>
      <c r="AC151" s="66">
        <f t="shared" si="106"/>
        <v>0</v>
      </c>
      <c r="AD151" s="66">
        <f t="shared" si="107"/>
        <v>0</v>
      </c>
      <c r="AE151" s="66">
        <f t="shared" si="108"/>
        <v>0</v>
      </c>
      <c r="AF151" s="66">
        <f t="shared" si="109"/>
        <v>0</v>
      </c>
      <c r="AG151" s="66">
        <f t="shared" si="110"/>
        <v>0</v>
      </c>
      <c r="AH151" s="66">
        <f t="shared" si="111"/>
        <v>0</v>
      </c>
      <c r="AI151" s="99" t="s">
        <v>450</v>
      </c>
      <c r="AJ151" s="66">
        <f t="shared" si="112"/>
        <v>0</v>
      </c>
      <c r="AK151" s="66">
        <f t="shared" si="113"/>
        <v>0</v>
      </c>
      <c r="AL151" s="66">
        <f t="shared" si="114"/>
        <v>0</v>
      </c>
      <c r="AN151" s="66">
        <v>21</v>
      </c>
      <c r="AO151" s="66">
        <f t="shared" si="124"/>
        <v>0</v>
      </c>
      <c r="AP151" s="66">
        <f t="shared" si="125"/>
        <v>0</v>
      </c>
      <c r="AQ151" s="111" t="s">
        <v>355</v>
      </c>
      <c r="AV151" s="66">
        <f t="shared" si="115"/>
        <v>0</v>
      </c>
      <c r="AW151" s="66">
        <f t="shared" si="116"/>
        <v>0</v>
      </c>
      <c r="AX151" s="66">
        <f t="shared" si="117"/>
        <v>0</v>
      </c>
      <c r="AY151" s="111" t="s">
        <v>509</v>
      </c>
      <c r="AZ151" s="111" t="s">
        <v>233</v>
      </c>
      <c r="BA151" s="99" t="s">
        <v>498</v>
      </c>
      <c r="BC151" s="66">
        <f t="shared" si="118"/>
        <v>0</v>
      </c>
      <c r="BD151" s="66">
        <f t="shared" si="119"/>
        <v>0</v>
      </c>
      <c r="BE151" s="66">
        <v>0</v>
      </c>
      <c r="BF151" s="66">
        <f t="shared" si="120"/>
        <v>0</v>
      </c>
      <c r="BH151" s="66">
        <f t="shared" si="121"/>
        <v>0</v>
      </c>
      <c r="BI151" s="66">
        <f t="shared" si="122"/>
        <v>0</v>
      </c>
      <c r="BJ151" s="66">
        <f t="shared" si="123"/>
        <v>0</v>
      </c>
      <c r="BK151" s="66"/>
      <c r="BL151" s="66">
        <v>98</v>
      </c>
    </row>
    <row r="152" spans="1:64" s="58" customFormat="1" ht="15" customHeight="1">
      <c r="A152" s="64" t="s">
        <v>666</v>
      </c>
      <c r="B152" s="65" t="s">
        <v>450</v>
      </c>
      <c r="C152" s="65" t="s">
        <v>430</v>
      </c>
      <c r="D152" s="174" t="s">
        <v>486</v>
      </c>
      <c r="E152" s="174"/>
      <c r="F152" s="65" t="s">
        <v>311</v>
      </c>
      <c r="G152" s="66">
        <v>4.47669</v>
      </c>
      <c r="H152" s="66"/>
      <c r="I152" s="66">
        <f t="shared" si="100"/>
        <v>0</v>
      </c>
      <c r="J152" s="66">
        <f t="shared" si="101"/>
        <v>0</v>
      </c>
      <c r="K152" s="66">
        <f t="shared" si="102"/>
        <v>0</v>
      </c>
      <c r="L152" s="66">
        <v>0</v>
      </c>
      <c r="M152" s="66">
        <f t="shared" si="103"/>
        <v>0</v>
      </c>
      <c r="N152" s="69" t="s">
        <v>545</v>
      </c>
      <c r="Z152" s="66">
        <f t="shared" si="104"/>
        <v>0</v>
      </c>
      <c r="AB152" s="66">
        <f t="shared" si="105"/>
        <v>0</v>
      </c>
      <c r="AC152" s="66">
        <f t="shared" si="106"/>
        <v>0</v>
      </c>
      <c r="AD152" s="66">
        <f t="shared" si="107"/>
        <v>0</v>
      </c>
      <c r="AE152" s="66">
        <f t="shared" si="108"/>
        <v>0</v>
      </c>
      <c r="AF152" s="66">
        <f t="shared" si="109"/>
        <v>0</v>
      </c>
      <c r="AG152" s="66">
        <f t="shared" si="110"/>
        <v>0</v>
      </c>
      <c r="AH152" s="66">
        <f t="shared" si="111"/>
        <v>0</v>
      </c>
      <c r="AI152" s="99" t="s">
        <v>450</v>
      </c>
      <c r="AJ152" s="66">
        <f t="shared" si="112"/>
        <v>0</v>
      </c>
      <c r="AK152" s="66">
        <f t="shared" si="113"/>
        <v>0</v>
      </c>
      <c r="AL152" s="66">
        <f t="shared" si="114"/>
        <v>0</v>
      </c>
      <c r="AN152" s="66">
        <v>21</v>
      </c>
      <c r="AO152" s="66">
        <f t="shared" si="124"/>
        <v>0</v>
      </c>
      <c r="AP152" s="66">
        <f t="shared" si="125"/>
        <v>0</v>
      </c>
      <c r="AQ152" s="111" t="s">
        <v>355</v>
      </c>
      <c r="AV152" s="66">
        <f t="shared" si="115"/>
        <v>0</v>
      </c>
      <c r="AW152" s="66">
        <f t="shared" si="116"/>
        <v>0</v>
      </c>
      <c r="AX152" s="66">
        <f t="shared" si="117"/>
        <v>0</v>
      </c>
      <c r="AY152" s="111" t="s">
        <v>509</v>
      </c>
      <c r="AZ152" s="111" t="s">
        <v>233</v>
      </c>
      <c r="BA152" s="99" t="s">
        <v>498</v>
      </c>
      <c r="BC152" s="66">
        <f t="shared" si="118"/>
        <v>0</v>
      </c>
      <c r="BD152" s="66">
        <f t="shared" si="119"/>
        <v>0</v>
      </c>
      <c r="BE152" s="66">
        <v>0</v>
      </c>
      <c r="BF152" s="66">
        <f t="shared" si="120"/>
        <v>0</v>
      </c>
      <c r="BH152" s="66">
        <f t="shared" si="121"/>
        <v>0</v>
      </c>
      <c r="BI152" s="66">
        <f t="shared" si="122"/>
        <v>0</v>
      </c>
      <c r="BJ152" s="66">
        <f t="shared" si="123"/>
        <v>0</v>
      </c>
      <c r="BK152" s="66"/>
      <c r="BL152" s="66">
        <v>98</v>
      </c>
    </row>
    <row r="153" spans="1:47" s="58" customFormat="1" ht="15" customHeight="1">
      <c r="A153" s="95" t="s">
        <v>450</v>
      </c>
      <c r="B153" s="96" t="s">
        <v>450</v>
      </c>
      <c r="C153" s="96" t="s">
        <v>10</v>
      </c>
      <c r="D153" s="173" t="s">
        <v>351</v>
      </c>
      <c r="E153" s="173"/>
      <c r="F153" s="97" t="s">
        <v>595</v>
      </c>
      <c r="G153" s="97" t="s">
        <v>595</v>
      </c>
      <c r="H153" s="97"/>
      <c r="I153" s="98">
        <f>SUM(I154:I155)</f>
        <v>0</v>
      </c>
      <c r="J153" s="98">
        <f>SUM(J154:J155)</f>
        <v>0</v>
      </c>
      <c r="K153" s="98">
        <f>SUM(K154:K155)</f>
        <v>0</v>
      </c>
      <c r="L153" s="99" t="s">
        <v>450</v>
      </c>
      <c r="M153" s="98">
        <f>SUM(M154:M155)</f>
        <v>0</v>
      </c>
      <c r="N153" s="100" t="s">
        <v>450</v>
      </c>
      <c r="AI153" s="99" t="s">
        <v>450</v>
      </c>
      <c r="AS153" s="98">
        <f>SUM(AJ154:AJ155)</f>
        <v>0</v>
      </c>
      <c r="AT153" s="98">
        <f>SUM(AK154:AK155)</f>
        <v>0</v>
      </c>
      <c r="AU153" s="98">
        <f>SUM(AL154:AL155)</f>
        <v>0</v>
      </c>
    </row>
    <row r="154" spans="1:64" s="58" customFormat="1" ht="15" customHeight="1">
      <c r="A154" s="64" t="s">
        <v>615</v>
      </c>
      <c r="B154" s="65" t="s">
        <v>450</v>
      </c>
      <c r="C154" s="65" t="s">
        <v>683</v>
      </c>
      <c r="D154" s="174" t="s">
        <v>13</v>
      </c>
      <c r="E154" s="174"/>
      <c r="F154" s="65" t="s">
        <v>529</v>
      </c>
      <c r="G154" s="66">
        <v>1</v>
      </c>
      <c r="H154" s="66"/>
      <c r="I154" s="66">
        <f>G154*AO154</f>
        <v>0</v>
      </c>
      <c r="J154" s="66">
        <f>G154*AP154</f>
        <v>0</v>
      </c>
      <c r="K154" s="66">
        <f>G154*H154</f>
        <v>0</v>
      </c>
      <c r="L154" s="66">
        <v>0</v>
      </c>
      <c r="M154" s="66">
        <f>G154*L154</f>
        <v>0</v>
      </c>
      <c r="N154" s="69" t="s">
        <v>450</v>
      </c>
      <c r="Z154" s="66">
        <f>IF(AQ154="5",BJ154,0)</f>
        <v>0</v>
      </c>
      <c r="AB154" s="66">
        <f>IF(AQ154="1",BH154,0)</f>
        <v>0</v>
      </c>
      <c r="AC154" s="66">
        <f>IF(AQ154="1",BI154,0)</f>
        <v>0</v>
      </c>
      <c r="AD154" s="66">
        <f>IF(AQ154="7",BH154,0)</f>
        <v>0</v>
      </c>
      <c r="AE154" s="66">
        <f>IF(AQ154="7",BI154,0)</f>
        <v>0</v>
      </c>
      <c r="AF154" s="66">
        <f>IF(AQ154="2",BH154,0)</f>
        <v>0</v>
      </c>
      <c r="AG154" s="66">
        <f>IF(AQ154="2",BI154,0)</f>
        <v>0</v>
      </c>
      <c r="AH154" s="66">
        <f>IF(AQ154="0",BJ154,0)</f>
        <v>0</v>
      </c>
      <c r="AI154" s="99" t="s">
        <v>450</v>
      </c>
      <c r="AJ154" s="66">
        <f>IF(AN154=0,K154,0)</f>
        <v>0</v>
      </c>
      <c r="AK154" s="66">
        <f>IF(AN154=15,K154,0)</f>
        <v>0</v>
      </c>
      <c r="AL154" s="66">
        <f>IF(AN154=21,K154,0)</f>
        <v>0</v>
      </c>
      <c r="AN154" s="66">
        <v>21</v>
      </c>
      <c r="AO154" s="66">
        <f>H154*0</f>
        <v>0</v>
      </c>
      <c r="AP154" s="66">
        <f>H154*(1-0)</f>
        <v>0</v>
      </c>
      <c r="AQ154" s="111" t="s">
        <v>447</v>
      </c>
      <c r="AV154" s="66">
        <f>AW154+AX154</f>
        <v>0</v>
      </c>
      <c r="AW154" s="66">
        <f>G154*AO154</f>
        <v>0</v>
      </c>
      <c r="AX154" s="66">
        <f>G154*AP154</f>
        <v>0</v>
      </c>
      <c r="AY154" s="111" t="s">
        <v>716</v>
      </c>
      <c r="AZ154" s="111" t="s">
        <v>233</v>
      </c>
      <c r="BA154" s="99" t="s">
        <v>498</v>
      </c>
      <c r="BC154" s="66">
        <f>AW154+AX154</f>
        <v>0</v>
      </c>
      <c r="BD154" s="66">
        <f>H154/(100-BE154)*100</f>
        <v>0</v>
      </c>
      <c r="BE154" s="66">
        <v>0</v>
      </c>
      <c r="BF154" s="66">
        <f>M154</f>
        <v>0</v>
      </c>
      <c r="BH154" s="66">
        <f>G154*AO154</f>
        <v>0</v>
      </c>
      <c r="BI154" s="66">
        <f>G154*AP154</f>
        <v>0</v>
      </c>
      <c r="BJ154" s="66">
        <f>G154*H154</f>
        <v>0</v>
      </c>
      <c r="BK154" s="66"/>
      <c r="BL154" s="66"/>
    </row>
    <row r="155" spans="1:64" s="58" customFormat="1" ht="15" customHeight="1">
      <c r="A155" s="70" t="s">
        <v>347</v>
      </c>
      <c r="B155" s="71" t="s">
        <v>450</v>
      </c>
      <c r="C155" s="71" t="s">
        <v>329</v>
      </c>
      <c r="D155" s="175" t="s">
        <v>460</v>
      </c>
      <c r="E155" s="175"/>
      <c r="F155" s="71" t="s">
        <v>75</v>
      </c>
      <c r="G155" s="72">
        <v>1</v>
      </c>
      <c r="H155" s="72"/>
      <c r="I155" s="72">
        <f>G155*AO155</f>
        <v>0</v>
      </c>
      <c r="J155" s="72">
        <f>G155*AP155</f>
        <v>0</v>
      </c>
      <c r="K155" s="72">
        <f>G155*H155</f>
        <v>0</v>
      </c>
      <c r="L155" s="72">
        <v>0</v>
      </c>
      <c r="M155" s="72">
        <f>G155*L155</f>
        <v>0</v>
      </c>
      <c r="N155" s="101" t="s">
        <v>450</v>
      </c>
      <c r="Z155" s="66">
        <f>IF(AQ155="5",BJ155,0)</f>
        <v>0</v>
      </c>
      <c r="AB155" s="66">
        <f>IF(AQ155="1",BH155,0)</f>
        <v>0</v>
      </c>
      <c r="AC155" s="66">
        <f>IF(AQ155="1",BI155,0)</f>
        <v>0</v>
      </c>
      <c r="AD155" s="66">
        <f>IF(AQ155="7",BH155,0)</f>
        <v>0</v>
      </c>
      <c r="AE155" s="66">
        <f>IF(AQ155="7",BI155,0)</f>
        <v>0</v>
      </c>
      <c r="AF155" s="66">
        <f>IF(AQ155="2",BH155,0)</f>
        <v>0</v>
      </c>
      <c r="AG155" s="66">
        <f>IF(AQ155="2",BI155,0)</f>
        <v>0</v>
      </c>
      <c r="AH155" s="66">
        <f>IF(AQ155="0",BJ155,0)</f>
        <v>0</v>
      </c>
      <c r="AI155" s="99" t="s">
        <v>450</v>
      </c>
      <c r="AJ155" s="66">
        <f>IF(AN155=0,K155,0)</f>
        <v>0</v>
      </c>
      <c r="AK155" s="66">
        <f>IF(AN155=15,K155,0)</f>
        <v>0</v>
      </c>
      <c r="AL155" s="66">
        <f>IF(AN155=21,K155,0)</f>
        <v>0</v>
      </c>
      <c r="AN155" s="66">
        <v>21</v>
      </c>
      <c r="AO155" s="66">
        <f>H155*0</f>
        <v>0</v>
      </c>
      <c r="AP155" s="66">
        <f>H155*(1-0)</f>
        <v>0</v>
      </c>
      <c r="AQ155" s="111" t="s">
        <v>447</v>
      </c>
      <c r="AV155" s="66">
        <f>AW155+AX155</f>
        <v>0</v>
      </c>
      <c r="AW155" s="66">
        <f>G155*AO155</f>
        <v>0</v>
      </c>
      <c r="AX155" s="66">
        <f>G155*AP155</f>
        <v>0</v>
      </c>
      <c r="AY155" s="111" t="s">
        <v>716</v>
      </c>
      <c r="AZ155" s="111" t="s">
        <v>233</v>
      </c>
      <c r="BA155" s="99" t="s">
        <v>498</v>
      </c>
      <c r="BC155" s="66">
        <f>AW155+AX155</f>
        <v>0</v>
      </c>
      <c r="BD155" s="66">
        <f>H155/(100-BE155)*100</f>
        <v>0</v>
      </c>
      <c r="BE155" s="66">
        <v>0</v>
      </c>
      <c r="BF155" s="66">
        <f>M155</f>
        <v>0</v>
      </c>
      <c r="BH155" s="66">
        <f>G155*AO155</f>
        <v>0</v>
      </c>
      <c r="BI155" s="66">
        <f>G155*AP155</f>
        <v>0</v>
      </c>
      <c r="BJ155" s="66">
        <f>G155*H155</f>
        <v>0</v>
      </c>
      <c r="BK155" s="66"/>
      <c r="BL155" s="66"/>
    </row>
    <row r="156" spans="9:11" s="58" customFormat="1" ht="15" customHeight="1">
      <c r="I156" s="176" t="s">
        <v>520</v>
      </c>
      <c r="J156" s="176"/>
      <c r="K156" s="44">
        <f>K12+K15+K17+K21+K24+K27+K29+K31+K33+K35+K37+K40+K48+K50+K54+K57+K66+K79+K81+K83+K88+K90+K93+K95+K100+K136+K141+K153</f>
        <v>0</v>
      </c>
    </row>
    <row r="157" s="58" customFormat="1" ht="15" customHeight="1">
      <c r="A157" s="73" t="s">
        <v>52</v>
      </c>
    </row>
    <row r="158" spans="1:14" s="58" customFormat="1" ht="12.75" customHeight="1">
      <c r="A158" s="129" t="s">
        <v>450</v>
      </c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</row>
    <row r="159" s="58" customFormat="1" ht="15" customHeight="1"/>
    <row r="160" s="58" customFormat="1" ht="15" customHeight="1"/>
    <row r="161" s="58" customFormat="1" ht="15" customHeight="1"/>
    <row r="162" s="58" customFormat="1" ht="15" customHeight="1"/>
    <row r="163" s="58" customFormat="1" ht="15" customHeight="1"/>
    <row r="164" s="58" customFormat="1" ht="15" customHeight="1"/>
    <row r="165" s="58" customFormat="1" ht="15" customHeight="1"/>
    <row r="166" s="58" customFormat="1" ht="15" customHeight="1"/>
    <row r="167" s="58" customFormat="1" ht="15" customHeight="1"/>
    <row r="168" s="58" customFormat="1" ht="15" customHeight="1"/>
    <row r="169" s="58" customFormat="1" ht="15" customHeight="1"/>
    <row r="170" s="58" customFormat="1" ht="15" customHeight="1"/>
    <row r="171" s="58" customFormat="1" ht="15" customHeight="1"/>
    <row r="172" s="58" customFormat="1" ht="15" customHeight="1"/>
    <row r="173" s="58" customFormat="1" ht="15" customHeight="1"/>
    <row r="174" s="58" customFormat="1" ht="15" customHeight="1"/>
    <row r="175" s="58" customFormat="1" ht="15" customHeight="1"/>
    <row r="176" s="58" customFormat="1" ht="15" customHeight="1"/>
    <row r="177" s="58" customFormat="1" ht="15" customHeight="1"/>
    <row r="178" s="58" customFormat="1" ht="15" customHeight="1"/>
    <row r="179" s="58" customFormat="1" ht="15" customHeight="1"/>
    <row r="180" s="58" customFormat="1" ht="15" customHeight="1"/>
    <row r="181" s="58" customFormat="1" ht="15" customHeight="1"/>
  </sheetData>
  <sheetProtection/>
  <mergeCells count="175">
    <mergeCell ref="D152:E152"/>
    <mergeCell ref="D153:E153"/>
    <mergeCell ref="D154:E154"/>
    <mergeCell ref="D155:E155"/>
    <mergeCell ref="I156:J156"/>
    <mergeCell ref="A158:N158"/>
    <mergeCell ref="D146:E146"/>
    <mergeCell ref="D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86:E86"/>
    <mergeCell ref="D87:E87"/>
    <mergeCell ref="D88:E88"/>
    <mergeCell ref="D89:E89"/>
    <mergeCell ref="D90:E90"/>
    <mergeCell ref="D91:E91"/>
    <mergeCell ref="D81:E81"/>
    <mergeCell ref="D82:E82"/>
    <mergeCell ref="D83:E83"/>
    <mergeCell ref="D84:E84"/>
    <mergeCell ref="D85:E85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11:E11"/>
    <mergeCell ref="I10:K10"/>
    <mergeCell ref="L10:M10"/>
    <mergeCell ref="D12:E12"/>
    <mergeCell ref="D13:E13"/>
    <mergeCell ref="D14:E14"/>
    <mergeCell ref="L2:N3"/>
    <mergeCell ref="L4:N5"/>
    <mergeCell ref="L6:N7"/>
    <mergeCell ref="L8:N9"/>
    <mergeCell ref="D10:E10"/>
    <mergeCell ref="J4:K5"/>
    <mergeCell ref="J6:K7"/>
    <mergeCell ref="J8:K9"/>
    <mergeCell ref="D2:E3"/>
    <mergeCell ref="D4:E5"/>
    <mergeCell ref="D6:E7"/>
    <mergeCell ref="D8:E9"/>
    <mergeCell ref="H2:I3"/>
    <mergeCell ref="H4:I5"/>
    <mergeCell ref="H6:I7"/>
    <mergeCell ref="H8:I9"/>
    <mergeCell ref="A1:N1"/>
    <mergeCell ref="A2:C3"/>
    <mergeCell ref="A4:C5"/>
    <mergeCell ref="A6:C7"/>
    <mergeCell ref="A8:C9"/>
    <mergeCell ref="F2:G3"/>
    <mergeCell ref="F4:G5"/>
    <mergeCell ref="F6:G7"/>
    <mergeCell ref="F8:G9"/>
    <mergeCell ref="J2:K3"/>
  </mergeCells>
  <printOptions/>
  <pageMargins left="0.394" right="0.394" top="0.591" bottom="0.47" header="0" footer="0"/>
  <pageSetup firstPageNumber="0" useFirstPageNumber="1"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4"/>
  <sheetViews>
    <sheetView showOutlineSymbols="0" zoomScalePageLayoutView="0" workbookViewId="0" topLeftCell="A364">
      <selection activeCell="M395" sqref="M395"/>
    </sheetView>
  </sheetViews>
  <sheetFormatPr defaultColWidth="21.25" defaultRowHeight="15" customHeight="1"/>
  <cols>
    <col min="1" max="1" width="7.25" style="0" customWidth="1"/>
    <col min="2" max="2" width="15.5" style="0" customWidth="1"/>
    <col min="3" max="3" width="20.75" style="0" customWidth="1"/>
    <col min="4" max="4" width="146.25" style="0" customWidth="1"/>
    <col min="5" max="5" width="22.25" style="0" customWidth="1"/>
    <col min="6" max="6" width="28.25" style="0" customWidth="1"/>
    <col min="7" max="7" width="18.25" style="0" customWidth="1"/>
  </cols>
  <sheetData>
    <row r="1" spans="1:7" ht="54.75" customHeight="1" thickBot="1">
      <c r="A1" s="117" t="s">
        <v>642</v>
      </c>
      <c r="B1" s="117"/>
      <c r="C1" s="117"/>
      <c r="D1" s="117"/>
      <c r="E1" s="117"/>
      <c r="F1" s="117"/>
      <c r="G1" s="117"/>
    </row>
    <row r="2" spans="1:7" ht="15" customHeight="1">
      <c r="A2" s="177" t="s">
        <v>37</v>
      </c>
      <c r="B2" s="178"/>
      <c r="C2" s="182" t="str">
        <f>'Stavební rozpočet'!D2</f>
        <v>Demolice bývalé ZUŠ</v>
      </c>
      <c r="D2" s="183"/>
      <c r="E2" s="181" t="s">
        <v>550</v>
      </c>
      <c r="F2" s="181" t="str">
        <f>'Stavební rozpočet'!L2</f>
        <v> </v>
      </c>
      <c r="G2" s="184"/>
    </row>
    <row r="3" spans="1:7" ht="15" customHeight="1">
      <c r="A3" s="179"/>
      <c r="B3" s="121"/>
      <c r="C3" s="124"/>
      <c r="D3" s="124"/>
      <c r="E3" s="121"/>
      <c r="F3" s="121"/>
      <c r="G3" s="185"/>
    </row>
    <row r="4" spans="1:7" ht="15" customHeight="1">
      <c r="A4" s="180" t="s">
        <v>364</v>
      </c>
      <c r="B4" s="121"/>
      <c r="C4" s="130" t="str">
        <f>'Stavební rozpočet'!D4</f>
        <v>demolice hlavního objektu</v>
      </c>
      <c r="D4" s="121"/>
      <c r="E4" s="130" t="s">
        <v>448</v>
      </c>
      <c r="F4" s="130" t="str">
        <f>'Stavební rozpočet'!L4</f>
        <v> </v>
      </c>
      <c r="G4" s="185"/>
    </row>
    <row r="5" spans="1:7" ht="15" customHeight="1">
      <c r="A5" s="179"/>
      <c r="B5" s="121"/>
      <c r="C5" s="121"/>
      <c r="D5" s="121"/>
      <c r="E5" s="121"/>
      <c r="F5" s="121"/>
      <c r="G5" s="185"/>
    </row>
    <row r="6" spans="1:7" ht="15" customHeight="1">
      <c r="A6" s="180" t="s">
        <v>54</v>
      </c>
      <c r="B6" s="121"/>
      <c r="C6" s="130" t="str">
        <f>'Stavební rozpočet'!D6</f>
        <v>Zábřeh, Sušilova ulice</v>
      </c>
      <c r="D6" s="121"/>
      <c r="E6" s="130" t="s">
        <v>565</v>
      </c>
      <c r="F6" s="130" t="str">
        <f>'Stavební rozpočet'!L6</f>
        <v> </v>
      </c>
      <c r="G6" s="185"/>
    </row>
    <row r="7" spans="1:7" ht="15" customHeight="1">
      <c r="A7" s="179"/>
      <c r="B7" s="121"/>
      <c r="C7" s="121"/>
      <c r="D7" s="121"/>
      <c r="E7" s="121"/>
      <c r="F7" s="121"/>
      <c r="G7" s="185"/>
    </row>
    <row r="8" spans="1:7" ht="15" customHeight="1">
      <c r="A8" s="180" t="s">
        <v>436</v>
      </c>
      <c r="B8" s="121"/>
      <c r="C8" s="130" t="str">
        <f>'Stavební rozpočet'!L8</f>
        <v>Ing. Petr Hošek</v>
      </c>
      <c r="D8" s="121"/>
      <c r="E8" s="130" t="s">
        <v>373</v>
      </c>
      <c r="F8" s="186">
        <v>44890</v>
      </c>
      <c r="G8" s="185"/>
    </row>
    <row r="9" spans="1:7" ht="15" customHeight="1" thickBot="1">
      <c r="A9" s="179"/>
      <c r="B9" s="121"/>
      <c r="C9" s="121"/>
      <c r="D9" s="121"/>
      <c r="E9" s="121"/>
      <c r="F9" s="121"/>
      <c r="G9" s="185"/>
    </row>
    <row r="10" spans="1:7" ht="15" customHeight="1" thickBot="1">
      <c r="A10" s="46" t="s">
        <v>45</v>
      </c>
      <c r="B10" s="24" t="s">
        <v>479</v>
      </c>
      <c r="C10" s="24" t="s">
        <v>211</v>
      </c>
      <c r="D10" s="187" t="s">
        <v>703</v>
      </c>
      <c r="E10" s="188"/>
      <c r="F10" s="24" t="s">
        <v>227</v>
      </c>
      <c r="G10" s="47" t="s">
        <v>394</v>
      </c>
    </row>
    <row r="11" spans="1:7" ht="15" customHeight="1">
      <c r="A11" s="76" t="s">
        <v>644</v>
      </c>
      <c r="B11" s="65" t="s">
        <v>450</v>
      </c>
      <c r="C11" s="65" t="s">
        <v>569</v>
      </c>
      <c r="D11" s="174" t="s">
        <v>288</v>
      </c>
      <c r="E11" s="174"/>
      <c r="F11" s="65" t="s">
        <v>635</v>
      </c>
      <c r="G11" s="77">
        <v>17.8</v>
      </c>
    </row>
    <row r="12" spans="1:7" ht="15" customHeight="1">
      <c r="A12" s="78"/>
      <c r="B12" s="58"/>
      <c r="C12" s="58"/>
      <c r="D12" s="68" t="s">
        <v>152</v>
      </c>
      <c r="E12" s="189" t="s">
        <v>450</v>
      </c>
      <c r="F12" s="189"/>
      <c r="G12" s="79">
        <v>17.8</v>
      </c>
    </row>
    <row r="13" spans="1:7" ht="15" customHeight="1">
      <c r="A13" s="76" t="s">
        <v>447</v>
      </c>
      <c r="B13" s="65" t="s">
        <v>450</v>
      </c>
      <c r="C13" s="65" t="s">
        <v>204</v>
      </c>
      <c r="D13" s="174" t="s">
        <v>399</v>
      </c>
      <c r="E13" s="174"/>
      <c r="F13" s="65" t="s">
        <v>538</v>
      </c>
      <c r="G13" s="77">
        <v>2</v>
      </c>
    </row>
    <row r="14" spans="1:7" ht="15" customHeight="1">
      <c r="A14" s="78"/>
      <c r="B14" s="58"/>
      <c r="C14" s="58"/>
      <c r="D14" s="68" t="s">
        <v>447</v>
      </c>
      <c r="E14" s="189" t="s">
        <v>450</v>
      </c>
      <c r="F14" s="189"/>
      <c r="G14" s="79">
        <v>2</v>
      </c>
    </row>
    <row r="15" spans="1:7" ht="15" customHeight="1">
      <c r="A15" s="76" t="s">
        <v>559</v>
      </c>
      <c r="B15" s="65" t="s">
        <v>450</v>
      </c>
      <c r="C15" s="65" t="s">
        <v>483</v>
      </c>
      <c r="D15" s="174" t="s">
        <v>643</v>
      </c>
      <c r="E15" s="174"/>
      <c r="F15" s="65" t="s">
        <v>621</v>
      </c>
      <c r="G15" s="77">
        <v>76.68516000000001</v>
      </c>
    </row>
    <row r="16" spans="1:7" ht="15" customHeight="1">
      <c r="A16" s="78"/>
      <c r="B16" s="58"/>
      <c r="C16" s="58"/>
      <c r="D16" s="68" t="s">
        <v>516</v>
      </c>
      <c r="E16" s="189" t="s">
        <v>450</v>
      </c>
      <c r="F16" s="189"/>
      <c r="G16" s="79">
        <v>37.12724</v>
      </c>
    </row>
    <row r="17" spans="1:7" ht="15" customHeight="1">
      <c r="A17" s="76" t="s">
        <v>450</v>
      </c>
      <c r="B17" s="65" t="s">
        <v>450</v>
      </c>
      <c r="C17" s="65" t="s">
        <v>450</v>
      </c>
      <c r="D17" s="68" t="s">
        <v>116</v>
      </c>
      <c r="E17" s="189" t="s">
        <v>450</v>
      </c>
      <c r="F17" s="189"/>
      <c r="G17" s="79">
        <v>19.52755</v>
      </c>
    </row>
    <row r="18" spans="1:7" ht="15" customHeight="1">
      <c r="A18" s="76" t="s">
        <v>450</v>
      </c>
      <c r="B18" s="65" t="s">
        <v>450</v>
      </c>
      <c r="C18" s="65" t="s">
        <v>450</v>
      </c>
      <c r="D18" s="68" t="s">
        <v>508</v>
      </c>
      <c r="E18" s="189" t="s">
        <v>450</v>
      </c>
      <c r="F18" s="189"/>
      <c r="G18" s="79">
        <v>18.192590000000003</v>
      </c>
    </row>
    <row r="19" spans="1:7" ht="15" customHeight="1">
      <c r="A19" s="76" t="s">
        <v>450</v>
      </c>
      <c r="B19" s="65" t="s">
        <v>450</v>
      </c>
      <c r="C19" s="65" t="s">
        <v>450</v>
      </c>
      <c r="D19" s="68" t="s">
        <v>292</v>
      </c>
      <c r="E19" s="189" t="s">
        <v>450</v>
      </c>
      <c r="F19" s="189"/>
      <c r="G19" s="79">
        <v>1.8377800000000002</v>
      </c>
    </row>
    <row r="20" spans="1:7" ht="15" customHeight="1">
      <c r="A20" s="76" t="s">
        <v>78</v>
      </c>
      <c r="B20" s="65" t="s">
        <v>450</v>
      </c>
      <c r="C20" s="65" t="s">
        <v>7</v>
      </c>
      <c r="D20" s="174" t="s">
        <v>547</v>
      </c>
      <c r="E20" s="174"/>
      <c r="F20" s="65" t="s">
        <v>621</v>
      </c>
      <c r="G20" s="77">
        <v>76.68517</v>
      </c>
    </row>
    <row r="21" spans="1:7" ht="15" customHeight="1">
      <c r="A21" s="76" t="s">
        <v>355</v>
      </c>
      <c r="B21" s="65" t="s">
        <v>450</v>
      </c>
      <c r="C21" s="65" t="s">
        <v>316</v>
      </c>
      <c r="D21" s="174" t="s">
        <v>360</v>
      </c>
      <c r="E21" s="174"/>
      <c r="F21" s="65" t="s">
        <v>621</v>
      </c>
      <c r="G21" s="77">
        <v>766.8517</v>
      </c>
    </row>
    <row r="22" spans="1:7" ht="15" customHeight="1">
      <c r="A22" s="78"/>
      <c r="B22" s="58"/>
      <c r="C22" s="58"/>
      <c r="D22" s="68" t="s">
        <v>278</v>
      </c>
      <c r="E22" s="189" t="s">
        <v>450</v>
      </c>
      <c r="F22" s="189"/>
      <c r="G22" s="79">
        <v>766.8517</v>
      </c>
    </row>
    <row r="23" spans="1:7" ht="15" customHeight="1">
      <c r="A23" s="76" t="s">
        <v>107</v>
      </c>
      <c r="B23" s="65" t="s">
        <v>450</v>
      </c>
      <c r="C23" s="65" t="s">
        <v>115</v>
      </c>
      <c r="D23" s="174" t="s">
        <v>707</v>
      </c>
      <c r="E23" s="174"/>
      <c r="F23" s="65" t="s">
        <v>311</v>
      </c>
      <c r="G23" s="77">
        <v>138.03329000000002</v>
      </c>
    </row>
    <row r="24" spans="1:7" ht="15" customHeight="1">
      <c r="A24" s="78"/>
      <c r="B24" s="58"/>
      <c r="C24" s="58"/>
      <c r="D24" s="68" t="s">
        <v>150</v>
      </c>
      <c r="E24" s="189" t="s">
        <v>450</v>
      </c>
      <c r="F24" s="189"/>
      <c r="G24" s="79">
        <v>138.03329000000002</v>
      </c>
    </row>
    <row r="25" spans="1:7" ht="15" customHeight="1">
      <c r="A25" s="76" t="s">
        <v>652</v>
      </c>
      <c r="B25" s="65" t="s">
        <v>450</v>
      </c>
      <c r="C25" s="65" t="s">
        <v>472</v>
      </c>
      <c r="D25" s="174" t="s">
        <v>346</v>
      </c>
      <c r="E25" s="174"/>
      <c r="F25" s="65" t="s">
        <v>621</v>
      </c>
      <c r="G25" s="77">
        <v>145.11181000000002</v>
      </c>
    </row>
    <row r="26" spans="1:7" ht="15" customHeight="1">
      <c r="A26" s="78"/>
      <c r="B26" s="58"/>
      <c r="C26" s="58"/>
      <c r="D26" s="68" t="s">
        <v>731</v>
      </c>
      <c r="E26" s="189" t="s">
        <v>450</v>
      </c>
      <c r="F26" s="189"/>
      <c r="G26" s="79">
        <v>0</v>
      </c>
    </row>
    <row r="27" spans="1:7" ht="15" customHeight="1">
      <c r="A27" s="76" t="s">
        <v>450</v>
      </c>
      <c r="B27" s="65" t="s">
        <v>450</v>
      </c>
      <c r="C27" s="65" t="s">
        <v>450</v>
      </c>
      <c r="D27" s="68" t="s">
        <v>515</v>
      </c>
      <c r="E27" s="189" t="s">
        <v>450</v>
      </c>
      <c r="F27" s="189"/>
      <c r="G27" s="79">
        <v>23.925</v>
      </c>
    </row>
    <row r="28" spans="1:7" ht="15" customHeight="1">
      <c r="A28" s="76" t="s">
        <v>450</v>
      </c>
      <c r="B28" s="65" t="s">
        <v>450</v>
      </c>
      <c r="C28" s="65" t="s">
        <v>450</v>
      </c>
      <c r="D28" s="68" t="s">
        <v>352</v>
      </c>
      <c r="E28" s="189" t="s">
        <v>450</v>
      </c>
      <c r="F28" s="189"/>
      <c r="G28" s="79">
        <v>0</v>
      </c>
    </row>
    <row r="29" spans="1:7" ht="15" customHeight="1">
      <c r="A29" s="76" t="s">
        <v>450</v>
      </c>
      <c r="B29" s="65" t="s">
        <v>450</v>
      </c>
      <c r="C29" s="65" t="s">
        <v>450</v>
      </c>
      <c r="D29" s="68" t="s">
        <v>42</v>
      </c>
      <c r="E29" s="189" t="s">
        <v>450</v>
      </c>
      <c r="F29" s="189"/>
      <c r="G29" s="79">
        <v>90.01932000000001</v>
      </c>
    </row>
    <row r="30" spans="1:7" ht="15" customHeight="1">
      <c r="A30" s="76" t="s">
        <v>450</v>
      </c>
      <c r="B30" s="65" t="s">
        <v>450</v>
      </c>
      <c r="C30" s="65" t="s">
        <v>450</v>
      </c>
      <c r="D30" s="68" t="s">
        <v>531</v>
      </c>
      <c r="E30" s="189" t="s">
        <v>450</v>
      </c>
      <c r="F30" s="189"/>
      <c r="G30" s="79">
        <v>13.547490000000002</v>
      </c>
    </row>
    <row r="31" spans="1:7" ht="15" customHeight="1">
      <c r="A31" s="76" t="s">
        <v>450</v>
      </c>
      <c r="B31" s="65" t="s">
        <v>450</v>
      </c>
      <c r="C31" s="65" t="s">
        <v>450</v>
      </c>
      <c r="D31" s="68" t="s">
        <v>646</v>
      </c>
      <c r="E31" s="189" t="s">
        <v>450</v>
      </c>
      <c r="F31" s="189"/>
      <c r="G31" s="79">
        <v>1.62</v>
      </c>
    </row>
    <row r="32" spans="1:7" ht="15" customHeight="1">
      <c r="A32" s="76" t="s">
        <v>450</v>
      </c>
      <c r="B32" s="65" t="s">
        <v>450</v>
      </c>
      <c r="C32" s="65" t="s">
        <v>450</v>
      </c>
      <c r="D32" s="68" t="s">
        <v>392</v>
      </c>
      <c r="E32" s="189" t="s">
        <v>450</v>
      </c>
      <c r="F32" s="189"/>
      <c r="G32" s="79">
        <v>0</v>
      </c>
    </row>
    <row r="33" spans="1:7" ht="15" customHeight="1">
      <c r="A33" s="76" t="s">
        <v>450</v>
      </c>
      <c r="B33" s="65" t="s">
        <v>450</v>
      </c>
      <c r="C33" s="65" t="s">
        <v>450</v>
      </c>
      <c r="D33" s="68" t="s">
        <v>241</v>
      </c>
      <c r="E33" s="189" t="s">
        <v>450</v>
      </c>
      <c r="F33" s="189"/>
      <c r="G33" s="79">
        <v>16</v>
      </c>
    </row>
    <row r="34" spans="1:7" ht="15" customHeight="1">
      <c r="A34" s="76" t="s">
        <v>519</v>
      </c>
      <c r="B34" s="65" t="s">
        <v>450</v>
      </c>
      <c r="C34" s="65" t="s">
        <v>49</v>
      </c>
      <c r="D34" s="174" t="s">
        <v>366</v>
      </c>
      <c r="E34" s="174"/>
      <c r="F34" s="65" t="s">
        <v>311</v>
      </c>
      <c r="G34" s="77">
        <v>152.3674</v>
      </c>
    </row>
    <row r="35" spans="1:7" ht="15" customHeight="1">
      <c r="A35" s="78"/>
      <c r="B35" s="58"/>
      <c r="C35" s="58"/>
      <c r="D35" s="68" t="s">
        <v>176</v>
      </c>
      <c r="E35" s="189" t="s">
        <v>450</v>
      </c>
      <c r="F35" s="189"/>
      <c r="G35" s="79">
        <v>145.11181000000002</v>
      </c>
    </row>
    <row r="36" spans="1:7" ht="15" customHeight="1">
      <c r="A36" s="76" t="s">
        <v>450</v>
      </c>
      <c r="B36" s="65" t="s">
        <v>450</v>
      </c>
      <c r="C36" s="65" t="s">
        <v>450</v>
      </c>
      <c r="D36" s="68" t="s">
        <v>396</v>
      </c>
      <c r="E36" s="189" t="s">
        <v>450</v>
      </c>
      <c r="F36" s="189"/>
      <c r="G36" s="79">
        <v>7.255590000000001</v>
      </c>
    </row>
    <row r="37" spans="1:7" ht="15" customHeight="1">
      <c r="A37" s="76" t="s">
        <v>249</v>
      </c>
      <c r="B37" s="65" t="s">
        <v>450</v>
      </c>
      <c r="C37" s="65" t="s">
        <v>112</v>
      </c>
      <c r="D37" s="174" t="s">
        <v>215</v>
      </c>
      <c r="E37" s="174"/>
      <c r="F37" s="65" t="s">
        <v>157</v>
      </c>
      <c r="G37" s="77">
        <v>2</v>
      </c>
    </row>
    <row r="38" spans="1:7" ht="15" customHeight="1">
      <c r="A38" s="78"/>
      <c r="B38" s="58"/>
      <c r="C38" s="58"/>
      <c r="D38" s="68" t="s">
        <v>447</v>
      </c>
      <c r="E38" s="189" t="s">
        <v>450</v>
      </c>
      <c r="F38" s="189"/>
      <c r="G38" s="79">
        <v>2</v>
      </c>
    </row>
    <row r="39" spans="1:7" ht="15" customHeight="1">
      <c r="A39" s="76" t="s">
        <v>380</v>
      </c>
      <c r="B39" s="65" t="s">
        <v>450</v>
      </c>
      <c r="C39" s="65" t="s">
        <v>560</v>
      </c>
      <c r="D39" s="174" t="s">
        <v>53</v>
      </c>
      <c r="E39" s="174"/>
      <c r="F39" s="65" t="s">
        <v>157</v>
      </c>
      <c r="G39" s="77">
        <v>2</v>
      </c>
    </row>
    <row r="40" spans="1:7" ht="15" customHeight="1">
      <c r="A40" s="78"/>
      <c r="B40" s="58"/>
      <c r="C40" s="58"/>
      <c r="D40" s="68" t="s">
        <v>447</v>
      </c>
      <c r="E40" s="189" t="s">
        <v>450</v>
      </c>
      <c r="F40" s="189"/>
      <c r="G40" s="79">
        <v>2</v>
      </c>
    </row>
    <row r="41" spans="1:7" ht="15" customHeight="1">
      <c r="A41" s="76" t="s">
        <v>544</v>
      </c>
      <c r="B41" s="65" t="s">
        <v>450</v>
      </c>
      <c r="C41" s="65" t="s">
        <v>105</v>
      </c>
      <c r="D41" s="174" t="s">
        <v>713</v>
      </c>
      <c r="E41" s="174"/>
      <c r="F41" s="65" t="s">
        <v>635</v>
      </c>
      <c r="G41" s="77">
        <v>17.8</v>
      </c>
    </row>
    <row r="42" spans="1:7" ht="15" customHeight="1">
      <c r="A42" s="78"/>
      <c r="B42" s="58"/>
      <c r="C42" s="58"/>
      <c r="D42" s="68" t="s">
        <v>152</v>
      </c>
      <c r="E42" s="189" t="s">
        <v>450</v>
      </c>
      <c r="F42" s="189"/>
      <c r="G42" s="79">
        <v>17.8</v>
      </c>
    </row>
    <row r="43" spans="1:7" ht="15" customHeight="1">
      <c r="A43" s="76" t="s">
        <v>473</v>
      </c>
      <c r="B43" s="65" t="s">
        <v>450</v>
      </c>
      <c r="C43" s="65" t="s">
        <v>675</v>
      </c>
      <c r="D43" s="174" t="s">
        <v>488</v>
      </c>
      <c r="E43" s="174"/>
      <c r="F43" s="65" t="s">
        <v>635</v>
      </c>
      <c r="G43" s="77">
        <v>17.8</v>
      </c>
    </row>
    <row r="44" spans="1:7" ht="15" customHeight="1">
      <c r="A44" s="78"/>
      <c r="B44" s="58"/>
      <c r="C44" s="58"/>
      <c r="D44" s="68" t="s">
        <v>152</v>
      </c>
      <c r="E44" s="189" t="s">
        <v>450</v>
      </c>
      <c r="F44" s="189"/>
      <c r="G44" s="79">
        <v>17.8</v>
      </c>
    </row>
    <row r="45" spans="1:7" ht="15" customHeight="1">
      <c r="A45" s="76" t="s">
        <v>190</v>
      </c>
      <c r="B45" s="65" t="s">
        <v>450</v>
      </c>
      <c r="C45" s="65" t="s">
        <v>149</v>
      </c>
      <c r="D45" s="174" t="s">
        <v>192</v>
      </c>
      <c r="E45" s="174"/>
      <c r="F45" s="65" t="s">
        <v>635</v>
      </c>
      <c r="G45" s="77">
        <v>6.2250000000000005</v>
      </c>
    </row>
    <row r="46" spans="1:7" ht="15" customHeight="1">
      <c r="A46" s="78"/>
      <c r="B46" s="58"/>
      <c r="C46" s="58"/>
      <c r="D46" s="68" t="s">
        <v>220</v>
      </c>
      <c r="E46" s="189" t="s">
        <v>450</v>
      </c>
      <c r="F46" s="189"/>
      <c r="G46" s="79">
        <v>2.903</v>
      </c>
    </row>
    <row r="47" spans="1:7" ht="15" customHeight="1">
      <c r="A47" s="76" t="s">
        <v>450</v>
      </c>
      <c r="B47" s="65" t="s">
        <v>450</v>
      </c>
      <c r="C47" s="65" t="s">
        <v>450</v>
      </c>
      <c r="D47" s="68" t="s">
        <v>699</v>
      </c>
      <c r="E47" s="189" t="s">
        <v>450</v>
      </c>
      <c r="F47" s="189"/>
      <c r="G47" s="79">
        <v>3.322</v>
      </c>
    </row>
    <row r="48" spans="1:7" ht="15" customHeight="1">
      <c r="A48" s="76" t="s">
        <v>386</v>
      </c>
      <c r="B48" s="65" t="s">
        <v>450</v>
      </c>
      <c r="C48" s="65" t="s">
        <v>226</v>
      </c>
      <c r="D48" s="174" t="s">
        <v>298</v>
      </c>
      <c r="E48" s="174"/>
      <c r="F48" s="65" t="s">
        <v>635</v>
      </c>
      <c r="G48" s="77">
        <v>319.76375</v>
      </c>
    </row>
    <row r="49" spans="1:7" ht="15" customHeight="1">
      <c r="A49" s="78"/>
      <c r="B49" s="58"/>
      <c r="C49" s="58"/>
      <c r="D49" s="68" t="s">
        <v>72</v>
      </c>
      <c r="E49" s="189" t="s">
        <v>450</v>
      </c>
      <c r="F49" s="189"/>
      <c r="G49" s="79">
        <v>183.64875</v>
      </c>
    </row>
    <row r="50" spans="1:7" ht="15" customHeight="1">
      <c r="A50" s="76" t="s">
        <v>450</v>
      </c>
      <c r="B50" s="65" t="s">
        <v>450</v>
      </c>
      <c r="C50" s="65" t="s">
        <v>450</v>
      </c>
      <c r="D50" s="68" t="s">
        <v>562</v>
      </c>
      <c r="E50" s="189" t="s">
        <v>450</v>
      </c>
      <c r="F50" s="189"/>
      <c r="G50" s="79">
        <v>136.115</v>
      </c>
    </row>
    <row r="51" spans="1:7" ht="15" customHeight="1">
      <c r="A51" s="76" t="s">
        <v>258</v>
      </c>
      <c r="B51" s="65" t="s">
        <v>450</v>
      </c>
      <c r="C51" s="65" t="s">
        <v>151</v>
      </c>
      <c r="D51" s="174" t="s">
        <v>40</v>
      </c>
      <c r="E51" s="174"/>
      <c r="F51" s="65" t="s">
        <v>529</v>
      </c>
      <c r="G51" s="77">
        <v>1</v>
      </c>
    </row>
    <row r="52" spans="1:7" ht="15" customHeight="1">
      <c r="A52" s="78"/>
      <c r="B52" s="58"/>
      <c r="C52" s="58"/>
      <c r="D52" s="68" t="s">
        <v>644</v>
      </c>
      <c r="E52" s="189" t="s">
        <v>450</v>
      </c>
      <c r="F52" s="189"/>
      <c r="G52" s="79">
        <v>1</v>
      </c>
    </row>
    <row r="53" spans="1:7" ht="15" customHeight="1">
      <c r="A53" s="76" t="s">
        <v>59</v>
      </c>
      <c r="B53" s="65" t="s">
        <v>450</v>
      </c>
      <c r="C53" s="65" t="s">
        <v>189</v>
      </c>
      <c r="D53" s="174" t="s">
        <v>178</v>
      </c>
      <c r="E53" s="174"/>
      <c r="F53" s="65" t="s">
        <v>157</v>
      </c>
      <c r="G53" s="77">
        <v>12.000000000000002</v>
      </c>
    </row>
    <row r="54" spans="1:7" ht="15" customHeight="1">
      <c r="A54" s="78"/>
      <c r="B54" s="58"/>
      <c r="C54" s="58"/>
      <c r="D54" s="68" t="s">
        <v>48</v>
      </c>
      <c r="E54" s="189" t="s">
        <v>450</v>
      </c>
      <c r="F54" s="189"/>
      <c r="G54" s="79">
        <v>12.000000000000002</v>
      </c>
    </row>
    <row r="55" spans="1:7" ht="15" customHeight="1">
      <c r="A55" s="76" t="s">
        <v>452</v>
      </c>
      <c r="B55" s="65" t="s">
        <v>450</v>
      </c>
      <c r="C55" s="65" t="s">
        <v>187</v>
      </c>
      <c r="D55" s="174" t="s">
        <v>572</v>
      </c>
      <c r="E55" s="174"/>
      <c r="F55" s="65" t="s">
        <v>529</v>
      </c>
      <c r="G55" s="77">
        <v>1</v>
      </c>
    </row>
    <row r="56" spans="1:7" ht="15" customHeight="1">
      <c r="A56" s="78"/>
      <c r="B56" s="58"/>
      <c r="C56" s="58"/>
      <c r="D56" s="68" t="s">
        <v>644</v>
      </c>
      <c r="E56" s="189" t="s">
        <v>450</v>
      </c>
      <c r="F56" s="189"/>
      <c r="G56" s="79">
        <v>1</v>
      </c>
    </row>
    <row r="57" spans="1:7" ht="15" customHeight="1">
      <c r="A57" s="76" t="s">
        <v>523</v>
      </c>
      <c r="B57" s="65" t="s">
        <v>450</v>
      </c>
      <c r="C57" s="65" t="s">
        <v>680</v>
      </c>
      <c r="D57" s="174" t="s">
        <v>147</v>
      </c>
      <c r="E57" s="174"/>
      <c r="F57" s="65" t="s">
        <v>225</v>
      </c>
      <c r="G57" s="77">
        <v>10</v>
      </c>
    </row>
    <row r="58" spans="1:7" ht="15" customHeight="1">
      <c r="A58" s="78"/>
      <c r="B58" s="58"/>
      <c r="C58" s="58"/>
      <c r="D58" s="68" t="s">
        <v>6</v>
      </c>
      <c r="E58" s="189" t="s">
        <v>450</v>
      </c>
      <c r="F58" s="189"/>
      <c r="G58" s="79">
        <v>10</v>
      </c>
    </row>
    <row r="59" spans="1:7" ht="15" customHeight="1">
      <c r="A59" s="76" t="s">
        <v>416</v>
      </c>
      <c r="B59" s="65" t="s">
        <v>450</v>
      </c>
      <c r="C59" s="65" t="s">
        <v>489</v>
      </c>
      <c r="D59" s="174" t="s">
        <v>257</v>
      </c>
      <c r="E59" s="174"/>
      <c r="F59" s="65" t="s">
        <v>225</v>
      </c>
      <c r="G59" s="77">
        <v>2</v>
      </c>
    </row>
    <row r="60" spans="1:7" ht="15" customHeight="1">
      <c r="A60" s="78"/>
      <c r="B60" s="58"/>
      <c r="C60" s="58"/>
      <c r="D60" s="68" t="s">
        <v>447</v>
      </c>
      <c r="E60" s="189" t="s">
        <v>450</v>
      </c>
      <c r="F60" s="189"/>
      <c r="G60" s="79">
        <v>2</v>
      </c>
    </row>
    <row r="61" spans="1:7" ht="15" customHeight="1">
      <c r="A61" s="76" t="s">
        <v>28</v>
      </c>
      <c r="B61" s="65" t="s">
        <v>450</v>
      </c>
      <c r="C61" s="65" t="s">
        <v>185</v>
      </c>
      <c r="D61" s="174" t="s">
        <v>542</v>
      </c>
      <c r="E61" s="174"/>
      <c r="F61" s="65" t="s">
        <v>225</v>
      </c>
      <c r="G61" s="77">
        <v>2</v>
      </c>
    </row>
    <row r="62" spans="1:7" ht="15" customHeight="1">
      <c r="A62" s="78"/>
      <c r="B62" s="58"/>
      <c r="C62" s="58"/>
      <c r="D62" s="68" t="s">
        <v>447</v>
      </c>
      <c r="E62" s="189" t="s">
        <v>450</v>
      </c>
      <c r="F62" s="189"/>
      <c r="G62" s="79">
        <v>2</v>
      </c>
    </row>
    <row r="63" spans="1:7" ht="15" customHeight="1">
      <c r="A63" s="76" t="s">
        <v>459</v>
      </c>
      <c r="B63" s="65" t="s">
        <v>450</v>
      </c>
      <c r="C63" s="65" t="s">
        <v>362</v>
      </c>
      <c r="D63" s="174" t="s">
        <v>208</v>
      </c>
      <c r="E63" s="174"/>
      <c r="F63" s="65" t="s">
        <v>225</v>
      </c>
      <c r="G63" s="77">
        <v>14.000000000000002</v>
      </c>
    </row>
    <row r="64" spans="1:7" ht="15" customHeight="1">
      <c r="A64" s="78"/>
      <c r="B64" s="58"/>
      <c r="C64" s="58"/>
      <c r="D64" s="68" t="s">
        <v>106</v>
      </c>
      <c r="E64" s="189" t="s">
        <v>450</v>
      </c>
      <c r="F64" s="189"/>
      <c r="G64" s="79">
        <v>14.000000000000002</v>
      </c>
    </row>
    <row r="65" spans="1:7" ht="15" customHeight="1">
      <c r="A65" s="76" t="s">
        <v>614</v>
      </c>
      <c r="B65" s="65" t="s">
        <v>450</v>
      </c>
      <c r="C65" s="65" t="s">
        <v>419</v>
      </c>
      <c r="D65" s="174" t="s">
        <v>650</v>
      </c>
      <c r="E65" s="174"/>
      <c r="F65" s="65" t="s">
        <v>225</v>
      </c>
      <c r="G65" s="77">
        <v>1</v>
      </c>
    </row>
    <row r="66" spans="1:7" ht="15" customHeight="1">
      <c r="A66" s="78"/>
      <c r="B66" s="58"/>
      <c r="C66" s="58"/>
      <c r="D66" s="68" t="s">
        <v>644</v>
      </c>
      <c r="E66" s="189" t="s">
        <v>450</v>
      </c>
      <c r="F66" s="189"/>
      <c r="G66" s="79">
        <v>1</v>
      </c>
    </row>
    <row r="67" spans="1:7" ht="15" customHeight="1">
      <c r="A67" s="76" t="s">
        <v>303</v>
      </c>
      <c r="B67" s="65" t="s">
        <v>450</v>
      </c>
      <c r="C67" s="65" t="s">
        <v>17</v>
      </c>
      <c r="D67" s="174" t="s">
        <v>20</v>
      </c>
      <c r="E67" s="174"/>
      <c r="F67" s="65" t="s">
        <v>225</v>
      </c>
      <c r="G67" s="77">
        <v>15.000000000000002</v>
      </c>
    </row>
    <row r="68" spans="1:7" ht="15" customHeight="1">
      <c r="A68" s="78"/>
      <c r="B68" s="58"/>
      <c r="C68" s="58"/>
      <c r="D68" s="68" t="s">
        <v>44</v>
      </c>
      <c r="E68" s="189" t="s">
        <v>450</v>
      </c>
      <c r="F68" s="189"/>
      <c r="G68" s="79">
        <v>15.000000000000002</v>
      </c>
    </row>
    <row r="69" spans="1:7" ht="15" customHeight="1">
      <c r="A69" s="76" t="s">
        <v>61</v>
      </c>
      <c r="B69" s="65" t="s">
        <v>450</v>
      </c>
      <c r="C69" s="65" t="s">
        <v>482</v>
      </c>
      <c r="D69" s="174" t="s">
        <v>232</v>
      </c>
      <c r="E69" s="174"/>
      <c r="F69" s="65" t="s">
        <v>157</v>
      </c>
      <c r="G69" s="77">
        <v>1</v>
      </c>
    </row>
    <row r="70" spans="1:7" ht="15" customHeight="1">
      <c r="A70" s="78"/>
      <c r="B70" s="58"/>
      <c r="C70" s="58"/>
      <c r="D70" s="68" t="s">
        <v>644</v>
      </c>
      <c r="E70" s="189" t="s">
        <v>450</v>
      </c>
      <c r="F70" s="189"/>
      <c r="G70" s="79">
        <v>1</v>
      </c>
    </row>
    <row r="71" spans="1:7" ht="15" customHeight="1">
      <c r="A71" s="76" t="s">
        <v>156</v>
      </c>
      <c r="B71" s="65" t="s">
        <v>450</v>
      </c>
      <c r="C71" s="65" t="s">
        <v>173</v>
      </c>
      <c r="D71" s="174" t="s">
        <v>685</v>
      </c>
      <c r="E71" s="174"/>
      <c r="F71" s="65" t="s">
        <v>157</v>
      </c>
      <c r="G71" s="77">
        <v>2</v>
      </c>
    </row>
    <row r="72" spans="1:7" ht="15" customHeight="1">
      <c r="A72" s="78"/>
      <c r="B72" s="58"/>
      <c r="C72" s="58"/>
      <c r="D72" s="68" t="s">
        <v>447</v>
      </c>
      <c r="E72" s="189" t="s">
        <v>450</v>
      </c>
      <c r="F72" s="189"/>
      <c r="G72" s="79">
        <v>2</v>
      </c>
    </row>
    <row r="73" spans="1:7" ht="15" customHeight="1">
      <c r="A73" s="76" t="s">
        <v>88</v>
      </c>
      <c r="B73" s="65" t="s">
        <v>450</v>
      </c>
      <c r="C73" s="65" t="s">
        <v>92</v>
      </c>
      <c r="D73" s="174" t="s">
        <v>561</v>
      </c>
      <c r="E73" s="174"/>
      <c r="F73" s="65" t="s">
        <v>538</v>
      </c>
      <c r="G73" s="77">
        <v>218.00000000000003</v>
      </c>
    </row>
    <row r="74" spans="1:7" ht="15" customHeight="1">
      <c r="A74" s="78"/>
      <c r="B74" s="58"/>
      <c r="C74" s="58"/>
      <c r="D74" s="68" t="s">
        <v>729</v>
      </c>
      <c r="E74" s="189" t="s">
        <v>450</v>
      </c>
      <c r="F74" s="189"/>
      <c r="G74" s="79">
        <v>218.00000000000003</v>
      </c>
    </row>
    <row r="75" spans="1:7" ht="15" customHeight="1">
      <c r="A75" s="76" t="s">
        <v>631</v>
      </c>
      <c r="B75" s="65" t="s">
        <v>450</v>
      </c>
      <c r="C75" s="65" t="s">
        <v>110</v>
      </c>
      <c r="D75" s="174" t="s">
        <v>327</v>
      </c>
      <c r="E75" s="174"/>
      <c r="F75" s="65" t="s">
        <v>538</v>
      </c>
      <c r="G75" s="77">
        <v>81</v>
      </c>
    </row>
    <row r="76" spans="1:7" ht="15" customHeight="1">
      <c r="A76" s="78"/>
      <c r="B76" s="58"/>
      <c r="C76" s="58"/>
      <c r="D76" s="68" t="s">
        <v>114</v>
      </c>
      <c r="E76" s="189" t="s">
        <v>450</v>
      </c>
      <c r="F76" s="189"/>
      <c r="G76" s="79">
        <v>81</v>
      </c>
    </row>
    <row r="77" spans="1:7" ht="15" customHeight="1">
      <c r="A77" s="76" t="s">
        <v>705</v>
      </c>
      <c r="B77" s="65" t="s">
        <v>450</v>
      </c>
      <c r="C77" s="65" t="s">
        <v>727</v>
      </c>
      <c r="D77" s="174" t="s">
        <v>271</v>
      </c>
      <c r="E77" s="174"/>
      <c r="F77" s="65" t="s">
        <v>538</v>
      </c>
      <c r="G77" s="77">
        <v>30.000000000000004</v>
      </c>
    </row>
    <row r="78" spans="1:7" ht="15" customHeight="1">
      <c r="A78" s="78"/>
      <c r="B78" s="58"/>
      <c r="C78" s="58"/>
      <c r="D78" s="68" t="s">
        <v>425</v>
      </c>
      <c r="E78" s="189" t="s">
        <v>450</v>
      </c>
      <c r="F78" s="189"/>
      <c r="G78" s="79">
        <v>30.000000000000004</v>
      </c>
    </row>
    <row r="79" spans="1:7" ht="15" customHeight="1">
      <c r="A79" s="76" t="s">
        <v>43</v>
      </c>
      <c r="B79" s="65" t="s">
        <v>450</v>
      </c>
      <c r="C79" s="65" t="s">
        <v>161</v>
      </c>
      <c r="D79" s="174" t="s">
        <v>502</v>
      </c>
      <c r="E79" s="174"/>
      <c r="F79" s="65" t="s">
        <v>157</v>
      </c>
      <c r="G79" s="77">
        <v>49.00000000000001</v>
      </c>
    </row>
    <row r="80" spans="1:7" ht="15" customHeight="1">
      <c r="A80" s="78"/>
      <c r="B80" s="58"/>
      <c r="C80" s="58"/>
      <c r="D80" s="68" t="s">
        <v>202</v>
      </c>
      <c r="E80" s="189" t="s">
        <v>450</v>
      </c>
      <c r="F80" s="189"/>
      <c r="G80" s="79">
        <v>49.00000000000001</v>
      </c>
    </row>
    <row r="81" spans="1:7" ht="15" customHeight="1">
      <c r="A81" s="76" t="s">
        <v>425</v>
      </c>
      <c r="B81" s="65" t="s">
        <v>450</v>
      </c>
      <c r="C81" s="65" t="s">
        <v>19</v>
      </c>
      <c r="D81" s="174" t="s">
        <v>636</v>
      </c>
      <c r="E81" s="174"/>
      <c r="F81" s="65" t="s">
        <v>157</v>
      </c>
      <c r="G81" s="77">
        <v>5</v>
      </c>
    </row>
    <row r="82" spans="1:7" ht="15" customHeight="1">
      <c r="A82" s="78"/>
      <c r="B82" s="58"/>
      <c r="C82" s="58"/>
      <c r="D82" s="68" t="s">
        <v>468</v>
      </c>
      <c r="E82" s="189" t="s">
        <v>450</v>
      </c>
      <c r="F82" s="189"/>
      <c r="G82" s="79">
        <v>5</v>
      </c>
    </row>
    <row r="83" spans="1:7" ht="15" customHeight="1">
      <c r="A83" s="76" t="s">
        <v>388</v>
      </c>
      <c r="B83" s="65" t="s">
        <v>450</v>
      </c>
      <c r="C83" s="65" t="s">
        <v>385</v>
      </c>
      <c r="D83" s="174" t="s">
        <v>299</v>
      </c>
      <c r="E83" s="174"/>
      <c r="F83" s="65" t="s">
        <v>538</v>
      </c>
      <c r="G83" s="77">
        <v>454.85</v>
      </c>
    </row>
    <row r="84" spans="1:7" ht="15" customHeight="1">
      <c r="A84" s="78"/>
      <c r="B84" s="58"/>
      <c r="C84" s="58"/>
      <c r="D84" s="68" t="s">
        <v>243</v>
      </c>
      <c r="E84" s="189" t="s">
        <v>450</v>
      </c>
      <c r="F84" s="189"/>
      <c r="G84" s="79">
        <v>0</v>
      </c>
    </row>
    <row r="85" spans="1:7" ht="15" customHeight="1">
      <c r="A85" s="76" t="s">
        <v>450</v>
      </c>
      <c r="B85" s="65" t="s">
        <v>450</v>
      </c>
      <c r="C85" s="65" t="s">
        <v>450</v>
      </c>
      <c r="D85" s="68" t="s">
        <v>592</v>
      </c>
      <c r="E85" s="189" t="s">
        <v>450</v>
      </c>
      <c r="F85" s="189"/>
      <c r="G85" s="79">
        <v>295.8</v>
      </c>
    </row>
    <row r="86" spans="1:7" ht="15" customHeight="1">
      <c r="A86" s="76" t="s">
        <v>450</v>
      </c>
      <c r="B86" s="65" t="s">
        <v>450</v>
      </c>
      <c r="C86" s="65" t="s">
        <v>450</v>
      </c>
      <c r="D86" s="68" t="s">
        <v>359</v>
      </c>
      <c r="E86" s="189" t="s">
        <v>450</v>
      </c>
      <c r="F86" s="189"/>
      <c r="G86" s="79">
        <v>89.05000000000001</v>
      </c>
    </row>
    <row r="87" spans="1:7" ht="15" customHeight="1">
      <c r="A87" s="76" t="s">
        <v>450</v>
      </c>
      <c r="B87" s="65" t="s">
        <v>450</v>
      </c>
      <c r="C87" s="65" t="s">
        <v>450</v>
      </c>
      <c r="D87" s="68" t="s">
        <v>193</v>
      </c>
      <c r="E87" s="189" t="s">
        <v>450</v>
      </c>
      <c r="F87" s="189"/>
      <c r="G87" s="79">
        <v>0</v>
      </c>
    </row>
    <row r="88" spans="1:7" ht="15" customHeight="1">
      <c r="A88" s="76" t="s">
        <v>450</v>
      </c>
      <c r="B88" s="65" t="s">
        <v>450</v>
      </c>
      <c r="C88" s="65" t="s">
        <v>450</v>
      </c>
      <c r="D88" s="68" t="s">
        <v>345</v>
      </c>
      <c r="E88" s="189" t="s">
        <v>450</v>
      </c>
      <c r="F88" s="189"/>
      <c r="G88" s="79">
        <v>50.00000000000001</v>
      </c>
    </row>
    <row r="89" spans="1:7" ht="15" customHeight="1">
      <c r="A89" s="76" t="s">
        <v>450</v>
      </c>
      <c r="B89" s="65" t="s">
        <v>450</v>
      </c>
      <c r="C89" s="65" t="s">
        <v>450</v>
      </c>
      <c r="D89" s="68" t="s">
        <v>431</v>
      </c>
      <c r="E89" s="189" t="s">
        <v>450</v>
      </c>
      <c r="F89" s="189"/>
      <c r="G89" s="79">
        <v>0</v>
      </c>
    </row>
    <row r="90" spans="1:7" ht="15" customHeight="1">
      <c r="A90" s="76" t="s">
        <v>450</v>
      </c>
      <c r="B90" s="65" t="s">
        <v>450</v>
      </c>
      <c r="C90" s="65" t="s">
        <v>450</v>
      </c>
      <c r="D90" s="68" t="s">
        <v>465</v>
      </c>
      <c r="E90" s="189" t="s">
        <v>450</v>
      </c>
      <c r="F90" s="189"/>
      <c r="G90" s="79">
        <v>20</v>
      </c>
    </row>
    <row r="91" spans="1:7" ht="15" customHeight="1">
      <c r="A91" s="76" t="s">
        <v>548</v>
      </c>
      <c r="B91" s="65" t="s">
        <v>450</v>
      </c>
      <c r="C91" s="65" t="s">
        <v>167</v>
      </c>
      <c r="D91" s="174" t="s">
        <v>458</v>
      </c>
      <c r="E91" s="174"/>
      <c r="F91" s="65" t="s">
        <v>538</v>
      </c>
      <c r="G91" s="77">
        <v>183.50000000000003</v>
      </c>
    </row>
    <row r="92" spans="1:7" ht="15" customHeight="1">
      <c r="A92" s="78"/>
      <c r="B92" s="58"/>
      <c r="C92" s="58"/>
      <c r="D92" s="68" t="s">
        <v>546</v>
      </c>
      <c r="E92" s="189" t="s">
        <v>450</v>
      </c>
      <c r="F92" s="189"/>
      <c r="G92" s="79">
        <v>0</v>
      </c>
    </row>
    <row r="93" spans="1:7" ht="15" customHeight="1">
      <c r="A93" s="76" t="s">
        <v>450</v>
      </c>
      <c r="B93" s="65" t="s">
        <v>450</v>
      </c>
      <c r="C93" s="65" t="s">
        <v>450</v>
      </c>
      <c r="D93" s="68" t="s">
        <v>557</v>
      </c>
      <c r="E93" s="189" t="s">
        <v>450</v>
      </c>
      <c r="F93" s="189"/>
      <c r="G93" s="79">
        <v>85.9</v>
      </c>
    </row>
    <row r="94" spans="1:7" ht="15" customHeight="1">
      <c r="A94" s="76" t="s">
        <v>450</v>
      </c>
      <c r="B94" s="65" t="s">
        <v>450</v>
      </c>
      <c r="C94" s="65" t="s">
        <v>450</v>
      </c>
      <c r="D94" s="68" t="s">
        <v>39</v>
      </c>
      <c r="E94" s="189" t="s">
        <v>450</v>
      </c>
      <c r="F94" s="189"/>
      <c r="G94" s="79">
        <v>0</v>
      </c>
    </row>
    <row r="95" spans="1:7" ht="15" customHeight="1">
      <c r="A95" s="76" t="s">
        <v>450</v>
      </c>
      <c r="B95" s="65" t="s">
        <v>450</v>
      </c>
      <c r="C95" s="65" t="s">
        <v>450</v>
      </c>
      <c r="D95" s="68" t="s">
        <v>254</v>
      </c>
      <c r="E95" s="189" t="s">
        <v>450</v>
      </c>
      <c r="F95" s="189"/>
      <c r="G95" s="79">
        <v>85.4</v>
      </c>
    </row>
    <row r="96" spans="1:7" ht="15" customHeight="1">
      <c r="A96" s="76" t="s">
        <v>450</v>
      </c>
      <c r="B96" s="65" t="s">
        <v>450</v>
      </c>
      <c r="C96" s="65" t="s">
        <v>450</v>
      </c>
      <c r="D96" s="68" t="s">
        <v>148</v>
      </c>
      <c r="E96" s="189" t="s">
        <v>450</v>
      </c>
      <c r="F96" s="189"/>
      <c r="G96" s="79">
        <v>0</v>
      </c>
    </row>
    <row r="97" spans="1:7" ht="15" customHeight="1">
      <c r="A97" s="76" t="s">
        <v>450</v>
      </c>
      <c r="B97" s="65" t="s">
        <v>450</v>
      </c>
      <c r="C97" s="65" t="s">
        <v>450</v>
      </c>
      <c r="D97" s="68" t="s">
        <v>463</v>
      </c>
      <c r="E97" s="189" t="s">
        <v>450</v>
      </c>
      <c r="F97" s="189"/>
      <c r="G97" s="79">
        <v>12.200000000000001</v>
      </c>
    </row>
    <row r="98" spans="1:7" ht="15" customHeight="1">
      <c r="A98" s="76" t="s">
        <v>139</v>
      </c>
      <c r="B98" s="65" t="s">
        <v>450</v>
      </c>
      <c r="C98" s="65" t="s">
        <v>371</v>
      </c>
      <c r="D98" s="174" t="s">
        <v>200</v>
      </c>
      <c r="E98" s="174"/>
      <c r="F98" s="65" t="s">
        <v>538</v>
      </c>
      <c r="G98" s="77">
        <v>207.8</v>
      </c>
    </row>
    <row r="99" spans="1:7" ht="15" customHeight="1">
      <c r="A99" s="78"/>
      <c r="B99" s="58"/>
      <c r="C99" s="58"/>
      <c r="D99" s="68" t="s">
        <v>244</v>
      </c>
      <c r="E99" s="189" t="s">
        <v>450</v>
      </c>
      <c r="F99" s="189"/>
      <c r="G99" s="79">
        <v>0</v>
      </c>
    </row>
    <row r="100" spans="1:7" ht="15" customHeight="1">
      <c r="A100" s="76" t="s">
        <v>450</v>
      </c>
      <c r="B100" s="65" t="s">
        <v>450</v>
      </c>
      <c r="C100" s="65" t="s">
        <v>450</v>
      </c>
      <c r="D100" s="68" t="s">
        <v>94</v>
      </c>
      <c r="E100" s="189" t="s">
        <v>450</v>
      </c>
      <c r="F100" s="189"/>
      <c r="G100" s="79">
        <v>34.7</v>
      </c>
    </row>
    <row r="101" spans="1:7" ht="15" customHeight="1">
      <c r="A101" s="76" t="s">
        <v>450</v>
      </c>
      <c r="B101" s="65" t="s">
        <v>450</v>
      </c>
      <c r="C101" s="65" t="s">
        <v>450</v>
      </c>
      <c r="D101" s="68" t="s">
        <v>82</v>
      </c>
      <c r="E101" s="189" t="s">
        <v>450</v>
      </c>
      <c r="F101" s="189"/>
      <c r="G101" s="79">
        <v>0</v>
      </c>
    </row>
    <row r="102" spans="1:7" ht="15" customHeight="1">
      <c r="A102" s="76" t="s">
        <v>450</v>
      </c>
      <c r="B102" s="65" t="s">
        <v>450</v>
      </c>
      <c r="C102" s="65" t="s">
        <v>450</v>
      </c>
      <c r="D102" s="68" t="s">
        <v>665</v>
      </c>
      <c r="E102" s="189" t="s">
        <v>450</v>
      </c>
      <c r="F102" s="189"/>
      <c r="G102" s="79">
        <v>26.400000000000002</v>
      </c>
    </row>
    <row r="103" spans="1:7" ht="15" customHeight="1">
      <c r="A103" s="76" t="s">
        <v>450</v>
      </c>
      <c r="B103" s="65" t="s">
        <v>450</v>
      </c>
      <c r="C103" s="65" t="s">
        <v>450</v>
      </c>
      <c r="D103" s="68" t="s">
        <v>555</v>
      </c>
      <c r="E103" s="189" t="s">
        <v>450</v>
      </c>
      <c r="F103" s="189"/>
      <c r="G103" s="79">
        <v>0</v>
      </c>
    </row>
    <row r="104" spans="1:7" ht="15" customHeight="1">
      <c r="A104" s="76" t="s">
        <v>450</v>
      </c>
      <c r="B104" s="65" t="s">
        <v>450</v>
      </c>
      <c r="C104" s="65" t="s">
        <v>450</v>
      </c>
      <c r="D104" s="68" t="s">
        <v>283</v>
      </c>
      <c r="E104" s="189" t="s">
        <v>450</v>
      </c>
      <c r="F104" s="189"/>
      <c r="G104" s="79">
        <v>49.50000000000001</v>
      </c>
    </row>
    <row r="105" spans="1:7" ht="15" customHeight="1">
      <c r="A105" s="76" t="s">
        <v>450</v>
      </c>
      <c r="B105" s="65" t="s">
        <v>450</v>
      </c>
      <c r="C105" s="65" t="s">
        <v>450</v>
      </c>
      <c r="D105" s="68" t="s">
        <v>81</v>
      </c>
      <c r="E105" s="189" t="s">
        <v>450</v>
      </c>
      <c r="F105" s="189"/>
      <c r="G105" s="79">
        <v>0</v>
      </c>
    </row>
    <row r="106" spans="1:7" ht="15" customHeight="1">
      <c r="A106" s="76" t="s">
        <v>450</v>
      </c>
      <c r="B106" s="65" t="s">
        <v>450</v>
      </c>
      <c r="C106" s="65" t="s">
        <v>450</v>
      </c>
      <c r="D106" s="68" t="s">
        <v>583</v>
      </c>
      <c r="E106" s="189" t="s">
        <v>450</v>
      </c>
      <c r="F106" s="189"/>
      <c r="G106" s="79">
        <v>97.2</v>
      </c>
    </row>
    <row r="107" spans="1:7" ht="15" customHeight="1">
      <c r="A107" s="76" t="s">
        <v>722</v>
      </c>
      <c r="B107" s="65" t="s">
        <v>450</v>
      </c>
      <c r="C107" s="65" t="s">
        <v>702</v>
      </c>
      <c r="D107" s="174" t="s">
        <v>247</v>
      </c>
      <c r="E107" s="174"/>
      <c r="F107" s="65" t="s">
        <v>538</v>
      </c>
      <c r="G107" s="77">
        <v>48.00000000000001</v>
      </c>
    </row>
    <row r="108" spans="1:7" ht="15" customHeight="1">
      <c r="A108" s="78"/>
      <c r="B108" s="58"/>
      <c r="C108" s="58"/>
      <c r="D108" s="68" t="s">
        <v>81</v>
      </c>
      <c r="E108" s="189" t="s">
        <v>450</v>
      </c>
      <c r="F108" s="189"/>
      <c r="G108" s="79">
        <v>0</v>
      </c>
    </row>
    <row r="109" spans="1:7" ht="15" customHeight="1">
      <c r="A109" s="76" t="s">
        <v>450</v>
      </c>
      <c r="B109" s="65" t="s">
        <v>450</v>
      </c>
      <c r="C109" s="65" t="s">
        <v>450</v>
      </c>
      <c r="D109" s="68" t="s">
        <v>689</v>
      </c>
      <c r="E109" s="189" t="s">
        <v>450</v>
      </c>
      <c r="F109" s="189"/>
      <c r="G109" s="79">
        <v>48.00000000000001</v>
      </c>
    </row>
    <row r="110" spans="1:7" ht="15" customHeight="1">
      <c r="A110" s="76" t="s">
        <v>571</v>
      </c>
      <c r="B110" s="65" t="s">
        <v>450</v>
      </c>
      <c r="C110" s="65" t="s">
        <v>34</v>
      </c>
      <c r="D110" s="174" t="s">
        <v>97</v>
      </c>
      <c r="E110" s="174"/>
      <c r="F110" s="65" t="s">
        <v>635</v>
      </c>
      <c r="G110" s="77">
        <v>319.76375</v>
      </c>
    </row>
    <row r="111" spans="1:7" ht="15" customHeight="1">
      <c r="A111" s="78"/>
      <c r="B111" s="58"/>
      <c r="C111" s="58"/>
      <c r="D111" s="68" t="s">
        <v>72</v>
      </c>
      <c r="E111" s="189" t="s">
        <v>450</v>
      </c>
      <c r="F111" s="189"/>
      <c r="G111" s="79">
        <v>183.64875</v>
      </c>
    </row>
    <row r="112" spans="1:7" ht="15" customHeight="1">
      <c r="A112" s="76" t="s">
        <v>450</v>
      </c>
      <c r="B112" s="65" t="s">
        <v>450</v>
      </c>
      <c r="C112" s="65" t="s">
        <v>450</v>
      </c>
      <c r="D112" s="68" t="s">
        <v>562</v>
      </c>
      <c r="E112" s="189" t="s">
        <v>450</v>
      </c>
      <c r="F112" s="189"/>
      <c r="G112" s="79">
        <v>136.115</v>
      </c>
    </row>
    <row r="113" spans="1:7" ht="15" customHeight="1">
      <c r="A113" s="76" t="s">
        <v>384</v>
      </c>
      <c r="B113" s="65" t="s">
        <v>450</v>
      </c>
      <c r="C113" s="65" t="s">
        <v>601</v>
      </c>
      <c r="D113" s="174" t="s">
        <v>259</v>
      </c>
      <c r="E113" s="174"/>
      <c r="F113" s="65" t="s">
        <v>635</v>
      </c>
      <c r="G113" s="77">
        <v>494.40000000000003</v>
      </c>
    </row>
    <row r="114" spans="1:7" ht="15" customHeight="1">
      <c r="A114" s="78"/>
      <c r="B114" s="58"/>
      <c r="C114" s="58"/>
      <c r="D114" s="68" t="s">
        <v>216</v>
      </c>
      <c r="E114" s="189" t="s">
        <v>450</v>
      </c>
      <c r="F114" s="189"/>
      <c r="G114" s="79">
        <v>0</v>
      </c>
    </row>
    <row r="115" spans="1:7" ht="15" customHeight="1">
      <c r="A115" s="76" t="s">
        <v>450</v>
      </c>
      <c r="B115" s="65" t="s">
        <v>450</v>
      </c>
      <c r="C115" s="65" t="s">
        <v>450</v>
      </c>
      <c r="D115" s="68" t="s">
        <v>350</v>
      </c>
      <c r="E115" s="189" t="s">
        <v>450</v>
      </c>
      <c r="F115" s="189"/>
      <c r="G115" s="79">
        <v>85.7</v>
      </c>
    </row>
    <row r="116" spans="1:7" ht="15" customHeight="1">
      <c r="A116" s="76" t="s">
        <v>450</v>
      </c>
      <c r="B116" s="65" t="s">
        <v>450</v>
      </c>
      <c r="C116" s="65" t="s">
        <v>450</v>
      </c>
      <c r="D116" s="68" t="s">
        <v>265</v>
      </c>
      <c r="E116" s="189" t="s">
        <v>450</v>
      </c>
      <c r="F116" s="189"/>
      <c r="G116" s="79">
        <v>0</v>
      </c>
    </row>
    <row r="117" spans="1:7" ht="15" customHeight="1">
      <c r="A117" s="76" t="s">
        <v>450</v>
      </c>
      <c r="B117" s="65" t="s">
        <v>450</v>
      </c>
      <c r="C117" s="65" t="s">
        <v>450</v>
      </c>
      <c r="D117" s="68" t="s">
        <v>297</v>
      </c>
      <c r="E117" s="189" t="s">
        <v>450</v>
      </c>
      <c r="F117" s="189"/>
      <c r="G117" s="79">
        <v>202.4</v>
      </c>
    </row>
    <row r="118" spans="1:7" ht="15" customHeight="1">
      <c r="A118" s="76" t="s">
        <v>450</v>
      </c>
      <c r="B118" s="65" t="s">
        <v>450</v>
      </c>
      <c r="C118" s="65" t="s">
        <v>450</v>
      </c>
      <c r="D118" s="68" t="s">
        <v>312</v>
      </c>
      <c r="E118" s="189" t="s">
        <v>450</v>
      </c>
      <c r="F118" s="189"/>
      <c r="G118" s="79">
        <v>0</v>
      </c>
    </row>
    <row r="119" spans="1:7" ht="15" customHeight="1">
      <c r="A119" s="76" t="s">
        <v>450</v>
      </c>
      <c r="B119" s="65" t="s">
        <v>450</v>
      </c>
      <c r="C119" s="65" t="s">
        <v>450</v>
      </c>
      <c r="D119" s="68" t="s">
        <v>485</v>
      </c>
      <c r="E119" s="189" t="s">
        <v>450</v>
      </c>
      <c r="F119" s="189"/>
      <c r="G119" s="79">
        <v>206.3</v>
      </c>
    </row>
    <row r="120" spans="1:7" ht="15" customHeight="1">
      <c r="A120" s="76" t="s">
        <v>633</v>
      </c>
      <c r="B120" s="65" t="s">
        <v>450</v>
      </c>
      <c r="C120" s="65" t="s">
        <v>577</v>
      </c>
      <c r="D120" s="174" t="s">
        <v>2</v>
      </c>
      <c r="E120" s="174"/>
      <c r="F120" s="65" t="s">
        <v>635</v>
      </c>
      <c r="G120" s="77">
        <v>494.40000000000003</v>
      </c>
    </row>
    <row r="121" spans="1:7" ht="15" customHeight="1">
      <c r="A121" s="78"/>
      <c r="B121" s="58"/>
      <c r="C121" s="58"/>
      <c r="D121" s="68" t="s">
        <v>216</v>
      </c>
      <c r="E121" s="189" t="s">
        <v>450</v>
      </c>
      <c r="F121" s="189"/>
      <c r="G121" s="79">
        <v>0</v>
      </c>
    </row>
    <row r="122" spans="1:7" ht="15" customHeight="1">
      <c r="A122" s="76" t="s">
        <v>450</v>
      </c>
      <c r="B122" s="65" t="s">
        <v>450</v>
      </c>
      <c r="C122" s="65" t="s">
        <v>450</v>
      </c>
      <c r="D122" s="68" t="s">
        <v>350</v>
      </c>
      <c r="E122" s="189" t="s">
        <v>450</v>
      </c>
      <c r="F122" s="189"/>
      <c r="G122" s="79">
        <v>85.7</v>
      </c>
    </row>
    <row r="123" spans="1:7" ht="15" customHeight="1">
      <c r="A123" s="76" t="s">
        <v>450</v>
      </c>
      <c r="B123" s="65" t="s">
        <v>450</v>
      </c>
      <c r="C123" s="65" t="s">
        <v>450</v>
      </c>
      <c r="D123" s="68" t="s">
        <v>265</v>
      </c>
      <c r="E123" s="189" t="s">
        <v>450</v>
      </c>
      <c r="F123" s="189"/>
      <c r="G123" s="79">
        <v>0</v>
      </c>
    </row>
    <row r="124" spans="1:7" ht="15" customHeight="1">
      <c r="A124" s="76" t="s">
        <v>450</v>
      </c>
      <c r="B124" s="65" t="s">
        <v>450</v>
      </c>
      <c r="C124" s="65" t="s">
        <v>450</v>
      </c>
      <c r="D124" s="68" t="s">
        <v>297</v>
      </c>
      <c r="E124" s="189" t="s">
        <v>450</v>
      </c>
      <c r="F124" s="189"/>
      <c r="G124" s="79">
        <v>202.4</v>
      </c>
    </row>
    <row r="125" spans="1:7" ht="15" customHeight="1">
      <c r="A125" s="76" t="s">
        <v>450</v>
      </c>
      <c r="B125" s="65" t="s">
        <v>450</v>
      </c>
      <c r="C125" s="65" t="s">
        <v>450</v>
      </c>
      <c r="D125" s="68" t="s">
        <v>312</v>
      </c>
      <c r="E125" s="189" t="s">
        <v>450</v>
      </c>
      <c r="F125" s="189"/>
      <c r="G125" s="79">
        <v>0</v>
      </c>
    </row>
    <row r="126" spans="1:7" ht="15" customHeight="1">
      <c r="A126" s="76" t="s">
        <v>450</v>
      </c>
      <c r="B126" s="65" t="s">
        <v>450</v>
      </c>
      <c r="C126" s="65" t="s">
        <v>450</v>
      </c>
      <c r="D126" s="68" t="s">
        <v>485</v>
      </c>
      <c r="E126" s="189" t="s">
        <v>450</v>
      </c>
      <c r="F126" s="189"/>
      <c r="G126" s="79">
        <v>206.3</v>
      </c>
    </row>
    <row r="127" spans="1:7" ht="15" customHeight="1">
      <c r="A127" s="76" t="s">
        <v>397</v>
      </c>
      <c r="B127" s="65" t="s">
        <v>450</v>
      </c>
      <c r="C127" s="65" t="s">
        <v>726</v>
      </c>
      <c r="D127" s="174" t="s">
        <v>609</v>
      </c>
      <c r="E127" s="174"/>
      <c r="F127" s="65" t="s">
        <v>635</v>
      </c>
      <c r="G127" s="77">
        <v>51.2</v>
      </c>
    </row>
    <row r="128" spans="1:7" ht="15" customHeight="1">
      <c r="A128" s="78"/>
      <c r="B128" s="58"/>
      <c r="C128" s="58"/>
      <c r="D128" s="68" t="s">
        <v>454</v>
      </c>
      <c r="E128" s="189" t="s">
        <v>450</v>
      </c>
      <c r="F128" s="189"/>
      <c r="G128" s="79">
        <v>51.2</v>
      </c>
    </row>
    <row r="129" spans="1:7" ht="15" customHeight="1">
      <c r="A129" s="76" t="s">
        <v>424</v>
      </c>
      <c r="B129" s="65" t="s">
        <v>450</v>
      </c>
      <c r="C129" s="65" t="s">
        <v>334</v>
      </c>
      <c r="D129" s="174" t="s">
        <v>677</v>
      </c>
      <c r="E129" s="174"/>
      <c r="F129" s="65" t="s">
        <v>538</v>
      </c>
      <c r="G129" s="77">
        <v>72.80000000000001</v>
      </c>
    </row>
    <row r="130" spans="1:7" ht="15" customHeight="1">
      <c r="A130" s="78"/>
      <c r="B130" s="58"/>
      <c r="C130" s="58"/>
      <c r="D130" s="68" t="s">
        <v>649</v>
      </c>
      <c r="E130" s="189" t="s">
        <v>450</v>
      </c>
      <c r="F130" s="189"/>
      <c r="G130" s="79">
        <v>72.80000000000001</v>
      </c>
    </row>
    <row r="131" spans="1:7" ht="15" customHeight="1">
      <c r="A131" s="76" t="s">
        <v>229</v>
      </c>
      <c r="B131" s="65" t="s">
        <v>450</v>
      </c>
      <c r="C131" s="65" t="s">
        <v>343</v>
      </c>
      <c r="D131" s="174" t="s">
        <v>253</v>
      </c>
      <c r="E131" s="174"/>
      <c r="F131" s="65" t="s">
        <v>538</v>
      </c>
      <c r="G131" s="77">
        <v>15.200000000000001</v>
      </c>
    </row>
    <row r="132" spans="1:7" ht="15" customHeight="1">
      <c r="A132" s="78"/>
      <c r="B132" s="58"/>
      <c r="C132" s="58"/>
      <c r="D132" s="68" t="s">
        <v>446</v>
      </c>
      <c r="E132" s="189" t="s">
        <v>450</v>
      </c>
      <c r="F132" s="189"/>
      <c r="G132" s="79">
        <v>15.200000000000001</v>
      </c>
    </row>
    <row r="133" spans="1:7" ht="15" customHeight="1">
      <c r="A133" s="76" t="s">
        <v>637</v>
      </c>
      <c r="B133" s="65" t="s">
        <v>450</v>
      </c>
      <c r="C133" s="65" t="s">
        <v>404</v>
      </c>
      <c r="D133" s="174" t="s">
        <v>162</v>
      </c>
      <c r="E133" s="174"/>
      <c r="F133" s="65" t="s">
        <v>538</v>
      </c>
      <c r="G133" s="77">
        <v>62.60000000000001</v>
      </c>
    </row>
    <row r="134" spans="1:7" ht="15" customHeight="1">
      <c r="A134" s="78"/>
      <c r="B134" s="58"/>
      <c r="C134" s="58"/>
      <c r="D134" s="68" t="s">
        <v>138</v>
      </c>
      <c r="E134" s="189" t="s">
        <v>450</v>
      </c>
      <c r="F134" s="189"/>
      <c r="G134" s="79">
        <v>62.60000000000001</v>
      </c>
    </row>
    <row r="135" spans="1:7" ht="15" customHeight="1">
      <c r="A135" s="76" t="s">
        <v>119</v>
      </c>
      <c r="B135" s="65" t="s">
        <v>450</v>
      </c>
      <c r="C135" s="65" t="s">
        <v>461</v>
      </c>
      <c r="D135" s="174" t="s">
        <v>223</v>
      </c>
      <c r="E135" s="174"/>
      <c r="F135" s="65" t="s">
        <v>157</v>
      </c>
      <c r="G135" s="77">
        <v>4</v>
      </c>
    </row>
    <row r="136" spans="1:7" ht="15" customHeight="1">
      <c r="A136" s="78"/>
      <c r="B136" s="58"/>
      <c r="C136" s="58"/>
      <c r="D136" s="68" t="s">
        <v>78</v>
      </c>
      <c r="E136" s="189" t="s">
        <v>450</v>
      </c>
      <c r="F136" s="189"/>
      <c r="G136" s="79">
        <v>4</v>
      </c>
    </row>
    <row r="137" spans="1:7" ht="15" customHeight="1">
      <c r="A137" s="76" t="s">
        <v>214</v>
      </c>
      <c r="B137" s="65" t="s">
        <v>450</v>
      </c>
      <c r="C137" s="65" t="s">
        <v>22</v>
      </c>
      <c r="D137" s="174" t="s">
        <v>736</v>
      </c>
      <c r="E137" s="174"/>
      <c r="F137" s="65" t="s">
        <v>157</v>
      </c>
      <c r="G137" s="77">
        <v>58.00000000000001</v>
      </c>
    </row>
    <row r="138" spans="1:7" ht="15" customHeight="1">
      <c r="A138" s="78"/>
      <c r="B138" s="58"/>
      <c r="C138" s="58"/>
      <c r="D138" s="68" t="s">
        <v>221</v>
      </c>
      <c r="E138" s="189" t="s">
        <v>450</v>
      </c>
      <c r="F138" s="189"/>
      <c r="G138" s="79">
        <v>58.00000000000001</v>
      </c>
    </row>
    <row r="139" spans="1:7" ht="15" customHeight="1">
      <c r="A139" s="76" t="s">
        <v>291</v>
      </c>
      <c r="B139" s="65" t="s">
        <v>450</v>
      </c>
      <c r="C139" s="65" t="s">
        <v>418</v>
      </c>
      <c r="D139" s="174" t="s">
        <v>627</v>
      </c>
      <c r="E139" s="174"/>
      <c r="F139" s="65" t="s">
        <v>538</v>
      </c>
      <c r="G139" s="77">
        <v>64.30000000000001</v>
      </c>
    </row>
    <row r="140" spans="1:7" ht="15" customHeight="1">
      <c r="A140" s="78"/>
      <c r="B140" s="58"/>
      <c r="C140" s="58"/>
      <c r="D140" s="68" t="s">
        <v>462</v>
      </c>
      <c r="E140" s="189" t="s">
        <v>450</v>
      </c>
      <c r="F140" s="189"/>
      <c r="G140" s="79">
        <v>64.30000000000001</v>
      </c>
    </row>
    <row r="141" spans="1:7" ht="15" customHeight="1">
      <c r="A141" s="76" t="s">
        <v>228</v>
      </c>
      <c r="B141" s="65" t="s">
        <v>450</v>
      </c>
      <c r="C141" s="65" t="s">
        <v>608</v>
      </c>
      <c r="D141" s="174" t="s">
        <v>212</v>
      </c>
      <c r="E141" s="174"/>
      <c r="F141" s="65" t="s">
        <v>157</v>
      </c>
      <c r="G141" s="77">
        <v>5</v>
      </c>
    </row>
    <row r="142" spans="1:7" ht="15" customHeight="1">
      <c r="A142" s="78"/>
      <c r="B142" s="58"/>
      <c r="C142" s="58"/>
      <c r="D142" s="68" t="s">
        <v>355</v>
      </c>
      <c r="E142" s="189" t="s">
        <v>450</v>
      </c>
      <c r="F142" s="189"/>
      <c r="G142" s="79">
        <v>5</v>
      </c>
    </row>
    <row r="143" spans="1:7" ht="15" customHeight="1">
      <c r="A143" s="76" t="s">
        <v>527</v>
      </c>
      <c r="B143" s="65" t="s">
        <v>450</v>
      </c>
      <c r="C143" s="65" t="s">
        <v>15</v>
      </c>
      <c r="D143" s="174" t="s">
        <v>128</v>
      </c>
      <c r="E143" s="174"/>
      <c r="F143" s="65" t="s">
        <v>538</v>
      </c>
      <c r="G143" s="77">
        <v>37.150000000000006</v>
      </c>
    </row>
    <row r="144" spans="1:7" ht="15" customHeight="1">
      <c r="A144" s="78"/>
      <c r="B144" s="58"/>
      <c r="C144" s="58"/>
      <c r="D144" s="68" t="s">
        <v>313</v>
      </c>
      <c r="E144" s="189" t="s">
        <v>450</v>
      </c>
      <c r="F144" s="189"/>
      <c r="G144" s="79">
        <v>30.85</v>
      </c>
    </row>
    <row r="145" spans="1:7" ht="15" customHeight="1">
      <c r="A145" s="76" t="s">
        <v>450</v>
      </c>
      <c r="B145" s="65" t="s">
        <v>450</v>
      </c>
      <c r="C145" s="65" t="s">
        <v>450</v>
      </c>
      <c r="D145" s="68" t="s">
        <v>91</v>
      </c>
      <c r="E145" s="189" t="s">
        <v>450</v>
      </c>
      <c r="F145" s="189"/>
      <c r="G145" s="79">
        <v>6.300000000000001</v>
      </c>
    </row>
    <row r="146" spans="1:7" ht="15" customHeight="1">
      <c r="A146" s="76" t="s">
        <v>669</v>
      </c>
      <c r="B146" s="65" t="s">
        <v>450</v>
      </c>
      <c r="C146" s="65" t="s">
        <v>626</v>
      </c>
      <c r="D146" s="174" t="s">
        <v>497</v>
      </c>
      <c r="E146" s="174"/>
      <c r="F146" s="65" t="s">
        <v>157</v>
      </c>
      <c r="G146" s="77">
        <v>3.0000000000000004</v>
      </c>
    </row>
    <row r="147" spans="1:7" ht="15" customHeight="1">
      <c r="A147" s="76" t="s">
        <v>41</v>
      </c>
      <c r="B147" s="65" t="s">
        <v>450</v>
      </c>
      <c r="C147" s="65" t="s">
        <v>260</v>
      </c>
      <c r="D147" s="174" t="s">
        <v>270</v>
      </c>
      <c r="E147" s="174"/>
      <c r="F147" s="65" t="s">
        <v>538</v>
      </c>
      <c r="G147" s="77">
        <v>61.800000000000004</v>
      </c>
    </row>
    <row r="148" spans="1:7" ht="15" customHeight="1">
      <c r="A148" s="78"/>
      <c r="B148" s="58"/>
      <c r="C148" s="58"/>
      <c r="D148" s="68" t="s">
        <v>63</v>
      </c>
      <c r="E148" s="189" t="s">
        <v>450</v>
      </c>
      <c r="F148" s="189"/>
      <c r="G148" s="79">
        <v>61.800000000000004</v>
      </c>
    </row>
    <row r="149" spans="1:7" ht="15" customHeight="1">
      <c r="A149" s="76" t="s">
        <v>506</v>
      </c>
      <c r="B149" s="65" t="s">
        <v>450</v>
      </c>
      <c r="C149" s="65" t="s">
        <v>469</v>
      </c>
      <c r="D149" s="174" t="s">
        <v>624</v>
      </c>
      <c r="E149" s="174"/>
      <c r="F149" s="65" t="s">
        <v>635</v>
      </c>
      <c r="G149" s="77">
        <v>52.374</v>
      </c>
    </row>
    <row r="150" spans="1:7" ht="15" customHeight="1">
      <c r="A150" s="78"/>
      <c r="B150" s="58"/>
      <c r="C150" s="58"/>
      <c r="D150" s="68" t="s">
        <v>661</v>
      </c>
      <c r="E150" s="189" t="s">
        <v>450</v>
      </c>
      <c r="F150" s="189"/>
      <c r="G150" s="79">
        <v>52.374</v>
      </c>
    </row>
    <row r="151" spans="1:7" ht="15" customHeight="1">
      <c r="A151" s="76" t="s">
        <v>536</v>
      </c>
      <c r="B151" s="65" t="s">
        <v>450</v>
      </c>
      <c r="C151" s="65" t="s">
        <v>730</v>
      </c>
      <c r="D151" s="174" t="s">
        <v>651</v>
      </c>
      <c r="E151" s="174"/>
      <c r="F151" s="65" t="s">
        <v>538</v>
      </c>
      <c r="G151" s="77">
        <v>1.6400000000000001</v>
      </c>
    </row>
    <row r="152" spans="1:7" ht="15" customHeight="1">
      <c r="A152" s="78"/>
      <c r="B152" s="58"/>
      <c r="C152" s="58"/>
      <c r="D152" s="68" t="s">
        <v>70</v>
      </c>
      <c r="E152" s="189" t="s">
        <v>450</v>
      </c>
      <c r="F152" s="189"/>
      <c r="G152" s="79">
        <v>1.6400000000000001</v>
      </c>
    </row>
    <row r="153" spans="1:7" ht="15" customHeight="1">
      <c r="A153" s="76" t="s">
        <v>281</v>
      </c>
      <c r="B153" s="65" t="s">
        <v>450</v>
      </c>
      <c r="C153" s="65" t="s">
        <v>287</v>
      </c>
      <c r="D153" s="174" t="s">
        <v>568</v>
      </c>
      <c r="E153" s="174"/>
      <c r="F153" s="65" t="s">
        <v>635</v>
      </c>
      <c r="G153" s="77">
        <v>319.76375</v>
      </c>
    </row>
    <row r="154" spans="1:7" ht="15" customHeight="1">
      <c r="A154" s="78"/>
      <c r="B154" s="58"/>
      <c r="C154" s="58"/>
      <c r="D154" s="68" t="s">
        <v>72</v>
      </c>
      <c r="E154" s="189" t="s">
        <v>450</v>
      </c>
      <c r="F154" s="189"/>
      <c r="G154" s="79">
        <v>183.64875</v>
      </c>
    </row>
    <row r="155" spans="1:7" ht="15" customHeight="1">
      <c r="A155" s="76" t="s">
        <v>450</v>
      </c>
      <c r="B155" s="65" t="s">
        <v>450</v>
      </c>
      <c r="C155" s="65" t="s">
        <v>450</v>
      </c>
      <c r="D155" s="68" t="s">
        <v>562</v>
      </c>
      <c r="E155" s="189" t="s">
        <v>450</v>
      </c>
      <c r="F155" s="189"/>
      <c r="G155" s="79">
        <v>136.115</v>
      </c>
    </row>
    <row r="156" spans="1:7" ht="15" customHeight="1">
      <c r="A156" s="76" t="s">
        <v>277</v>
      </c>
      <c r="B156" s="65" t="s">
        <v>450</v>
      </c>
      <c r="C156" s="65" t="s">
        <v>501</v>
      </c>
      <c r="D156" s="174" t="s">
        <v>368</v>
      </c>
      <c r="E156" s="174"/>
      <c r="F156" s="65" t="s">
        <v>635</v>
      </c>
      <c r="G156" s="77">
        <v>9.0667</v>
      </c>
    </row>
    <row r="157" spans="1:7" ht="15" customHeight="1">
      <c r="A157" s="78"/>
      <c r="B157" s="58"/>
      <c r="C157" s="58"/>
      <c r="D157" s="68" t="s">
        <v>617</v>
      </c>
      <c r="E157" s="189" t="s">
        <v>450</v>
      </c>
      <c r="F157" s="189"/>
      <c r="G157" s="79">
        <v>9.0667</v>
      </c>
    </row>
    <row r="158" spans="1:7" ht="15" customHeight="1">
      <c r="A158" s="76" t="s">
        <v>318</v>
      </c>
      <c r="B158" s="65" t="s">
        <v>450</v>
      </c>
      <c r="C158" s="65" t="s">
        <v>655</v>
      </c>
      <c r="D158" s="174" t="s">
        <v>179</v>
      </c>
      <c r="E158" s="174"/>
      <c r="F158" s="65" t="s">
        <v>538</v>
      </c>
      <c r="G158" s="77">
        <v>5.95</v>
      </c>
    </row>
    <row r="159" spans="1:7" ht="15" customHeight="1">
      <c r="A159" s="78"/>
      <c r="B159" s="58"/>
      <c r="C159" s="58"/>
      <c r="D159" s="68" t="s">
        <v>262</v>
      </c>
      <c r="E159" s="189" t="s">
        <v>450</v>
      </c>
      <c r="F159" s="189"/>
      <c r="G159" s="79">
        <v>5.95</v>
      </c>
    </row>
    <row r="160" spans="1:7" ht="15" customHeight="1">
      <c r="A160" s="76" t="s">
        <v>591</v>
      </c>
      <c r="B160" s="65" t="s">
        <v>450</v>
      </c>
      <c r="C160" s="65" t="s">
        <v>408</v>
      </c>
      <c r="D160" s="174" t="s">
        <v>648</v>
      </c>
      <c r="E160" s="174"/>
      <c r="F160" s="65" t="s">
        <v>538</v>
      </c>
      <c r="G160" s="77">
        <v>6.000000000000001</v>
      </c>
    </row>
    <row r="161" spans="1:7" ht="15" customHeight="1">
      <c r="A161" s="78"/>
      <c r="B161" s="58"/>
      <c r="C161" s="58"/>
      <c r="D161" s="68" t="s">
        <v>718</v>
      </c>
      <c r="E161" s="189" t="s">
        <v>450</v>
      </c>
      <c r="F161" s="189"/>
      <c r="G161" s="79">
        <v>6.000000000000001</v>
      </c>
    </row>
    <row r="162" spans="1:7" ht="15" customHeight="1">
      <c r="A162" s="76" t="s">
        <v>434</v>
      </c>
      <c r="B162" s="65" t="s">
        <v>450</v>
      </c>
      <c r="C162" s="65" t="s">
        <v>437</v>
      </c>
      <c r="D162" s="174" t="s">
        <v>73</v>
      </c>
      <c r="E162" s="174"/>
      <c r="F162" s="65" t="s">
        <v>157</v>
      </c>
      <c r="G162" s="77">
        <v>1</v>
      </c>
    </row>
    <row r="163" spans="1:7" ht="15" customHeight="1">
      <c r="A163" s="78"/>
      <c r="B163" s="58"/>
      <c r="C163" s="58"/>
      <c r="D163" s="68" t="s">
        <v>644</v>
      </c>
      <c r="E163" s="189" t="s">
        <v>450</v>
      </c>
      <c r="F163" s="189"/>
      <c r="G163" s="79">
        <v>1</v>
      </c>
    </row>
    <row r="164" spans="1:7" ht="15" customHeight="1">
      <c r="A164" s="76" t="s">
        <v>414</v>
      </c>
      <c r="B164" s="65" t="s">
        <v>450</v>
      </c>
      <c r="C164" s="65" t="s">
        <v>556</v>
      </c>
      <c r="D164" s="174" t="s">
        <v>732</v>
      </c>
      <c r="E164" s="174"/>
      <c r="F164" s="65" t="s">
        <v>603</v>
      </c>
      <c r="G164" s="77">
        <v>500.00000000000006</v>
      </c>
    </row>
    <row r="165" spans="1:7" ht="15" customHeight="1">
      <c r="A165" s="78"/>
      <c r="B165" s="58"/>
      <c r="C165" s="58"/>
      <c r="D165" s="68" t="s">
        <v>541</v>
      </c>
      <c r="E165" s="189" t="s">
        <v>450</v>
      </c>
      <c r="F165" s="189"/>
      <c r="G165" s="79">
        <v>500.00000000000006</v>
      </c>
    </row>
    <row r="166" spans="1:7" ht="15" customHeight="1">
      <c r="A166" s="76" t="s">
        <v>606</v>
      </c>
      <c r="B166" s="65" t="s">
        <v>450</v>
      </c>
      <c r="C166" s="65" t="s">
        <v>326</v>
      </c>
      <c r="D166" s="174" t="s">
        <v>438</v>
      </c>
      <c r="E166" s="174"/>
      <c r="F166" s="65" t="s">
        <v>635</v>
      </c>
      <c r="G166" s="77">
        <v>340.3</v>
      </c>
    </row>
    <row r="167" spans="1:7" ht="15" customHeight="1">
      <c r="A167" s="78"/>
      <c r="B167" s="58"/>
      <c r="C167" s="58"/>
      <c r="D167" s="68" t="s">
        <v>145</v>
      </c>
      <c r="E167" s="189" t="s">
        <v>450</v>
      </c>
      <c r="F167" s="189"/>
      <c r="G167" s="79">
        <v>56.6</v>
      </c>
    </row>
    <row r="168" spans="1:7" ht="15" customHeight="1">
      <c r="A168" s="76" t="s">
        <v>450</v>
      </c>
      <c r="B168" s="65" t="s">
        <v>450</v>
      </c>
      <c r="C168" s="65" t="s">
        <v>450</v>
      </c>
      <c r="D168" s="68" t="s">
        <v>712</v>
      </c>
      <c r="E168" s="189" t="s">
        <v>450</v>
      </c>
      <c r="F168" s="189"/>
      <c r="G168" s="79">
        <v>139.10000000000002</v>
      </c>
    </row>
    <row r="169" spans="1:7" ht="15" customHeight="1">
      <c r="A169" s="76" t="s">
        <v>450</v>
      </c>
      <c r="B169" s="65" t="s">
        <v>450</v>
      </c>
      <c r="C169" s="65" t="s">
        <v>450</v>
      </c>
      <c r="D169" s="68" t="s">
        <v>369</v>
      </c>
      <c r="E169" s="189" t="s">
        <v>450</v>
      </c>
      <c r="F169" s="189"/>
      <c r="G169" s="79">
        <v>144.60000000000002</v>
      </c>
    </row>
    <row r="170" spans="1:7" ht="15" customHeight="1">
      <c r="A170" s="76" t="s">
        <v>382</v>
      </c>
      <c r="B170" s="65" t="s">
        <v>450</v>
      </c>
      <c r="C170" s="65" t="s">
        <v>428</v>
      </c>
      <c r="D170" s="174" t="s">
        <v>616</v>
      </c>
      <c r="E170" s="174"/>
      <c r="F170" s="65" t="s">
        <v>635</v>
      </c>
      <c r="G170" s="77">
        <v>642.2</v>
      </c>
    </row>
    <row r="171" spans="1:7" ht="15" customHeight="1">
      <c r="A171" s="78"/>
      <c r="B171" s="58"/>
      <c r="C171" s="58"/>
      <c r="D171" s="68" t="s">
        <v>4</v>
      </c>
      <c r="E171" s="189" t="s">
        <v>450</v>
      </c>
      <c r="F171" s="189"/>
      <c r="G171" s="79">
        <v>210.10000000000002</v>
      </c>
    </row>
    <row r="172" spans="1:7" ht="15" customHeight="1">
      <c r="A172" s="76" t="s">
        <v>450</v>
      </c>
      <c r="B172" s="65" t="s">
        <v>450</v>
      </c>
      <c r="C172" s="65" t="s">
        <v>450</v>
      </c>
      <c r="D172" s="68" t="s">
        <v>111</v>
      </c>
      <c r="E172" s="189" t="s">
        <v>450</v>
      </c>
      <c r="F172" s="189"/>
      <c r="G172" s="79">
        <v>284</v>
      </c>
    </row>
    <row r="173" spans="1:7" ht="15" customHeight="1">
      <c r="A173" s="76" t="s">
        <v>450</v>
      </c>
      <c r="B173" s="65" t="s">
        <v>450</v>
      </c>
      <c r="C173" s="65" t="s">
        <v>450</v>
      </c>
      <c r="D173" s="68" t="s">
        <v>324</v>
      </c>
      <c r="E173" s="189" t="s">
        <v>450</v>
      </c>
      <c r="F173" s="189"/>
      <c r="G173" s="79">
        <v>148.10000000000002</v>
      </c>
    </row>
    <row r="174" spans="1:7" ht="15" customHeight="1">
      <c r="A174" s="76" t="s">
        <v>308</v>
      </c>
      <c r="B174" s="65" t="s">
        <v>450</v>
      </c>
      <c r="C174" s="65" t="s">
        <v>219</v>
      </c>
      <c r="D174" s="174" t="s">
        <v>668</v>
      </c>
      <c r="E174" s="174"/>
      <c r="F174" s="65" t="s">
        <v>635</v>
      </c>
      <c r="G174" s="77">
        <v>79.10000000000001</v>
      </c>
    </row>
    <row r="175" spans="1:7" ht="15" customHeight="1">
      <c r="A175" s="78"/>
      <c r="B175" s="58"/>
      <c r="C175" s="58"/>
      <c r="D175" s="68" t="s">
        <v>639</v>
      </c>
      <c r="E175" s="189" t="s">
        <v>450</v>
      </c>
      <c r="F175" s="189"/>
      <c r="G175" s="79">
        <v>79.10000000000001</v>
      </c>
    </row>
    <row r="176" spans="1:7" ht="15" customHeight="1">
      <c r="A176" s="76" t="s">
        <v>84</v>
      </c>
      <c r="B176" s="65" t="s">
        <v>450</v>
      </c>
      <c r="C176" s="65" t="s">
        <v>681</v>
      </c>
      <c r="D176" s="174" t="s">
        <v>51</v>
      </c>
      <c r="E176" s="174"/>
      <c r="F176" s="65" t="s">
        <v>538</v>
      </c>
      <c r="G176" s="77">
        <v>17.5</v>
      </c>
    </row>
    <row r="177" spans="1:7" ht="15" customHeight="1">
      <c r="A177" s="78"/>
      <c r="B177" s="58"/>
      <c r="C177" s="58"/>
      <c r="D177" s="68" t="s">
        <v>521</v>
      </c>
      <c r="E177" s="189" t="s">
        <v>450</v>
      </c>
      <c r="F177" s="189"/>
      <c r="G177" s="79">
        <v>17.5</v>
      </c>
    </row>
    <row r="178" spans="1:7" ht="15" customHeight="1">
      <c r="A178" s="76" t="s">
        <v>466</v>
      </c>
      <c r="B178" s="65" t="s">
        <v>450</v>
      </c>
      <c r="C178" s="65" t="s">
        <v>667</v>
      </c>
      <c r="D178" s="174" t="s">
        <v>525</v>
      </c>
      <c r="E178" s="174"/>
      <c r="F178" s="65" t="s">
        <v>635</v>
      </c>
      <c r="G178" s="77">
        <v>640</v>
      </c>
    </row>
    <row r="179" spans="1:7" ht="15" customHeight="1">
      <c r="A179" s="78"/>
      <c r="B179" s="58"/>
      <c r="C179" s="58"/>
      <c r="D179" s="68" t="s">
        <v>67</v>
      </c>
      <c r="E179" s="189" t="s">
        <v>450</v>
      </c>
      <c r="F179" s="189"/>
      <c r="G179" s="79">
        <v>194.3</v>
      </c>
    </row>
    <row r="180" spans="1:7" ht="15" customHeight="1">
      <c r="A180" s="76" t="s">
        <v>450</v>
      </c>
      <c r="B180" s="65" t="s">
        <v>450</v>
      </c>
      <c r="C180" s="65" t="s">
        <v>450</v>
      </c>
      <c r="D180" s="68" t="s">
        <v>477</v>
      </c>
      <c r="E180" s="189" t="s">
        <v>450</v>
      </c>
      <c r="F180" s="189"/>
      <c r="G180" s="79">
        <v>220.3</v>
      </c>
    </row>
    <row r="181" spans="1:7" ht="15" customHeight="1">
      <c r="A181" s="76" t="s">
        <v>450</v>
      </c>
      <c r="B181" s="65" t="s">
        <v>450</v>
      </c>
      <c r="C181" s="65" t="s">
        <v>450</v>
      </c>
      <c r="D181" s="68" t="s">
        <v>276</v>
      </c>
      <c r="E181" s="189" t="s">
        <v>450</v>
      </c>
      <c r="F181" s="189"/>
      <c r="G181" s="79">
        <v>225.4</v>
      </c>
    </row>
    <row r="182" spans="1:7" ht="15" customHeight="1">
      <c r="A182" s="76" t="s">
        <v>723</v>
      </c>
      <c r="B182" s="65" t="s">
        <v>450</v>
      </c>
      <c r="C182" s="65" t="s">
        <v>389</v>
      </c>
      <c r="D182" s="174" t="s">
        <v>207</v>
      </c>
      <c r="E182" s="174"/>
      <c r="F182" s="65" t="s">
        <v>621</v>
      </c>
      <c r="G182" s="77">
        <v>936.7488000000001</v>
      </c>
    </row>
    <row r="183" spans="1:7" ht="15" customHeight="1">
      <c r="A183" s="78"/>
      <c r="B183" s="58"/>
      <c r="C183" s="58"/>
      <c r="D183" s="68" t="s">
        <v>130</v>
      </c>
      <c r="E183" s="189" t="s">
        <v>450</v>
      </c>
      <c r="F183" s="189"/>
      <c r="G183" s="79">
        <v>936.7488000000001</v>
      </c>
    </row>
    <row r="184" spans="1:7" ht="15" customHeight="1">
      <c r="A184" s="76" t="s">
        <v>143</v>
      </c>
      <c r="B184" s="65" t="s">
        <v>450</v>
      </c>
      <c r="C184" s="65" t="s">
        <v>441</v>
      </c>
      <c r="D184" s="174" t="s">
        <v>168</v>
      </c>
      <c r="E184" s="174"/>
      <c r="F184" s="65" t="s">
        <v>621</v>
      </c>
      <c r="G184" s="77">
        <v>640</v>
      </c>
    </row>
    <row r="185" spans="1:7" ht="15" customHeight="1">
      <c r="A185" s="78"/>
      <c r="B185" s="58"/>
      <c r="C185" s="58"/>
      <c r="D185" s="68" t="s">
        <v>67</v>
      </c>
      <c r="E185" s="189" t="s">
        <v>450</v>
      </c>
      <c r="F185" s="189"/>
      <c r="G185" s="79">
        <v>194.3</v>
      </c>
    </row>
    <row r="186" spans="1:7" ht="15" customHeight="1">
      <c r="A186" s="76" t="s">
        <v>450</v>
      </c>
      <c r="B186" s="65" t="s">
        <v>450</v>
      </c>
      <c r="C186" s="65" t="s">
        <v>450</v>
      </c>
      <c r="D186" s="68" t="s">
        <v>477</v>
      </c>
      <c r="E186" s="189" t="s">
        <v>450</v>
      </c>
      <c r="F186" s="189"/>
      <c r="G186" s="79">
        <v>220.3</v>
      </c>
    </row>
    <row r="187" spans="1:7" ht="15" customHeight="1">
      <c r="A187" s="76" t="s">
        <v>450</v>
      </c>
      <c r="B187" s="65" t="s">
        <v>450</v>
      </c>
      <c r="C187" s="65" t="s">
        <v>450</v>
      </c>
      <c r="D187" s="68" t="s">
        <v>276</v>
      </c>
      <c r="E187" s="189" t="s">
        <v>450</v>
      </c>
      <c r="F187" s="189"/>
      <c r="G187" s="79">
        <v>225.4</v>
      </c>
    </row>
    <row r="188" spans="1:7" ht="15" customHeight="1">
      <c r="A188" s="76" t="s">
        <v>333</v>
      </c>
      <c r="B188" s="65" t="s">
        <v>450</v>
      </c>
      <c r="C188" s="65" t="s">
        <v>442</v>
      </c>
      <c r="D188" s="174" t="s">
        <v>688</v>
      </c>
      <c r="E188" s="174"/>
      <c r="F188" s="65" t="s">
        <v>311</v>
      </c>
      <c r="G188" s="77">
        <v>180.79582000000002</v>
      </c>
    </row>
    <row r="189" spans="1:7" ht="15" customHeight="1">
      <c r="A189" s="76" t="s">
        <v>719</v>
      </c>
      <c r="B189" s="65" t="s">
        <v>450</v>
      </c>
      <c r="C189" s="65" t="s">
        <v>64</v>
      </c>
      <c r="D189" s="174" t="s">
        <v>1</v>
      </c>
      <c r="E189" s="174"/>
      <c r="F189" s="65" t="s">
        <v>621</v>
      </c>
      <c r="G189" s="77">
        <v>28.300500000000003</v>
      </c>
    </row>
    <row r="190" spans="1:7" ht="15" customHeight="1">
      <c r="A190" s="78"/>
      <c r="B190" s="58"/>
      <c r="C190" s="58"/>
      <c r="D190" s="68" t="s">
        <v>367</v>
      </c>
      <c r="E190" s="189" t="s">
        <v>450</v>
      </c>
      <c r="F190" s="189"/>
      <c r="G190" s="79">
        <v>21.009</v>
      </c>
    </row>
    <row r="191" spans="1:7" ht="15" customHeight="1">
      <c r="A191" s="76" t="s">
        <v>450</v>
      </c>
      <c r="B191" s="65" t="s">
        <v>450</v>
      </c>
      <c r="C191" s="65" t="s">
        <v>450</v>
      </c>
      <c r="D191" s="68" t="s">
        <v>18</v>
      </c>
      <c r="E191" s="189" t="s">
        <v>450</v>
      </c>
      <c r="F191" s="189"/>
      <c r="G191" s="79">
        <v>2.7777000000000003</v>
      </c>
    </row>
    <row r="192" spans="1:7" ht="15" customHeight="1">
      <c r="A192" s="76" t="s">
        <v>450</v>
      </c>
      <c r="B192" s="65" t="s">
        <v>450</v>
      </c>
      <c r="C192" s="65" t="s">
        <v>450</v>
      </c>
      <c r="D192" s="68" t="s">
        <v>623</v>
      </c>
      <c r="E192" s="189" t="s">
        <v>450</v>
      </c>
      <c r="F192" s="189"/>
      <c r="G192" s="79">
        <v>1.5789000000000002</v>
      </c>
    </row>
    <row r="193" spans="1:7" ht="15" customHeight="1">
      <c r="A193" s="76" t="s">
        <v>450</v>
      </c>
      <c r="B193" s="65" t="s">
        <v>450</v>
      </c>
      <c r="C193" s="65" t="s">
        <v>450</v>
      </c>
      <c r="D193" s="68" t="s">
        <v>574</v>
      </c>
      <c r="E193" s="189" t="s">
        <v>450</v>
      </c>
      <c r="F193" s="189"/>
      <c r="G193" s="79">
        <v>2.9349000000000003</v>
      </c>
    </row>
    <row r="194" spans="1:7" ht="15" customHeight="1">
      <c r="A194" s="76" t="s">
        <v>678</v>
      </c>
      <c r="B194" s="65" t="s">
        <v>450</v>
      </c>
      <c r="C194" s="65" t="s">
        <v>356</v>
      </c>
      <c r="D194" s="174" t="s">
        <v>586</v>
      </c>
      <c r="E194" s="174"/>
      <c r="F194" s="65" t="s">
        <v>621</v>
      </c>
      <c r="G194" s="77">
        <v>92.40751</v>
      </c>
    </row>
    <row r="195" spans="1:7" ht="15" customHeight="1">
      <c r="A195" s="78"/>
      <c r="B195" s="58"/>
      <c r="C195" s="58"/>
      <c r="D195" s="68" t="s">
        <v>279</v>
      </c>
      <c r="E195" s="189" t="s">
        <v>450</v>
      </c>
      <c r="F195" s="189"/>
      <c r="G195" s="79">
        <v>27.613000000000003</v>
      </c>
    </row>
    <row r="196" spans="1:7" ht="15" customHeight="1">
      <c r="A196" s="76" t="s">
        <v>450</v>
      </c>
      <c r="B196" s="65" t="s">
        <v>450</v>
      </c>
      <c r="C196" s="65" t="s">
        <v>450</v>
      </c>
      <c r="D196" s="68" t="s">
        <v>597</v>
      </c>
      <c r="E196" s="189" t="s">
        <v>450</v>
      </c>
      <c r="F196" s="189"/>
      <c r="G196" s="79">
        <v>13.933800000000002</v>
      </c>
    </row>
    <row r="197" spans="1:7" ht="15" customHeight="1">
      <c r="A197" s="76" t="s">
        <v>450</v>
      </c>
      <c r="B197" s="65" t="s">
        <v>450</v>
      </c>
      <c r="C197" s="65" t="s">
        <v>450</v>
      </c>
      <c r="D197" s="68" t="s">
        <v>377</v>
      </c>
      <c r="E197" s="189" t="s">
        <v>450</v>
      </c>
      <c r="F197" s="189"/>
      <c r="G197" s="79">
        <v>9.091050000000001</v>
      </c>
    </row>
    <row r="198" spans="1:7" ht="15" customHeight="1">
      <c r="A198" s="76" t="s">
        <v>450</v>
      </c>
      <c r="B198" s="65" t="s">
        <v>450</v>
      </c>
      <c r="C198" s="65" t="s">
        <v>450</v>
      </c>
      <c r="D198" s="68" t="s">
        <v>146</v>
      </c>
      <c r="E198" s="189" t="s">
        <v>450</v>
      </c>
      <c r="F198" s="189"/>
      <c r="G198" s="79">
        <v>6.71938</v>
      </c>
    </row>
    <row r="199" spans="1:7" ht="15" customHeight="1">
      <c r="A199" s="76" t="s">
        <v>450</v>
      </c>
      <c r="B199" s="65" t="s">
        <v>450</v>
      </c>
      <c r="C199" s="65" t="s">
        <v>450</v>
      </c>
      <c r="D199" s="68" t="s">
        <v>46</v>
      </c>
      <c r="E199" s="189" t="s">
        <v>450</v>
      </c>
      <c r="F199" s="189"/>
      <c r="G199" s="79">
        <v>7.280850000000001</v>
      </c>
    </row>
    <row r="200" spans="1:7" ht="15" customHeight="1">
      <c r="A200" s="76" t="s">
        <v>450</v>
      </c>
      <c r="B200" s="65" t="s">
        <v>450</v>
      </c>
      <c r="C200" s="65" t="s">
        <v>450</v>
      </c>
      <c r="D200" s="68" t="s">
        <v>357</v>
      </c>
      <c r="E200" s="189" t="s">
        <v>450</v>
      </c>
      <c r="F200" s="189"/>
      <c r="G200" s="79">
        <v>1.6890200000000002</v>
      </c>
    </row>
    <row r="201" spans="1:7" ht="15" customHeight="1">
      <c r="A201" s="76" t="s">
        <v>450</v>
      </c>
      <c r="B201" s="65" t="s">
        <v>450</v>
      </c>
      <c r="C201" s="65" t="s">
        <v>450</v>
      </c>
      <c r="D201" s="68" t="s">
        <v>593</v>
      </c>
      <c r="E201" s="189" t="s">
        <v>450</v>
      </c>
      <c r="F201" s="189"/>
      <c r="G201" s="79">
        <v>1.7526000000000002</v>
      </c>
    </row>
    <row r="202" spans="1:7" ht="15" customHeight="1">
      <c r="A202" s="76" t="s">
        <v>450</v>
      </c>
      <c r="B202" s="65" t="s">
        <v>450</v>
      </c>
      <c r="C202" s="65" t="s">
        <v>450</v>
      </c>
      <c r="D202" s="68" t="s">
        <v>401</v>
      </c>
      <c r="E202" s="189" t="s">
        <v>450</v>
      </c>
      <c r="F202" s="189"/>
      <c r="G202" s="79">
        <v>5.27463</v>
      </c>
    </row>
    <row r="203" spans="1:7" ht="15" customHeight="1">
      <c r="A203" s="76" t="s">
        <v>450</v>
      </c>
      <c r="B203" s="65" t="s">
        <v>450</v>
      </c>
      <c r="C203" s="65" t="s">
        <v>450</v>
      </c>
      <c r="D203" s="68" t="s">
        <v>25</v>
      </c>
      <c r="E203" s="189" t="s">
        <v>450</v>
      </c>
      <c r="F203" s="189"/>
      <c r="G203" s="79">
        <v>1.5591800000000002</v>
      </c>
    </row>
    <row r="204" spans="1:7" ht="15" customHeight="1">
      <c r="A204" s="76" t="s">
        <v>450</v>
      </c>
      <c r="B204" s="65" t="s">
        <v>450</v>
      </c>
      <c r="C204" s="65" t="s">
        <v>450</v>
      </c>
      <c r="D204" s="68" t="s">
        <v>566</v>
      </c>
      <c r="E204" s="189" t="s">
        <v>450</v>
      </c>
      <c r="F204" s="189"/>
      <c r="G204" s="79">
        <v>11.474</v>
      </c>
    </row>
    <row r="205" spans="1:7" ht="15" customHeight="1">
      <c r="A205" s="76" t="s">
        <v>450</v>
      </c>
      <c r="B205" s="65" t="s">
        <v>450</v>
      </c>
      <c r="C205" s="65" t="s">
        <v>450</v>
      </c>
      <c r="D205" s="68" t="s">
        <v>120</v>
      </c>
      <c r="E205" s="189" t="s">
        <v>450</v>
      </c>
      <c r="F205" s="189"/>
      <c r="G205" s="79">
        <v>6.0200000000000005</v>
      </c>
    </row>
    <row r="206" spans="1:7" ht="15" customHeight="1">
      <c r="A206" s="76" t="s">
        <v>9</v>
      </c>
      <c r="B206" s="65" t="s">
        <v>450</v>
      </c>
      <c r="C206" s="65" t="s">
        <v>500</v>
      </c>
      <c r="D206" s="174" t="s">
        <v>725</v>
      </c>
      <c r="E206" s="174"/>
      <c r="F206" s="65" t="s">
        <v>635</v>
      </c>
      <c r="G206" s="77">
        <v>28.076800000000002</v>
      </c>
    </row>
    <row r="207" spans="1:7" ht="15" customHeight="1">
      <c r="A207" s="78"/>
      <c r="B207" s="58"/>
      <c r="C207" s="58"/>
      <c r="D207" s="68" t="s">
        <v>265</v>
      </c>
      <c r="E207" s="189" t="s">
        <v>450</v>
      </c>
      <c r="F207" s="189"/>
      <c r="G207" s="79">
        <v>0</v>
      </c>
    </row>
    <row r="208" spans="1:7" ht="15" customHeight="1">
      <c r="A208" s="76" t="s">
        <v>450</v>
      </c>
      <c r="B208" s="65" t="s">
        <v>450</v>
      </c>
      <c r="C208" s="65" t="s">
        <v>450</v>
      </c>
      <c r="D208" s="68" t="s">
        <v>492</v>
      </c>
      <c r="E208" s="189" t="s">
        <v>450</v>
      </c>
      <c r="F208" s="189"/>
      <c r="G208" s="79">
        <v>17.294800000000002</v>
      </c>
    </row>
    <row r="209" spans="1:7" ht="15" customHeight="1">
      <c r="A209" s="76" t="s">
        <v>450</v>
      </c>
      <c r="B209" s="65" t="s">
        <v>450</v>
      </c>
      <c r="C209" s="65" t="s">
        <v>450</v>
      </c>
      <c r="D209" s="68" t="s">
        <v>312</v>
      </c>
      <c r="E209" s="189" t="s">
        <v>450</v>
      </c>
      <c r="F209" s="189"/>
      <c r="G209" s="79">
        <v>0</v>
      </c>
    </row>
    <row r="210" spans="1:7" ht="15" customHeight="1">
      <c r="A210" s="76" t="s">
        <v>450</v>
      </c>
      <c r="B210" s="65" t="s">
        <v>450</v>
      </c>
      <c r="C210" s="65" t="s">
        <v>450</v>
      </c>
      <c r="D210" s="68" t="s">
        <v>154</v>
      </c>
      <c r="E210" s="189" t="s">
        <v>450</v>
      </c>
      <c r="F210" s="189"/>
      <c r="G210" s="79">
        <v>10.782</v>
      </c>
    </row>
    <row r="211" spans="1:7" ht="15" customHeight="1">
      <c r="A211" s="76" t="s">
        <v>113</v>
      </c>
      <c r="B211" s="65" t="s">
        <v>450</v>
      </c>
      <c r="C211" s="65" t="s">
        <v>109</v>
      </c>
      <c r="D211" s="174" t="s">
        <v>630</v>
      </c>
      <c r="E211" s="174"/>
      <c r="F211" s="65" t="s">
        <v>635</v>
      </c>
      <c r="G211" s="77">
        <v>93.73190000000001</v>
      </c>
    </row>
    <row r="212" spans="1:7" ht="15" customHeight="1">
      <c r="A212" s="78"/>
      <c r="B212" s="58"/>
      <c r="C212" s="58"/>
      <c r="D212" s="68" t="s">
        <v>216</v>
      </c>
      <c r="E212" s="189" t="s">
        <v>450</v>
      </c>
      <c r="F212" s="189"/>
      <c r="G212" s="79">
        <v>0</v>
      </c>
    </row>
    <row r="213" spans="1:7" ht="15" customHeight="1">
      <c r="A213" s="76" t="s">
        <v>450</v>
      </c>
      <c r="B213" s="65" t="s">
        <v>450</v>
      </c>
      <c r="C213" s="65" t="s">
        <v>450</v>
      </c>
      <c r="D213" s="68" t="s">
        <v>400</v>
      </c>
      <c r="E213" s="189" t="s">
        <v>450</v>
      </c>
      <c r="F213" s="189"/>
      <c r="G213" s="79">
        <v>13.259100000000002</v>
      </c>
    </row>
    <row r="214" spans="1:7" ht="15" customHeight="1">
      <c r="A214" s="76" t="s">
        <v>450</v>
      </c>
      <c r="B214" s="65" t="s">
        <v>450</v>
      </c>
      <c r="C214" s="65" t="s">
        <v>450</v>
      </c>
      <c r="D214" s="68" t="s">
        <v>169</v>
      </c>
      <c r="E214" s="189" t="s">
        <v>450</v>
      </c>
      <c r="F214" s="189"/>
      <c r="G214" s="79">
        <v>6.409800000000001</v>
      </c>
    </row>
    <row r="215" spans="1:7" ht="15" customHeight="1">
      <c r="A215" s="76" t="s">
        <v>450</v>
      </c>
      <c r="B215" s="65" t="s">
        <v>450</v>
      </c>
      <c r="C215" s="65" t="s">
        <v>450</v>
      </c>
      <c r="D215" s="68" t="s">
        <v>265</v>
      </c>
      <c r="E215" s="189" t="s">
        <v>450</v>
      </c>
      <c r="F215" s="189"/>
      <c r="G215" s="79">
        <v>0</v>
      </c>
    </row>
    <row r="216" spans="1:7" ht="15" customHeight="1">
      <c r="A216" s="76" t="s">
        <v>450</v>
      </c>
      <c r="B216" s="65" t="s">
        <v>450</v>
      </c>
      <c r="C216" s="65" t="s">
        <v>450</v>
      </c>
      <c r="D216" s="68" t="s">
        <v>432</v>
      </c>
      <c r="E216" s="189" t="s">
        <v>450</v>
      </c>
      <c r="F216" s="189"/>
      <c r="G216" s="79">
        <v>21.125</v>
      </c>
    </row>
    <row r="217" spans="1:7" ht="15" customHeight="1">
      <c r="A217" s="76" t="s">
        <v>450</v>
      </c>
      <c r="B217" s="65" t="s">
        <v>450</v>
      </c>
      <c r="C217" s="65" t="s">
        <v>450</v>
      </c>
      <c r="D217" s="68" t="s">
        <v>188</v>
      </c>
      <c r="E217" s="189" t="s">
        <v>450</v>
      </c>
      <c r="F217" s="189"/>
      <c r="G217" s="79">
        <v>13.143</v>
      </c>
    </row>
    <row r="218" spans="1:7" ht="15" customHeight="1">
      <c r="A218" s="76" t="s">
        <v>450</v>
      </c>
      <c r="B218" s="65" t="s">
        <v>450</v>
      </c>
      <c r="C218" s="65" t="s">
        <v>450</v>
      </c>
      <c r="D218" s="68" t="s">
        <v>312</v>
      </c>
      <c r="E218" s="189" t="s">
        <v>450</v>
      </c>
      <c r="F218" s="189"/>
      <c r="G218" s="79">
        <v>0</v>
      </c>
    </row>
    <row r="219" spans="1:7" ht="15" customHeight="1">
      <c r="A219" s="76" t="s">
        <v>450</v>
      </c>
      <c r="B219" s="65" t="s">
        <v>450</v>
      </c>
      <c r="C219" s="65" t="s">
        <v>450</v>
      </c>
      <c r="D219" s="68" t="s">
        <v>144</v>
      </c>
      <c r="E219" s="189" t="s">
        <v>450</v>
      </c>
      <c r="F219" s="189"/>
      <c r="G219" s="79">
        <v>22.896</v>
      </c>
    </row>
    <row r="220" spans="1:7" ht="15" customHeight="1">
      <c r="A220" s="76" t="s">
        <v>450</v>
      </c>
      <c r="B220" s="65" t="s">
        <v>450</v>
      </c>
      <c r="C220" s="65" t="s">
        <v>450</v>
      </c>
      <c r="D220" s="68" t="s">
        <v>348</v>
      </c>
      <c r="E220" s="189" t="s">
        <v>450</v>
      </c>
      <c r="F220" s="189"/>
      <c r="G220" s="79">
        <v>16.899</v>
      </c>
    </row>
    <row r="221" spans="1:7" ht="15" customHeight="1">
      <c r="A221" s="76" t="s">
        <v>136</v>
      </c>
      <c r="B221" s="65" t="s">
        <v>450</v>
      </c>
      <c r="C221" s="65" t="s">
        <v>236</v>
      </c>
      <c r="D221" s="174" t="s">
        <v>197</v>
      </c>
      <c r="E221" s="174"/>
      <c r="F221" s="65" t="s">
        <v>635</v>
      </c>
      <c r="G221" s="77">
        <v>50.0043</v>
      </c>
    </row>
    <row r="222" spans="1:7" ht="15" customHeight="1">
      <c r="A222" s="78"/>
      <c r="B222" s="58"/>
      <c r="C222" s="58"/>
      <c r="D222" s="68" t="s">
        <v>216</v>
      </c>
      <c r="E222" s="189" t="s">
        <v>450</v>
      </c>
      <c r="F222" s="189"/>
      <c r="G222" s="79">
        <v>0</v>
      </c>
    </row>
    <row r="223" spans="1:7" ht="15" customHeight="1">
      <c r="A223" s="76" t="s">
        <v>450</v>
      </c>
      <c r="B223" s="65" t="s">
        <v>450</v>
      </c>
      <c r="C223" s="65" t="s">
        <v>450</v>
      </c>
      <c r="D223" s="68" t="s">
        <v>199</v>
      </c>
      <c r="E223" s="189" t="s">
        <v>450</v>
      </c>
      <c r="F223" s="189"/>
      <c r="G223" s="79">
        <v>12.423200000000001</v>
      </c>
    </row>
    <row r="224" spans="1:7" ht="15" customHeight="1">
      <c r="A224" s="76" t="s">
        <v>450</v>
      </c>
      <c r="B224" s="65" t="s">
        <v>450</v>
      </c>
      <c r="C224" s="65" t="s">
        <v>450</v>
      </c>
      <c r="D224" s="68" t="s">
        <v>475</v>
      </c>
      <c r="E224" s="189" t="s">
        <v>450</v>
      </c>
      <c r="F224" s="189"/>
      <c r="G224" s="79">
        <v>0</v>
      </c>
    </row>
    <row r="225" spans="1:7" ht="15" customHeight="1">
      <c r="A225" s="76" t="s">
        <v>450</v>
      </c>
      <c r="B225" s="65" t="s">
        <v>450</v>
      </c>
      <c r="C225" s="65" t="s">
        <v>450</v>
      </c>
      <c r="D225" s="68" t="s">
        <v>551</v>
      </c>
      <c r="E225" s="189" t="s">
        <v>450</v>
      </c>
      <c r="F225" s="189"/>
      <c r="G225" s="79">
        <v>9.245600000000001</v>
      </c>
    </row>
    <row r="226" spans="1:7" ht="15" customHeight="1">
      <c r="A226" s="76" t="s">
        <v>450</v>
      </c>
      <c r="B226" s="65" t="s">
        <v>450</v>
      </c>
      <c r="C226" s="65" t="s">
        <v>450</v>
      </c>
      <c r="D226" s="68" t="s">
        <v>444</v>
      </c>
      <c r="E226" s="189" t="s">
        <v>450</v>
      </c>
      <c r="F226" s="189"/>
      <c r="G226" s="79">
        <v>28.335500000000003</v>
      </c>
    </row>
    <row r="227" spans="1:7" ht="15" customHeight="1">
      <c r="A227" s="76" t="s">
        <v>517</v>
      </c>
      <c r="B227" s="65" t="s">
        <v>450</v>
      </c>
      <c r="C227" s="65" t="s">
        <v>423</v>
      </c>
      <c r="D227" s="174" t="s">
        <v>735</v>
      </c>
      <c r="E227" s="174"/>
      <c r="F227" s="65" t="s">
        <v>538</v>
      </c>
      <c r="G227" s="77">
        <v>7.250000000000001</v>
      </c>
    </row>
    <row r="228" spans="1:7" ht="15" customHeight="1">
      <c r="A228" s="78"/>
      <c r="B228" s="58"/>
      <c r="C228" s="58"/>
      <c r="D228" s="68" t="s">
        <v>332</v>
      </c>
      <c r="E228" s="189" t="s">
        <v>450</v>
      </c>
      <c r="F228" s="189"/>
      <c r="G228" s="79">
        <v>7.250000000000001</v>
      </c>
    </row>
    <row r="229" spans="1:7" ht="15" customHeight="1">
      <c r="A229" s="76" t="s">
        <v>57</v>
      </c>
      <c r="B229" s="65" t="s">
        <v>450</v>
      </c>
      <c r="C229" s="65" t="s">
        <v>378</v>
      </c>
      <c r="D229" s="174" t="s">
        <v>140</v>
      </c>
      <c r="E229" s="174"/>
      <c r="F229" s="65" t="s">
        <v>538</v>
      </c>
      <c r="G229" s="77">
        <v>86.30000000000001</v>
      </c>
    </row>
    <row r="230" spans="1:7" ht="15" customHeight="1">
      <c r="A230" s="78"/>
      <c r="B230" s="58"/>
      <c r="C230" s="58"/>
      <c r="D230" s="68" t="s">
        <v>224</v>
      </c>
      <c r="E230" s="189" t="s">
        <v>450</v>
      </c>
      <c r="F230" s="189"/>
      <c r="G230" s="79">
        <v>86.30000000000001</v>
      </c>
    </row>
    <row r="231" spans="1:7" ht="15" customHeight="1">
      <c r="A231" s="76" t="s">
        <v>507</v>
      </c>
      <c r="B231" s="65" t="s">
        <v>450</v>
      </c>
      <c r="C231" s="65" t="s">
        <v>158</v>
      </c>
      <c r="D231" s="174" t="s">
        <v>289</v>
      </c>
      <c r="E231" s="174"/>
      <c r="F231" s="65" t="s">
        <v>538</v>
      </c>
      <c r="G231" s="77">
        <v>36.1</v>
      </c>
    </row>
    <row r="232" spans="1:7" ht="15" customHeight="1">
      <c r="A232" s="78"/>
      <c r="B232" s="58"/>
      <c r="C232" s="58"/>
      <c r="D232" s="68" t="s">
        <v>155</v>
      </c>
      <c r="E232" s="189" t="s">
        <v>450</v>
      </c>
      <c r="F232" s="189"/>
      <c r="G232" s="79">
        <v>36.1</v>
      </c>
    </row>
    <row r="233" spans="1:7" ht="15" customHeight="1">
      <c r="A233" s="76" t="s">
        <v>407</v>
      </c>
      <c r="B233" s="65" t="s">
        <v>450</v>
      </c>
      <c r="C233" s="65" t="s">
        <v>379</v>
      </c>
      <c r="D233" s="174" t="s">
        <v>398</v>
      </c>
      <c r="E233" s="174"/>
      <c r="F233" s="65" t="s">
        <v>635</v>
      </c>
      <c r="G233" s="77">
        <v>1.2000000000000002</v>
      </c>
    </row>
    <row r="234" spans="1:7" ht="15" customHeight="1">
      <c r="A234" s="78"/>
      <c r="B234" s="58"/>
      <c r="C234" s="58"/>
      <c r="D234" s="68" t="s">
        <v>235</v>
      </c>
      <c r="E234" s="189" t="s">
        <v>450</v>
      </c>
      <c r="F234" s="189"/>
      <c r="G234" s="79">
        <v>1.2000000000000002</v>
      </c>
    </row>
    <row r="235" spans="1:7" ht="15" customHeight="1">
      <c r="A235" s="76" t="s">
        <v>657</v>
      </c>
      <c r="B235" s="65" t="s">
        <v>450</v>
      </c>
      <c r="C235" s="65" t="s">
        <v>325</v>
      </c>
      <c r="D235" s="174" t="s">
        <v>413</v>
      </c>
      <c r="E235" s="174"/>
      <c r="F235" s="65" t="s">
        <v>635</v>
      </c>
      <c r="G235" s="77">
        <v>36.769000000000005</v>
      </c>
    </row>
    <row r="236" spans="1:7" ht="15" customHeight="1">
      <c r="A236" s="78"/>
      <c r="B236" s="58"/>
      <c r="C236" s="58"/>
      <c r="D236" s="68" t="s">
        <v>191</v>
      </c>
      <c r="E236" s="189" t="s">
        <v>450</v>
      </c>
      <c r="F236" s="189"/>
      <c r="G236" s="79">
        <v>0</v>
      </c>
    </row>
    <row r="237" spans="1:7" ht="15" customHeight="1">
      <c r="A237" s="76" t="s">
        <v>450</v>
      </c>
      <c r="B237" s="65" t="s">
        <v>450</v>
      </c>
      <c r="C237" s="65" t="s">
        <v>450</v>
      </c>
      <c r="D237" s="68" t="s">
        <v>576</v>
      </c>
      <c r="E237" s="189" t="s">
        <v>450</v>
      </c>
      <c r="F237" s="189"/>
      <c r="G237" s="79">
        <v>19.437</v>
      </c>
    </row>
    <row r="238" spans="1:7" ht="15" customHeight="1">
      <c r="A238" s="76" t="s">
        <v>450</v>
      </c>
      <c r="B238" s="65" t="s">
        <v>450</v>
      </c>
      <c r="C238" s="65" t="s">
        <v>450</v>
      </c>
      <c r="D238" s="68" t="s">
        <v>216</v>
      </c>
      <c r="E238" s="189" t="s">
        <v>450</v>
      </c>
      <c r="F238" s="189"/>
      <c r="G238" s="79">
        <v>0</v>
      </c>
    </row>
    <row r="239" spans="1:7" ht="15" customHeight="1">
      <c r="A239" s="76" t="s">
        <v>450</v>
      </c>
      <c r="B239" s="65" t="s">
        <v>450</v>
      </c>
      <c r="C239" s="65" t="s">
        <v>450</v>
      </c>
      <c r="D239" s="68" t="s">
        <v>563</v>
      </c>
      <c r="E239" s="189" t="s">
        <v>450</v>
      </c>
      <c r="F239" s="189"/>
      <c r="G239" s="79">
        <v>17.332</v>
      </c>
    </row>
    <row r="240" spans="1:7" ht="15" customHeight="1">
      <c r="A240" s="76" t="s">
        <v>589</v>
      </c>
      <c r="B240" s="65" t="s">
        <v>450</v>
      </c>
      <c r="C240" s="65" t="s">
        <v>337</v>
      </c>
      <c r="D240" s="174" t="s">
        <v>704</v>
      </c>
      <c r="E240" s="174"/>
      <c r="F240" s="65" t="s">
        <v>635</v>
      </c>
      <c r="G240" s="77">
        <v>92.63700000000001</v>
      </c>
    </row>
    <row r="241" spans="1:7" ht="15" customHeight="1">
      <c r="A241" s="78"/>
      <c r="B241" s="58"/>
      <c r="C241" s="58"/>
      <c r="D241" s="68" t="s">
        <v>216</v>
      </c>
      <c r="E241" s="189" t="s">
        <v>450</v>
      </c>
      <c r="F241" s="189"/>
      <c r="G241" s="79">
        <v>0</v>
      </c>
    </row>
    <row r="242" spans="1:7" ht="15" customHeight="1">
      <c r="A242" s="76" t="s">
        <v>450</v>
      </c>
      <c r="B242" s="65" t="s">
        <v>450</v>
      </c>
      <c r="C242" s="65" t="s">
        <v>450</v>
      </c>
      <c r="D242" s="68" t="s">
        <v>656</v>
      </c>
      <c r="E242" s="189" t="s">
        <v>450</v>
      </c>
      <c r="F242" s="189"/>
      <c r="G242" s="79">
        <v>67.83000000000001</v>
      </c>
    </row>
    <row r="243" spans="1:7" ht="15" customHeight="1">
      <c r="A243" s="76" t="s">
        <v>450</v>
      </c>
      <c r="B243" s="65" t="s">
        <v>450</v>
      </c>
      <c r="C243" s="65" t="s">
        <v>450</v>
      </c>
      <c r="D243" s="68" t="s">
        <v>265</v>
      </c>
      <c r="E243" s="189" t="s">
        <v>450</v>
      </c>
      <c r="F243" s="189"/>
      <c r="G243" s="79">
        <v>0</v>
      </c>
    </row>
    <row r="244" spans="1:7" ht="15" customHeight="1">
      <c r="A244" s="76" t="s">
        <v>450</v>
      </c>
      <c r="B244" s="65" t="s">
        <v>450</v>
      </c>
      <c r="C244" s="65" t="s">
        <v>450</v>
      </c>
      <c r="D244" s="68" t="s">
        <v>393</v>
      </c>
      <c r="E244" s="189" t="s">
        <v>450</v>
      </c>
      <c r="F244" s="189"/>
      <c r="G244" s="79">
        <v>6.615</v>
      </c>
    </row>
    <row r="245" spans="1:7" ht="15" customHeight="1">
      <c r="A245" s="76" t="s">
        <v>450</v>
      </c>
      <c r="B245" s="65" t="s">
        <v>450</v>
      </c>
      <c r="C245" s="65" t="s">
        <v>450</v>
      </c>
      <c r="D245" s="68" t="s">
        <v>312</v>
      </c>
      <c r="E245" s="189" t="s">
        <v>450</v>
      </c>
      <c r="F245" s="189"/>
      <c r="G245" s="79">
        <v>0</v>
      </c>
    </row>
    <row r="246" spans="1:7" ht="15" customHeight="1">
      <c r="A246" s="76" t="s">
        <v>450</v>
      </c>
      <c r="B246" s="65" t="s">
        <v>450</v>
      </c>
      <c r="C246" s="65" t="s">
        <v>450</v>
      </c>
      <c r="D246" s="68" t="s">
        <v>480</v>
      </c>
      <c r="E246" s="189" t="s">
        <v>450</v>
      </c>
      <c r="F246" s="189"/>
      <c r="G246" s="79">
        <v>18.192</v>
      </c>
    </row>
    <row r="247" spans="1:7" ht="15" customHeight="1">
      <c r="A247" s="76" t="s">
        <v>439</v>
      </c>
      <c r="B247" s="65" t="s">
        <v>450</v>
      </c>
      <c r="C247" s="65" t="s">
        <v>552</v>
      </c>
      <c r="D247" s="174" t="s">
        <v>124</v>
      </c>
      <c r="E247" s="174"/>
      <c r="F247" s="65" t="s">
        <v>621</v>
      </c>
      <c r="G247" s="77">
        <v>1.28</v>
      </c>
    </row>
    <row r="248" spans="1:7" ht="15" customHeight="1">
      <c r="A248" s="78"/>
      <c r="B248" s="58"/>
      <c r="C248" s="58"/>
      <c r="D248" s="68" t="s">
        <v>83</v>
      </c>
      <c r="E248" s="189" t="s">
        <v>450</v>
      </c>
      <c r="F248" s="189"/>
      <c r="G248" s="79">
        <v>0</v>
      </c>
    </row>
    <row r="249" spans="1:7" ht="15" customHeight="1">
      <c r="A249" s="76" t="s">
        <v>450</v>
      </c>
      <c r="B249" s="65" t="s">
        <v>450</v>
      </c>
      <c r="C249" s="65" t="s">
        <v>450</v>
      </c>
      <c r="D249" s="68" t="s">
        <v>264</v>
      </c>
      <c r="E249" s="189" t="s">
        <v>450</v>
      </c>
      <c r="F249" s="189"/>
      <c r="G249" s="79">
        <v>1.28</v>
      </c>
    </row>
    <row r="250" spans="1:7" ht="15" customHeight="1">
      <c r="A250" s="76" t="s">
        <v>342</v>
      </c>
      <c r="B250" s="65" t="s">
        <v>450</v>
      </c>
      <c r="C250" s="65" t="s">
        <v>582</v>
      </c>
      <c r="D250" s="174" t="s">
        <v>102</v>
      </c>
      <c r="E250" s="174"/>
      <c r="F250" s="65" t="s">
        <v>621</v>
      </c>
      <c r="G250" s="77">
        <v>36.9696</v>
      </c>
    </row>
    <row r="251" spans="1:7" ht="15" customHeight="1">
      <c r="A251" s="78"/>
      <c r="B251" s="58"/>
      <c r="C251" s="58"/>
      <c r="D251" s="68" t="s">
        <v>216</v>
      </c>
      <c r="E251" s="189" t="s">
        <v>450</v>
      </c>
      <c r="F251" s="189"/>
      <c r="G251" s="79">
        <v>0</v>
      </c>
    </row>
    <row r="252" spans="1:7" ht="15" customHeight="1">
      <c r="A252" s="76" t="s">
        <v>450</v>
      </c>
      <c r="B252" s="65" t="s">
        <v>450</v>
      </c>
      <c r="C252" s="65" t="s">
        <v>450</v>
      </c>
      <c r="D252" s="68" t="s">
        <v>575</v>
      </c>
      <c r="E252" s="189" t="s">
        <v>450</v>
      </c>
      <c r="F252" s="189"/>
      <c r="G252" s="79">
        <v>6.5136</v>
      </c>
    </row>
    <row r="253" spans="1:7" ht="15" customHeight="1">
      <c r="A253" s="76" t="s">
        <v>450</v>
      </c>
      <c r="B253" s="65" t="s">
        <v>450</v>
      </c>
      <c r="C253" s="65" t="s">
        <v>450</v>
      </c>
      <c r="D253" s="68" t="s">
        <v>265</v>
      </c>
      <c r="E253" s="189" t="s">
        <v>450</v>
      </c>
      <c r="F253" s="189"/>
      <c r="G253" s="79">
        <v>0</v>
      </c>
    </row>
    <row r="254" spans="1:7" ht="15" customHeight="1">
      <c r="A254" s="76" t="s">
        <v>450</v>
      </c>
      <c r="B254" s="65" t="s">
        <v>450</v>
      </c>
      <c r="C254" s="65" t="s">
        <v>450</v>
      </c>
      <c r="D254" s="68" t="s">
        <v>611</v>
      </c>
      <c r="E254" s="189" t="s">
        <v>450</v>
      </c>
      <c r="F254" s="189"/>
      <c r="G254" s="79">
        <v>15.580800000000002</v>
      </c>
    </row>
    <row r="255" spans="1:7" ht="15" customHeight="1">
      <c r="A255" s="76" t="s">
        <v>450</v>
      </c>
      <c r="B255" s="65" t="s">
        <v>450</v>
      </c>
      <c r="C255" s="65" t="s">
        <v>450</v>
      </c>
      <c r="D255" s="68" t="s">
        <v>312</v>
      </c>
      <c r="E255" s="189" t="s">
        <v>450</v>
      </c>
      <c r="F255" s="189"/>
      <c r="G255" s="79">
        <v>0</v>
      </c>
    </row>
    <row r="256" spans="1:7" ht="15" customHeight="1">
      <c r="A256" s="76" t="s">
        <v>450</v>
      </c>
      <c r="B256" s="65" t="s">
        <v>450</v>
      </c>
      <c r="C256" s="65" t="s">
        <v>450</v>
      </c>
      <c r="D256" s="68" t="s">
        <v>21</v>
      </c>
      <c r="E256" s="189" t="s">
        <v>450</v>
      </c>
      <c r="F256" s="189"/>
      <c r="G256" s="79">
        <v>14.875200000000001</v>
      </c>
    </row>
    <row r="257" spans="1:7" ht="15" customHeight="1">
      <c r="A257" s="76" t="s">
        <v>142</v>
      </c>
      <c r="B257" s="65" t="s">
        <v>450</v>
      </c>
      <c r="C257" s="65" t="s">
        <v>282</v>
      </c>
      <c r="D257" s="174" t="s">
        <v>322</v>
      </c>
      <c r="E257" s="174"/>
      <c r="F257" s="65" t="s">
        <v>311</v>
      </c>
      <c r="G257" s="77">
        <v>1.4148</v>
      </c>
    </row>
    <row r="258" spans="1:7" ht="15" customHeight="1">
      <c r="A258" s="78"/>
      <c r="B258" s="58"/>
      <c r="C258" s="58"/>
      <c r="D258" s="68" t="s">
        <v>443</v>
      </c>
      <c r="E258" s="189" t="s">
        <v>450</v>
      </c>
      <c r="F258" s="189"/>
      <c r="G258" s="79">
        <v>1.4148</v>
      </c>
    </row>
    <row r="259" spans="1:7" ht="15" customHeight="1">
      <c r="A259" s="76" t="s">
        <v>55</v>
      </c>
      <c r="B259" s="65" t="s">
        <v>450</v>
      </c>
      <c r="C259" s="65" t="s">
        <v>267</v>
      </c>
      <c r="D259" s="174" t="s">
        <v>695</v>
      </c>
      <c r="E259" s="174"/>
      <c r="F259" s="65" t="s">
        <v>635</v>
      </c>
      <c r="G259" s="77">
        <v>205.63060000000002</v>
      </c>
    </row>
    <row r="260" spans="1:7" ht="15" customHeight="1">
      <c r="A260" s="78"/>
      <c r="B260" s="58"/>
      <c r="C260" s="58"/>
      <c r="D260" s="68" t="s">
        <v>290</v>
      </c>
      <c r="E260" s="189" t="s">
        <v>450</v>
      </c>
      <c r="F260" s="189"/>
      <c r="G260" s="79">
        <v>205.63060000000002</v>
      </c>
    </row>
    <row r="261" spans="1:7" ht="15" customHeight="1">
      <c r="A261" s="76" t="s">
        <v>634</v>
      </c>
      <c r="B261" s="65" t="s">
        <v>450</v>
      </c>
      <c r="C261" s="65" t="s">
        <v>273</v>
      </c>
      <c r="D261" s="174" t="s">
        <v>170</v>
      </c>
      <c r="E261" s="174"/>
      <c r="F261" s="65" t="s">
        <v>621</v>
      </c>
      <c r="G261" s="77">
        <v>62.722170000000006</v>
      </c>
    </row>
    <row r="262" spans="1:7" ht="15" customHeight="1">
      <c r="A262" s="78"/>
      <c r="B262" s="58"/>
      <c r="C262" s="58"/>
      <c r="D262" s="68" t="s">
        <v>265</v>
      </c>
      <c r="E262" s="189" t="s">
        <v>450</v>
      </c>
      <c r="F262" s="189"/>
      <c r="G262" s="79">
        <v>0</v>
      </c>
    </row>
    <row r="263" spans="1:7" ht="15" customHeight="1">
      <c r="A263" s="76" t="s">
        <v>450</v>
      </c>
      <c r="B263" s="65" t="s">
        <v>450</v>
      </c>
      <c r="C263" s="65" t="s">
        <v>450</v>
      </c>
      <c r="D263" s="68" t="s">
        <v>654</v>
      </c>
      <c r="E263" s="189" t="s">
        <v>450</v>
      </c>
      <c r="F263" s="189"/>
      <c r="G263" s="79">
        <v>30.360000000000003</v>
      </c>
    </row>
    <row r="264" spans="1:7" ht="15" customHeight="1">
      <c r="A264" s="76" t="s">
        <v>450</v>
      </c>
      <c r="B264" s="65" t="s">
        <v>450</v>
      </c>
      <c r="C264" s="65" t="s">
        <v>450</v>
      </c>
      <c r="D264" s="68" t="s">
        <v>312</v>
      </c>
      <c r="E264" s="189" t="s">
        <v>450</v>
      </c>
      <c r="F264" s="189"/>
      <c r="G264" s="79">
        <v>0</v>
      </c>
    </row>
    <row r="265" spans="1:7" ht="15" customHeight="1">
      <c r="A265" s="76" t="s">
        <v>450</v>
      </c>
      <c r="B265" s="65" t="s">
        <v>450</v>
      </c>
      <c r="C265" s="65" t="s">
        <v>450</v>
      </c>
      <c r="D265" s="68" t="s">
        <v>74</v>
      </c>
      <c r="E265" s="189" t="s">
        <v>450</v>
      </c>
      <c r="F265" s="189"/>
      <c r="G265" s="79">
        <v>30.945000000000004</v>
      </c>
    </row>
    <row r="266" spans="1:7" ht="15" customHeight="1">
      <c r="A266" s="76" t="s">
        <v>450</v>
      </c>
      <c r="B266" s="65" t="s">
        <v>450</v>
      </c>
      <c r="C266" s="65" t="s">
        <v>450</v>
      </c>
      <c r="D266" s="68" t="s">
        <v>475</v>
      </c>
      <c r="E266" s="189" t="s">
        <v>450</v>
      </c>
      <c r="F266" s="189"/>
      <c r="G266" s="79">
        <v>0</v>
      </c>
    </row>
    <row r="267" spans="1:7" ht="15" customHeight="1">
      <c r="A267" s="76" t="s">
        <v>450</v>
      </c>
      <c r="B267" s="65" t="s">
        <v>450</v>
      </c>
      <c r="C267" s="65" t="s">
        <v>450</v>
      </c>
      <c r="D267" s="68" t="s">
        <v>87</v>
      </c>
      <c r="E267" s="189" t="s">
        <v>450</v>
      </c>
      <c r="F267" s="189"/>
      <c r="G267" s="79">
        <v>1.41717</v>
      </c>
    </row>
    <row r="268" spans="1:7" ht="15" customHeight="1">
      <c r="A268" s="76" t="s">
        <v>114</v>
      </c>
      <c r="B268" s="65" t="s">
        <v>450</v>
      </c>
      <c r="C268" s="65" t="s">
        <v>672</v>
      </c>
      <c r="D268" s="174" t="s">
        <v>170</v>
      </c>
      <c r="E268" s="174"/>
      <c r="F268" s="65" t="s">
        <v>621</v>
      </c>
      <c r="G268" s="77">
        <v>48.48678</v>
      </c>
    </row>
    <row r="269" spans="1:7" ht="15" customHeight="1">
      <c r="A269" s="78"/>
      <c r="B269" s="58"/>
      <c r="C269" s="58"/>
      <c r="D269" s="68" t="s">
        <v>56</v>
      </c>
      <c r="E269" s="189" t="s">
        <v>450</v>
      </c>
      <c r="F269" s="189"/>
      <c r="G269" s="79">
        <v>35.10132</v>
      </c>
    </row>
    <row r="270" spans="1:7" ht="15" customHeight="1">
      <c r="A270" s="76" t="s">
        <v>450</v>
      </c>
      <c r="B270" s="65" t="s">
        <v>450</v>
      </c>
      <c r="C270" s="65" t="s">
        <v>450</v>
      </c>
      <c r="D270" s="68" t="s">
        <v>594</v>
      </c>
      <c r="E270" s="189" t="s">
        <v>450</v>
      </c>
      <c r="F270" s="189"/>
      <c r="G270" s="79">
        <v>13.385460000000002</v>
      </c>
    </row>
    <row r="271" spans="1:7" ht="15" customHeight="1">
      <c r="A271" s="76" t="s">
        <v>121</v>
      </c>
      <c r="B271" s="65" t="s">
        <v>450</v>
      </c>
      <c r="C271" s="65" t="s">
        <v>198</v>
      </c>
      <c r="D271" s="174" t="s">
        <v>252</v>
      </c>
      <c r="E271" s="174"/>
      <c r="F271" s="65" t="s">
        <v>635</v>
      </c>
      <c r="G271" s="77">
        <v>58.900000000000006</v>
      </c>
    </row>
    <row r="272" spans="1:7" ht="15" customHeight="1">
      <c r="A272" s="78"/>
      <c r="B272" s="58"/>
      <c r="C272" s="58"/>
      <c r="D272" s="68" t="s">
        <v>493</v>
      </c>
      <c r="E272" s="189" t="s">
        <v>450</v>
      </c>
      <c r="F272" s="189"/>
      <c r="G272" s="79">
        <v>18.900000000000002</v>
      </c>
    </row>
    <row r="273" spans="1:7" ht="15" customHeight="1">
      <c r="A273" s="76" t="s">
        <v>450</v>
      </c>
      <c r="B273" s="65" t="s">
        <v>450</v>
      </c>
      <c r="C273" s="65" t="s">
        <v>450</v>
      </c>
      <c r="D273" s="68" t="s">
        <v>129</v>
      </c>
      <c r="E273" s="189" t="s">
        <v>450</v>
      </c>
      <c r="F273" s="189"/>
      <c r="G273" s="79">
        <v>20.700000000000003</v>
      </c>
    </row>
    <row r="274" spans="1:7" ht="15" customHeight="1">
      <c r="A274" s="76" t="s">
        <v>450</v>
      </c>
      <c r="B274" s="65" t="s">
        <v>450</v>
      </c>
      <c r="C274" s="65" t="s">
        <v>450</v>
      </c>
      <c r="D274" s="68" t="s">
        <v>645</v>
      </c>
      <c r="E274" s="189" t="s">
        <v>450</v>
      </c>
      <c r="F274" s="189"/>
      <c r="G274" s="79">
        <v>19.3</v>
      </c>
    </row>
    <row r="275" spans="1:7" ht="15" customHeight="1">
      <c r="A275" s="76" t="s">
        <v>663</v>
      </c>
      <c r="B275" s="65" t="s">
        <v>450</v>
      </c>
      <c r="C275" s="65" t="s">
        <v>409</v>
      </c>
      <c r="D275" s="174" t="s">
        <v>36</v>
      </c>
      <c r="E275" s="174"/>
      <c r="F275" s="65" t="s">
        <v>621</v>
      </c>
      <c r="G275" s="77">
        <v>62.722170000000006</v>
      </c>
    </row>
    <row r="276" spans="1:7" ht="15" customHeight="1">
      <c r="A276" s="78"/>
      <c r="B276" s="58"/>
      <c r="C276" s="58"/>
      <c r="D276" s="68" t="s">
        <v>265</v>
      </c>
      <c r="E276" s="189" t="s">
        <v>450</v>
      </c>
      <c r="F276" s="189"/>
      <c r="G276" s="79">
        <v>0</v>
      </c>
    </row>
    <row r="277" spans="1:7" ht="15" customHeight="1">
      <c r="A277" s="76" t="s">
        <v>450</v>
      </c>
      <c r="B277" s="65" t="s">
        <v>450</v>
      </c>
      <c r="C277" s="65" t="s">
        <v>450</v>
      </c>
      <c r="D277" s="68" t="s">
        <v>654</v>
      </c>
      <c r="E277" s="189" t="s">
        <v>450</v>
      </c>
      <c r="F277" s="189"/>
      <c r="G277" s="79">
        <v>30.360000000000003</v>
      </c>
    </row>
    <row r="278" spans="1:7" ht="15" customHeight="1">
      <c r="A278" s="76" t="s">
        <v>450</v>
      </c>
      <c r="B278" s="65" t="s">
        <v>450</v>
      </c>
      <c r="C278" s="65" t="s">
        <v>450</v>
      </c>
      <c r="D278" s="68" t="s">
        <v>312</v>
      </c>
      <c r="E278" s="189" t="s">
        <v>450</v>
      </c>
      <c r="F278" s="189"/>
      <c r="G278" s="79">
        <v>0</v>
      </c>
    </row>
    <row r="279" spans="1:7" ht="15" customHeight="1">
      <c r="A279" s="76" t="s">
        <v>450</v>
      </c>
      <c r="B279" s="65" t="s">
        <v>450</v>
      </c>
      <c r="C279" s="65" t="s">
        <v>450</v>
      </c>
      <c r="D279" s="68" t="s">
        <v>74</v>
      </c>
      <c r="E279" s="189" t="s">
        <v>450</v>
      </c>
      <c r="F279" s="189"/>
      <c r="G279" s="79">
        <v>30.945000000000004</v>
      </c>
    </row>
    <row r="280" spans="1:7" ht="15" customHeight="1">
      <c r="A280" s="76" t="s">
        <v>450</v>
      </c>
      <c r="B280" s="65" t="s">
        <v>450</v>
      </c>
      <c r="C280" s="65" t="s">
        <v>450</v>
      </c>
      <c r="D280" s="68" t="s">
        <v>475</v>
      </c>
      <c r="E280" s="189" t="s">
        <v>450</v>
      </c>
      <c r="F280" s="189"/>
      <c r="G280" s="79">
        <v>0</v>
      </c>
    </row>
    <row r="281" spans="1:7" ht="15" customHeight="1">
      <c r="A281" s="76" t="s">
        <v>450</v>
      </c>
      <c r="B281" s="65" t="s">
        <v>450</v>
      </c>
      <c r="C281" s="65" t="s">
        <v>450</v>
      </c>
      <c r="D281" s="68" t="s">
        <v>87</v>
      </c>
      <c r="E281" s="189" t="s">
        <v>450</v>
      </c>
      <c r="F281" s="189"/>
      <c r="G281" s="79">
        <v>1.41717</v>
      </c>
    </row>
    <row r="282" spans="1:7" ht="15" customHeight="1">
      <c r="A282" s="76" t="s">
        <v>391</v>
      </c>
      <c r="B282" s="65" t="s">
        <v>450</v>
      </c>
      <c r="C282" s="65" t="s">
        <v>607</v>
      </c>
      <c r="D282" s="174" t="s">
        <v>467</v>
      </c>
      <c r="E282" s="174"/>
      <c r="F282" s="65" t="s">
        <v>635</v>
      </c>
      <c r="G282" s="77">
        <v>4.7696000000000005</v>
      </c>
    </row>
    <row r="283" spans="1:7" ht="15" customHeight="1">
      <c r="A283" s="78"/>
      <c r="B283" s="58"/>
      <c r="C283" s="58"/>
      <c r="D283" s="68" t="s">
        <v>250</v>
      </c>
      <c r="E283" s="189" t="s">
        <v>450</v>
      </c>
      <c r="F283" s="189"/>
      <c r="G283" s="79">
        <v>2.2625</v>
      </c>
    </row>
    <row r="284" spans="1:7" ht="15" customHeight="1">
      <c r="A284" s="76" t="s">
        <v>450</v>
      </c>
      <c r="B284" s="65" t="s">
        <v>450</v>
      </c>
      <c r="C284" s="65" t="s">
        <v>450</v>
      </c>
      <c r="D284" s="68" t="s">
        <v>692</v>
      </c>
      <c r="E284" s="189" t="s">
        <v>450</v>
      </c>
      <c r="F284" s="189"/>
      <c r="G284" s="79">
        <v>2.5071000000000003</v>
      </c>
    </row>
    <row r="285" spans="1:7" ht="15" customHeight="1">
      <c r="A285" s="76" t="s">
        <v>331</v>
      </c>
      <c r="B285" s="65" t="s">
        <v>450</v>
      </c>
      <c r="C285" s="65" t="s">
        <v>540</v>
      </c>
      <c r="D285" s="174" t="s">
        <v>314</v>
      </c>
      <c r="E285" s="174"/>
      <c r="F285" s="65" t="s">
        <v>157</v>
      </c>
      <c r="G285" s="77">
        <v>78</v>
      </c>
    </row>
    <row r="286" spans="1:7" ht="15" customHeight="1">
      <c r="A286" s="78"/>
      <c r="B286" s="58"/>
      <c r="C286" s="58"/>
      <c r="D286" s="68" t="s">
        <v>317</v>
      </c>
      <c r="E286" s="189" t="s">
        <v>450</v>
      </c>
      <c r="F286" s="189"/>
      <c r="G286" s="79">
        <v>78</v>
      </c>
    </row>
    <row r="287" spans="1:7" ht="15" customHeight="1">
      <c r="A287" s="76" t="s">
        <v>433</v>
      </c>
      <c r="B287" s="65" t="s">
        <v>450</v>
      </c>
      <c r="C287" s="65" t="s">
        <v>510</v>
      </c>
      <c r="D287" s="174" t="s">
        <v>387</v>
      </c>
      <c r="E287" s="174"/>
      <c r="F287" s="65" t="s">
        <v>157</v>
      </c>
      <c r="G287" s="77">
        <v>25.000000000000004</v>
      </c>
    </row>
    <row r="288" spans="1:7" ht="15" customHeight="1">
      <c r="A288" s="78"/>
      <c r="B288" s="58"/>
      <c r="C288" s="58"/>
      <c r="D288" s="68" t="s">
        <v>710</v>
      </c>
      <c r="E288" s="189" t="s">
        <v>450</v>
      </c>
      <c r="F288" s="189"/>
      <c r="G288" s="79">
        <v>25.000000000000004</v>
      </c>
    </row>
    <row r="289" spans="1:7" ht="15" customHeight="1">
      <c r="A289" s="76" t="s">
        <v>26</v>
      </c>
      <c r="B289" s="65" t="s">
        <v>450</v>
      </c>
      <c r="C289" s="65" t="s">
        <v>491</v>
      </c>
      <c r="D289" s="174" t="s">
        <v>620</v>
      </c>
      <c r="E289" s="174"/>
      <c r="F289" s="65" t="s">
        <v>157</v>
      </c>
      <c r="G289" s="77">
        <v>40</v>
      </c>
    </row>
    <row r="290" spans="1:7" ht="15" customHeight="1">
      <c r="A290" s="78"/>
      <c r="B290" s="58"/>
      <c r="C290" s="58"/>
      <c r="D290" s="68" t="s">
        <v>99</v>
      </c>
      <c r="E290" s="189" t="s">
        <v>450</v>
      </c>
      <c r="F290" s="189"/>
      <c r="G290" s="79">
        <v>40</v>
      </c>
    </row>
    <row r="291" spans="1:7" ht="15" customHeight="1">
      <c r="A291" s="76" t="s">
        <v>701</v>
      </c>
      <c r="B291" s="65" t="s">
        <v>450</v>
      </c>
      <c r="C291" s="65" t="s">
        <v>451</v>
      </c>
      <c r="D291" s="174" t="s">
        <v>553</v>
      </c>
      <c r="E291" s="174"/>
      <c r="F291" s="65" t="s">
        <v>157</v>
      </c>
      <c r="G291" s="77">
        <v>2</v>
      </c>
    </row>
    <row r="292" spans="1:7" ht="15" customHeight="1">
      <c r="A292" s="78"/>
      <c r="B292" s="58"/>
      <c r="C292" s="58"/>
      <c r="D292" s="68" t="s">
        <v>447</v>
      </c>
      <c r="E292" s="189" t="s">
        <v>450</v>
      </c>
      <c r="F292" s="189"/>
      <c r="G292" s="79">
        <v>2</v>
      </c>
    </row>
    <row r="293" spans="1:7" ht="15" customHeight="1">
      <c r="A293" s="76" t="s">
        <v>693</v>
      </c>
      <c r="B293" s="65" t="s">
        <v>450</v>
      </c>
      <c r="C293" s="65" t="s">
        <v>210</v>
      </c>
      <c r="D293" s="174" t="s">
        <v>239</v>
      </c>
      <c r="E293" s="174"/>
      <c r="F293" s="65" t="s">
        <v>635</v>
      </c>
      <c r="G293" s="77">
        <v>9.690000000000001</v>
      </c>
    </row>
    <row r="294" spans="1:7" ht="15" customHeight="1">
      <c r="A294" s="78"/>
      <c r="B294" s="58"/>
      <c r="C294" s="58"/>
      <c r="D294" s="68" t="s">
        <v>133</v>
      </c>
      <c r="E294" s="189" t="s">
        <v>450</v>
      </c>
      <c r="F294" s="189"/>
      <c r="G294" s="79">
        <v>9.690000000000001</v>
      </c>
    </row>
    <row r="295" spans="1:7" ht="15" customHeight="1">
      <c r="A295" s="76" t="s">
        <v>691</v>
      </c>
      <c r="B295" s="65" t="s">
        <v>450</v>
      </c>
      <c r="C295" s="65" t="s">
        <v>24</v>
      </c>
      <c r="D295" s="174" t="s">
        <v>694</v>
      </c>
      <c r="E295" s="174"/>
      <c r="F295" s="65" t="s">
        <v>635</v>
      </c>
      <c r="G295" s="77">
        <v>9.32</v>
      </c>
    </row>
    <row r="296" spans="1:7" ht="15" customHeight="1">
      <c r="A296" s="78"/>
      <c r="B296" s="58"/>
      <c r="C296" s="58"/>
      <c r="D296" s="68" t="s">
        <v>165</v>
      </c>
      <c r="E296" s="189" t="s">
        <v>450</v>
      </c>
      <c r="F296" s="189"/>
      <c r="G296" s="79">
        <v>9.32</v>
      </c>
    </row>
    <row r="297" spans="1:7" ht="15" customHeight="1">
      <c r="A297" s="76" t="s">
        <v>23</v>
      </c>
      <c r="B297" s="65" t="s">
        <v>450</v>
      </c>
      <c r="C297" s="65" t="s">
        <v>696</v>
      </c>
      <c r="D297" s="174" t="s">
        <v>222</v>
      </c>
      <c r="E297" s="174"/>
      <c r="F297" s="65" t="s">
        <v>635</v>
      </c>
      <c r="G297" s="77">
        <v>114.415</v>
      </c>
    </row>
    <row r="298" spans="1:7" ht="15" customHeight="1">
      <c r="A298" s="78"/>
      <c r="B298" s="58"/>
      <c r="C298" s="58"/>
      <c r="D298" s="68" t="s">
        <v>50</v>
      </c>
      <c r="E298" s="189" t="s">
        <v>450</v>
      </c>
      <c r="F298" s="189"/>
      <c r="G298" s="79">
        <v>114.415</v>
      </c>
    </row>
    <row r="299" spans="1:7" ht="15" customHeight="1">
      <c r="A299" s="76" t="s">
        <v>0</v>
      </c>
      <c r="B299" s="65" t="s">
        <v>450</v>
      </c>
      <c r="C299" s="65" t="s">
        <v>676</v>
      </c>
      <c r="D299" s="174" t="s">
        <v>336</v>
      </c>
      <c r="E299" s="174"/>
      <c r="F299" s="65" t="s">
        <v>635</v>
      </c>
      <c r="G299" s="77">
        <v>4.097</v>
      </c>
    </row>
    <row r="300" spans="1:7" ht="15" customHeight="1">
      <c r="A300" s="78"/>
      <c r="B300" s="58"/>
      <c r="C300" s="58"/>
      <c r="D300" s="68" t="s">
        <v>5</v>
      </c>
      <c r="E300" s="189" t="s">
        <v>450</v>
      </c>
      <c r="F300" s="189"/>
      <c r="G300" s="79">
        <v>4.097</v>
      </c>
    </row>
    <row r="301" spans="1:7" ht="15" customHeight="1">
      <c r="A301" s="76" t="s">
        <v>584</v>
      </c>
      <c r="B301" s="65" t="s">
        <v>450</v>
      </c>
      <c r="C301" s="65" t="s">
        <v>186</v>
      </c>
      <c r="D301" s="174" t="s">
        <v>248</v>
      </c>
      <c r="E301" s="174"/>
      <c r="F301" s="65" t="s">
        <v>635</v>
      </c>
      <c r="G301" s="77">
        <v>3.9200000000000004</v>
      </c>
    </row>
    <row r="302" spans="1:7" ht="15" customHeight="1">
      <c r="A302" s="78"/>
      <c r="B302" s="58"/>
      <c r="C302" s="58"/>
      <c r="D302" s="68" t="s">
        <v>539</v>
      </c>
      <c r="E302" s="189" t="s">
        <v>450</v>
      </c>
      <c r="F302" s="189"/>
      <c r="G302" s="79">
        <v>3.9200000000000004</v>
      </c>
    </row>
    <row r="303" spans="1:7" ht="15" customHeight="1">
      <c r="A303" s="76" t="s">
        <v>80</v>
      </c>
      <c r="B303" s="65" t="s">
        <v>450</v>
      </c>
      <c r="C303" s="65" t="s">
        <v>127</v>
      </c>
      <c r="D303" s="174" t="s">
        <v>372</v>
      </c>
      <c r="E303" s="174"/>
      <c r="F303" s="65" t="s">
        <v>635</v>
      </c>
      <c r="G303" s="77">
        <v>60.400000000000006</v>
      </c>
    </row>
    <row r="304" spans="1:7" ht="15" customHeight="1">
      <c r="A304" s="78"/>
      <c r="B304" s="58"/>
      <c r="C304" s="58"/>
      <c r="D304" s="68" t="s">
        <v>16</v>
      </c>
      <c r="E304" s="189" t="s">
        <v>450</v>
      </c>
      <c r="F304" s="189"/>
      <c r="G304" s="79">
        <v>24.000000000000004</v>
      </c>
    </row>
    <row r="305" spans="1:7" ht="15" customHeight="1">
      <c r="A305" s="76" t="s">
        <v>450</v>
      </c>
      <c r="B305" s="65" t="s">
        <v>450</v>
      </c>
      <c r="C305" s="65" t="s">
        <v>450</v>
      </c>
      <c r="D305" s="68" t="s">
        <v>286</v>
      </c>
      <c r="E305" s="189" t="s">
        <v>450</v>
      </c>
      <c r="F305" s="189"/>
      <c r="G305" s="79">
        <v>19.8</v>
      </c>
    </row>
    <row r="306" spans="1:7" ht="15" customHeight="1">
      <c r="A306" s="76" t="s">
        <v>450</v>
      </c>
      <c r="B306" s="65" t="s">
        <v>450</v>
      </c>
      <c r="C306" s="65" t="s">
        <v>450</v>
      </c>
      <c r="D306" s="68" t="s">
        <v>474</v>
      </c>
      <c r="E306" s="189" t="s">
        <v>450</v>
      </c>
      <c r="F306" s="189"/>
      <c r="G306" s="79">
        <v>16.6</v>
      </c>
    </row>
    <row r="307" spans="1:7" ht="15" customHeight="1">
      <c r="A307" s="76" t="s">
        <v>261</v>
      </c>
      <c r="B307" s="65" t="s">
        <v>450</v>
      </c>
      <c r="C307" s="65" t="s">
        <v>353</v>
      </c>
      <c r="D307" s="174" t="s">
        <v>687</v>
      </c>
      <c r="E307" s="174"/>
      <c r="F307" s="65" t="s">
        <v>538</v>
      </c>
      <c r="G307" s="77">
        <v>45.00000000000001</v>
      </c>
    </row>
    <row r="308" spans="1:7" ht="15" customHeight="1">
      <c r="A308" s="78"/>
      <c r="B308" s="58"/>
      <c r="C308" s="58"/>
      <c r="D308" s="68" t="s">
        <v>228</v>
      </c>
      <c r="E308" s="189" t="s">
        <v>450</v>
      </c>
      <c r="F308" s="189"/>
      <c r="G308" s="79">
        <v>45.00000000000001</v>
      </c>
    </row>
    <row r="309" spans="1:7" ht="15" customHeight="1">
      <c r="A309" s="76" t="s">
        <v>370</v>
      </c>
      <c r="B309" s="65" t="s">
        <v>450</v>
      </c>
      <c r="C309" s="65" t="s">
        <v>174</v>
      </c>
      <c r="D309" s="174" t="s">
        <v>237</v>
      </c>
      <c r="E309" s="174"/>
      <c r="F309" s="65" t="s">
        <v>538</v>
      </c>
      <c r="G309" s="77">
        <v>15.000000000000002</v>
      </c>
    </row>
    <row r="310" spans="1:7" ht="15" customHeight="1">
      <c r="A310" s="78"/>
      <c r="B310" s="58"/>
      <c r="C310" s="58"/>
      <c r="D310" s="68" t="s">
        <v>258</v>
      </c>
      <c r="E310" s="189" t="s">
        <v>450</v>
      </c>
      <c r="F310" s="189"/>
      <c r="G310" s="79">
        <v>15.000000000000002</v>
      </c>
    </row>
    <row r="311" spans="1:7" ht="15" customHeight="1">
      <c r="A311" s="76" t="s">
        <v>79</v>
      </c>
      <c r="B311" s="65" t="s">
        <v>450</v>
      </c>
      <c r="C311" s="65" t="s">
        <v>686</v>
      </c>
      <c r="D311" s="174" t="s">
        <v>263</v>
      </c>
      <c r="E311" s="174"/>
      <c r="F311" s="65" t="s">
        <v>538</v>
      </c>
      <c r="G311" s="77">
        <v>30.000000000000004</v>
      </c>
    </row>
    <row r="312" spans="1:7" ht="15" customHeight="1">
      <c r="A312" s="78"/>
      <c r="B312" s="58"/>
      <c r="C312" s="58"/>
      <c r="D312" s="68" t="s">
        <v>425</v>
      </c>
      <c r="E312" s="189" t="s">
        <v>450</v>
      </c>
      <c r="F312" s="189"/>
      <c r="G312" s="79">
        <v>30.000000000000004</v>
      </c>
    </row>
    <row r="313" spans="1:7" ht="15" customHeight="1">
      <c r="A313" s="76" t="s">
        <v>455</v>
      </c>
      <c r="B313" s="65" t="s">
        <v>450</v>
      </c>
      <c r="C313" s="65" t="s">
        <v>587</v>
      </c>
      <c r="D313" s="174" t="s">
        <v>58</v>
      </c>
      <c r="E313" s="174"/>
      <c r="F313" s="65" t="s">
        <v>529</v>
      </c>
      <c r="G313" s="77">
        <v>1</v>
      </c>
    </row>
    <row r="314" spans="1:7" ht="15" customHeight="1">
      <c r="A314" s="78"/>
      <c r="B314" s="58"/>
      <c r="C314" s="58"/>
      <c r="D314" s="68" t="s">
        <v>644</v>
      </c>
      <c r="E314" s="189" t="s">
        <v>450</v>
      </c>
      <c r="F314" s="189"/>
      <c r="G314" s="79">
        <v>1</v>
      </c>
    </row>
    <row r="315" spans="1:7" ht="15" customHeight="1">
      <c r="A315" s="76" t="s">
        <v>321</v>
      </c>
      <c r="B315" s="65" t="s">
        <v>450</v>
      </c>
      <c r="C315" s="65" t="s">
        <v>159</v>
      </c>
      <c r="D315" s="174" t="s">
        <v>272</v>
      </c>
      <c r="E315" s="174"/>
      <c r="F315" s="65" t="s">
        <v>529</v>
      </c>
      <c r="G315" s="77">
        <v>1</v>
      </c>
    </row>
    <row r="316" spans="1:7" ht="15" customHeight="1">
      <c r="A316" s="78"/>
      <c r="B316" s="58"/>
      <c r="C316" s="58"/>
      <c r="D316" s="68" t="s">
        <v>644</v>
      </c>
      <c r="E316" s="189" t="s">
        <v>450</v>
      </c>
      <c r="F316" s="189"/>
      <c r="G316" s="79">
        <v>1</v>
      </c>
    </row>
    <row r="317" spans="1:7" ht="15" customHeight="1">
      <c r="A317" s="76" t="s">
        <v>534</v>
      </c>
      <c r="B317" s="65" t="s">
        <v>450</v>
      </c>
      <c r="C317" s="65" t="s">
        <v>381</v>
      </c>
      <c r="D317" s="174" t="s">
        <v>340</v>
      </c>
      <c r="E317" s="174"/>
      <c r="F317" s="65" t="s">
        <v>311</v>
      </c>
      <c r="G317" s="77">
        <v>30.000000000000004</v>
      </c>
    </row>
    <row r="318" spans="1:7" ht="15" customHeight="1">
      <c r="A318" s="78"/>
      <c r="B318" s="58"/>
      <c r="C318" s="58"/>
      <c r="D318" s="68" t="s">
        <v>425</v>
      </c>
      <c r="E318" s="189" t="s">
        <v>450</v>
      </c>
      <c r="F318" s="189"/>
      <c r="G318" s="79">
        <v>30.000000000000004</v>
      </c>
    </row>
    <row r="319" spans="1:7" ht="15" customHeight="1">
      <c r="A319" s="76" t="s">
        <v>588</v>
      </c>
      <c r="B319" s="65" t="s">
        <v>450</v>
      </c>
      <c r="C319" s="65" t="s">
        <v>381</v>
      </c>
      <c r="D319" s="174" t="s">
        <v>217</v>
      </c>
      <c r="E319" s="174"/>
      <c r="F319" s="65" t="s">
        <v>311</v>
      </c>
      <c r="G319" s="77">
        <v>10</v>
      </c>
    </row>
    <row r="320" spans="1:7" ht="15" customHeight="1">
      <c r="A320" s="78"/>
      <c r="B320" s="58"/>
      <c r="C320" s="58"/>
      <c r="D320" s="68" t="s">
        <v>380</v>
      </c>
      <c r="E320" s="189" t="s">
        <v>450</v>
      </c>
      <c r="F320" s="189"/>
      <c r="G320" s="79">
        <v>10</v>
      </c>
    </row>
    <row r="321" spans="1:7" ht="15" customHeight="1">
      <c r="A321" s="76" t="s">
        <v>564</v>
      </c>
      <c r="B321" s="65" t="s">
        <v>450</v>
      </c>
      <c r="C321" s="65" t="s">
        <v>513</v>
      </c>
      <c r="D321" s="174" t="s">
        <v>537</v>
      </c>
      <c r="E321" s="174"/>
      <c r="F321" s="65" t="s">
        <v>157</v>
      </c>
      <c r="G321" s="77">
        <v>1</v>
      </c>
    </row>
    <row r="322" spans="1:7" ht="15" customHeight="1">
      <c r="A322" s="78"/>
      <c r="B322" s="58"/>
      <c r="C322" s="58"/>
      <c r="D322" s="68" t="s">
        <v>644</v>
      </c>
      <c r="E322" s="189" t="s">
        <v>450</v>
      </c>
      <c r="F322" s="189"/>
      <c r="G322" s="79">
        <v>1</v>
      </c>
    </row>
    <row r="323" spans="1:7" ht="15" customHeight="1">
      <c r="A323" s="76" t="s">
        <v>12</v>
      </c>
      <c r="B323" s="65" t="s">
        <v>450</v>
      </c>
      <c r="C323" s="65" t="s">
        <v>673</v>
      </c>
      <c r="D323" s="174" t="s">
        <v>14</v>
      </c>
      <c r="E323" s="174"/>
      <c r="F323" s="65" t="s">
        <v>218</v>
      </c>
      <c r="G323" s="77">
        <v>1</v>
      </c>
    </row>
    <row r="324" spans="1:7" ht="15" customHeight="1">
      <c r="A324" s="78"/>
      <c r="B324" s="58"/>
      <c r="C324" s="58"/>
      <c r="D324" s="68" t="s">
        <v>644</v>
      </c>
      <c r="E324" s="189" t="s">
        <v>450</v>
      </c>
      <c r="F324" s="189"/>
      <c r="G324" s="79">
        <v>1</v>
      </c>
    </row>
    <row r="325" spans="1:7" ht="15" customHeight="1">
      <c r="A325" s="76" t="s">
        <v>255</v>
      </c>
      <c r="B325" s="65" t="s">
        <v>450</v>
      </c>
      <c r="C325" s="65" t="s">
        <v>709</v>
      </c>
      <c r="D325" s="174" t="s">
        <v>733</v>
      </c>
      <c r="E325" s="174"/>
      <c r="F325" s="65" t="s">
        <v>621</v>
      </c>
      <c r="G325" s="77">
        <v>829.2942700000001</v>
      </c>
    </row>
    <row r="326" spans="1:7" ht="15" customHeight="1">
      <c r="A326" s="78"/>
      <c r="B326" s="58"/>
      <c r="C326" s="58"/>
      <c r="D326" s="68" t="s">
        <v>294</v>
      </c>
      <c r="E326" s="189" t="s">
        <v>450</v>
      </c>
      <c r="F326" s="189"/>
      <c r="G326" s="79">
        <v>0</v>
      </c>
    </row>
    <row r="327" spans="1:7" ht="15" customHeight="1">
      <c r="A327" s="76" t="s">
        <v>450</v>
      </c>
      <c r="B327" s="65" t="s">
        <v>450</v>
      </c>
      <c r="C327" s="65" t="s">
        <v>450</v>
      </c>
      <c r="D327" s="68" t="s">
        <v>256</v>
      </c>
      <c r="E327" s="189" t="s">
        <v>450</v>
      </c>
      <c r="F327" s="189"/>
      <c r="G327" s="79">
        <v>3.6754800000000003</v>
      </c>
    </row>
    <row r="328" spans="1:7" ht="15" customHeight="1">
      <c r="A328" s="76" t="s">
        <v>450</v>
      </c>
      <c r="B328" s="65" t="s">
        <v>450</v>
      </c>
      <c r="C328" s="65" t="s">
        <v>450</v>
      </c>
      <c r="D328" s="68" t="s">
        <v>216</v>
      </c>
      <c r="E328" s="189" t="s">
        <v>450</v>
      </c>
      <c r="F328" s="189"/>
      <c r="G328" s="79">
        <v>0</v>
      </c>
    </row>
    <row r="329" spans="1:7" ht="15" customHeight="1">
      <c r="A329" s="76" t="s">
        <v>450</v>
      </c>
      <c r="B329" s="65" t="s">
        <v>450</v>
      </c>
      <c r="C329" s="65" t="s">
        <v>450</v>
      </c>
      <c r="D329" s="68" t="s">
        <v>164</v>
      </c>
      <c r="E329" s="189" t="s">
        <v>450</v>
      </c>
      <c r="F329" s="189"/>
      <c r="G329" s="79">
        <v>162.49364</v>
      </c>
    </row>
    <row r="330" spans="1:7" ht="15" customHeight="1">
      <c r="A330" s="76" t="s">
        <v>450</v>
      </c>
      <c r="B330" s="65" t="s">
        <v>450</v>
      </c>
      <c r="C330" s="65" t="s">
        <v>450</v>
      </c>
      <c r="D330" s="68" t="s">
        <v>453</v>
      </c>
      <c r="E330" s="189" t="s">
        <v>450</v>
      </c>
      <c r="F330" s="189"/>
      <c r="G330" s="79">
        <v>-30.099950000000003</v>
      </c>
    </row>
    <row r="331" spans="1:7" ht="15" customHeight="1">
      <c r="A331" s="76" t="s">
        <v>450</v>
      </c>
      <c r="B331" s="65" t="s">
        <v>450</v>
      </c>
      <c r="C331" s="65" t="s">
        <v>450</v>
      </c>
      <c r="D331" s="68" t="s">
        <v>697</v>
      </c>
      <c r="E331" s="189" t="s">
        <v>450</v>
      </c>
      <c r="F331" s="189"/>
      <c r="G331" s="79">
        <v>-11.41167</v>
      </c>
    </row>
    <row r="332" spans="1:7" ht="15" customHeight="1">
      <c r="A332" s="76" t="s">
        <v>450</v>
      </c>
      <c r="B332" s="65" t="s">
        <v>450</v>
      </c>
      <c r="C332" s="65" t="s">
        <v>450</v>
      </c>
      <c r="D332" s="68" t="s">
        <v>671</v>
      </c>
      <c r="E332" s="189" t="s">
        <v>450</v>
      </c>
      <c r="F332" s="189"/>
      <c r="G332" s="79">
        <v>29.410560000000004</v>
      </c>
    </row>
    <row r="333" spans="1:7" ht="15" customHeight="1">
      <c r="A333" s="76" t="s">
        <v>450</v>
      </c>
      <c r="B333" s="65" t="s">
        <v>450</v>
      </c>
      <c r="C333" s="65" t="s">
        <v>450</v>
      </c>
      <c r="D333" s="68" t="s">
        <v>526</v>
      </c>
      <c r="E333" s="189" t="s">
        <v>450</v>
      </c>
      <c r="F333" s="189"/>
      <c r="G333" s="79">
        <v>5.475300000000001</v>
      </c>
    </row>
    <row r="334" spans="1:7" ht="15" customHeight="1">
      <c r="A334" s="76" t="s">
        <v>450</v>
      </c>
      <c r="B334" s="65" t="s">
        <v>450</v>
      </c>
      <c r="C334" s="65" t="s">
        <v>450</v>
      </c>
      <c r="D334" s="68" t="s">
        <v>426</v>
      </c>
      <c r="E334" s="189" t="s">
        <v>450</v>
      </c>
      <c r="F334" s="189"/>
      <c r="G334" s="79">
        <v>8.23257</v>
      </c>
    </row>
    <row r="335" spans="1:7" ht="15" customHeight="1">
      <c r="A335" s="76" t="s">
        <v>450</v>
      </c>
      <c r="B335" s="65" t="s">
        <v>450</v>
      </c>
      <c r="C335" s="65" t="s">
        <v>450</v>
      </c>
      <c r="D335" s="68" t="s">
        <v>600</v>
      </c>
      <c r="E335" s="189" t="s">
        <v>450</v>
      </c>
      <c r="F335" s="189"/>
      <c r="G335" s="79">
        <v>2.1597000000000004</v>
      </c>
    </row>
    <row r="336" spans="1:7" ht="15" customHeight="1">
      <c r="A336" s="76" t="s">
        <v>450</v>
      </c>
      <c r="B336" s="65" t="s">
        <v>450</v>
      </c>
      <c r="C336" s="65" t="s">
        <v>450</v>
      </c>
      <c r="D336" s="68" t="s">
        <v>504</v>
      </c>
      <c r="E336" s="189" t="s">
        <v>450</v>
      </c>
      <c r="F336" s="189"/>
      <c r="G336" s="79">
        <v>13.8754</v>
      </c>
    </row>
    <row r="337" spans="1:7" ht="15" customHeight="1">
      <c r="A337" s="76" t="s">
        <v>450</v>
      </c>
      <c r="B337" s="65" t="s">
        <v>450</v>
      </c>
      <c r="C337" s="65" t="s">
        <v>450</v>
      </c>
      <c r="D337" s="68" t="s">
        <v>307</v>
      </c>
      <c r="E337" s="189" t="s">
        <v>450</v>
      </c>
      <c r="F337" s="189"/>
      <c r="G337" s="79">
        <v>5.200200000000001</v>
      </c>
    </row>
    <row r="338" spans="1:7" ht="15" customHeight="1">
      <c r="A338" s="76" t="s">
        <v>450</v>
      </c>
      <c r="B338" s="65" t="s">
        <v>450</v>
      </c>
      <c r="C338" s="65" t="s">
        <v>450</v>
      </c>
      <c r="D338" s="68" t="s">
        <v>301</v>
      </c>
      <c r="E338" s="189" t="s">
        <v>450</v>
      </c>
      <c r="F338" s="189"/>
      <c r="G338" s="79">
        <v>8.455680000000001</v>
      </c>
    </row>
    <row r="339" spans="1:7" ht="15" customHeight="1">
      <c r="A339" s="76" t="s">
        <v>450</v>
      </c>
      <c r="B339" s="65" t="s">
        <v>450</v>
      </c>
      <c r="C339" s="65" t="s">
        <v>450</v>
      </c>
      <c r="D339" s="68" t="s">
        <v>530</v>
      </c>
      <c r="E339" s="189" t="s">
        <v>450</v>
      </c>
      <c r="F339" s="189"/>
      <c r="G339" s="79">
        <v>4.50227</v>
      </c>
    </row>
    <row r="340" spans="1:7" ht="15" customHeight="1">
      <c r="A340" s="76" t="s">
        <v>450</v>
      </c>
      <c r="B340" s="65" t="s">
        <v>450</v>
      </c>
      <c r="C340" s="65" t="s">
        <v>450</v>
      </c>
      <c r="D340" s="68" t="s">
        <v>30</v>
      </c>
      <c r="E340" s="189" t="s">
        <v>450</v>
      </c>
      <c r="F340" s="189"/>
      <c r="G340" s="79">
        <v>6.34475</v>
      </c>
    </row>
    <row r="341" spans="1:7" ht="15" customHeight="1">
      <c r="A341" s="76" t="s">
        <v>450</v>
      </c>
      <c r="B341" s="65" t="s">
        <v>450</v>
      </c>
      <c r="C341" s="65" t="s">
        <v>450</v>
      </c>
      <c r="D341" s="68" t="s">
        <v>374</v>
      </c>
      <c r="E341" s="189" t="s">
        <v>450</v>
      </c>
      <c r="F341" s="189"/>
      <c r="G341" s="79">
        <v>2.3200700000000003</v>
      </c>
    </row>
    <row r="342" spans="1:7" ht="15" customHeight="1">
      <c r="A342" s="76" t="s">
        <v>450</v>
      </c>
      <c r="B342" s="65" t="s">
        <v>450</v>
      </c>
      <c r="C342" s="65" t="s">
        <v>450</v>
      </c>
      <c r="D342" s="68" t="s">
        <v>93</v>
      </c>
      <c r="E342" s="189" t="s">
        <v>450</v>
      </c>
      <c r="F342" s="189"/>
      <c r="G342" s="79">
        <v>8.69129</v>
      </c>
    </row>
    <row r="343" spans="1:7" ht="15" customHeight="1">
      <c r="A343" s="76" t="s">
        <v>450</v>
      </c>
      <c r="B343" s="65" t="s">
        <v>450</v>
      </c>
      <c r="C343" s="65" t="s">
        <v>450</v>
      </c>
      <c r="D343" s="68" t="s">
        <v>599</v>
      </c>
      <c r="E343" s="189" t="s">
        <v>450</v>
      </c>
      <c r="F343" s="189"/>
      <c r="G343" s="79">
        <v>-1.8204000000000002</v>
      </c>
    </row>
    <row r="344" spans="1:7" ht="15" customHeight="1">
      <c r="A344" s="76" t="s">
        <v>450</v>
      </c>
      <c r="B344" s="65" t="s">
        <v>450</v>
      </c>
      <c r="C344" s="65" t="s">
        <v>450</v>
      </c>
      <c r="D344" s="68" t="s">
        <v>265</v>
      </c>
      <c r="E344" s="189" t="s">
        <v>450</v>
      </c>
      <c r="F344" s="189"/>
      <c r="G344" s="79">
        <v>0</v>
      </c>
    </row>
    <row r="345" spans="1:7" ht="15" customHeight="1">
      <c r="A345" s="76" t="s">
        <v>450</v>
      </c>
      <c r="B345" s="65" t="s">
        <v>450</v>
      </c>
      <c r="C345" s="65" t="s">
        <v>450</v>
      </c>
      <c r="D345" s="68" t="s">
        <v>647</v>
      </c>
      <c r="E345" s="189" t="s">
        <v>450</v>
      </c>
      <c r="F345" s="189"/>
      <c r="G345" s="79">
        <v>162.28262</v>
      </c>
    </row>
    <row r="346" spans="1:7" ht="15" customHeight="1">
      <c r="A346" s="76" t="s">
        <v>450</v>
      </c>
      <c r="B346" s="65" t="s">
        <v>450</v>
      </c>
      <c r="C346" s="65" t="s">
        <v>450</v>
      </c>
      <c r="D346" s="68" t="s">
        <v>135</v>
      </c>
      <c r="E346" s="189" t="s">
        <v>450</v>
      </c>
      <c r="F346" s="189"/>
      <c r="G346" s="79">
        <v>-29.66269</v>
      </c>
    </row>
    <row r="347" spans="1:7" ht="15" customHeight="1">
      <c r="A347" s="76" t="s">
        <v>450</v>
      </c>
      <c r="B347" s="65" t="s">
        <v>450</v>
      </c>
      <c r="C347" s="65" t="s">
        <v>450</v>
      </c>
      <c r="D347" s="68" t="s">
        <v>285</v>
      </c>
      <c r="E347" s="189" t="s">
        <v>450</v>
      </c>
      <c r="F347" s="189"/>
      <c r="G347" s="79">
        <v>21.33301</v>
      </c>
    </row>
    <row r="348" spans="1:7" ht="15" customHeight="1">
      <c r="A348" s="76" t="s">
        <v>450</v>
      </c>
      <c r="B348" s="65" t="s">
        <v>450</v>
      </c>
      <c r="C348" s="65" t="s">
        <v>450</v>
      </c>
      <c r="D348" s="68" t="s">
        <v>330</v>
      </c>
      <c r="E348" s="189" t="s">
        <v>450</v>
      </c>
      <c r="F348" s="189"/>
      <c r="G348" s="79">
        <v>30.96148</v>
      </c>
    </row>
    <row r="349" spans="1:7" ht="15" customHeight="1">
      <c r="A349" s="76" t="s">
        <v>450</v>
      </c>
      <c r="B349" s="65" t="s">
        <v>450</v>
      </c>
      <c r="C349" s="65" t="s">
        <v>450</v>
      </c>
      <c r="D349" s="68" t="s">
        <v>503</v>
      </c>
      <c r="E349" s="189" t="s">
        <v>450</v>
      </c>
      <c r="F349" s="189"/>
      <c r="G349" s="79">
        <v>6.64111</v>
      </c>
    </row>
    <row r="350" spans="1:7" ht="15" customHeight="1">
      <c r="A350" s="76" t="s">
        <v>450</v>
      </c>
      <c r="B350" s="65" t="s">
        <v>450</v>
      </c>
      <c r="C350" s="65" t="s">
        <v>450</v>
      </c>
      <c r="D350" s="68" t="s">
        <v>231</v>
      </c>
      <c r="E350" s="189" t="s">
        <v>450</v>
      </c>
      <c r="F350" s="189"/>
      <c r="G350" s="79">
        <v>24.176800000000004</v>
      </c>
    </row>
    <row r="351" spans="1:7" ht="15" customHeight="1">
      <c r="A351" s="76" t="s">
        <v>450</v>
      </c>
      <c r="B351" s="65" t="s">
        <v>450</v>
      </c>
      <c r="C351" s="65" t="s">
        <v>450</v>
      </c>
      <c r="D351" s="68" t="s">
        <v>679</v>
      </c>
      <c r="E351" s="189" t="s">
        <v>450</v>
      </c>
      <c r="F351" s="189"/>
      <c r="G351" s="79">
        <v>8.2125</v>
      </c>
    </row>
    <row r="352" spans="1:7" ht="15" customHeight="1">
      <c r="A352" s="76" t="s">
        <v>450</v>
      </c>
      <c r="B352" s="65" t="s">
        <v>450</v>
      </c>
      <c r="C352" s="65" t="s">
        <v>450</v>
      </c>
      <c r="D352" s="68" t="s">
        <v>505</v>
      </c>
      <c r="E352" s="189" t="s">
        <v>450</v>
      </c>
      <c r="F352" s="189"/>
      <c r="G352" s="79">
        <v>10.479700000000001</v>
      </c>
    </row>
    <row r="353" spans="1:7" ht="15" customHeight="1">
      <c r="A353" s="76" t="s">
        <v>450</v>
      </c>
      <c r="B353" s="65" t="s">
        <v>450</v>
      </c>
      <c r="C353" s="65" t="s">
        <v>450</v>
      </c>
      <c r="D353" s="68" t="s">
        <v>280</v>
      </c>
      <c r="E353" s="189" t="s">
        <v>450</v>
      </c>
      <c r="F353" s="189"/>
      <c r="G353" s="79">
        <v>1.1725</v>
      </c>
    </row>
    <row r="354" spans="1:7" ht="15" customHeight="1">
      <c r="A354" s="76" t="s">
        <v>450</v>
      </c>
      <c r="B354" s="65" t="s">
        <v>450</v>
      </c>
      <c r="C354" s="65" t="s">
        <v>450</v>
      </c>
      <c r="D354" s="68" t="s">
        <v>312</v>
      </c>
      <c r="E354" s="189" t="s">
        <v>450</v>
      </c>
      <c r="F354" s="189"/>
      <c r="G354" s="79">
        <v>0</v>
      </c>
    </row>
    <row r="355" spans="1:7" ht="15" customHeight="1">
      <c r="A355" s="76" t="s">
        <v>450</v>
      </c>
      <c r="B355" s="65" t="s">
        <v>450</v>
      </c>
      <c r="C355" s="65" t="s">
        <v>450</v>
      </c>
      <c r="D355" s="68" t="s">
        <v>490</v>
      </c>
      <c r="E355" s="189" t="s">
        <v>450</v>
      </c>
      <c r="F355" s="189"/>
      <c r="G355" s="79">
        <v>208.59930000000003</v>
      </c>
    </row>
    <row r="356" spans="1:7" ht="15" customHeight="1">
      <c r="A356" s="76" t="s">
        <v>450</v>
      </c>
      <c r="B356" s="65" t="s">
        <v>450</v>
      </c>
      <c r="C356" s="65" t="s">
        <v>450</v>
      </c>
      <c r="D356" s="68" t="s">
        <v>405</v>
      </c>
      <c r="E356" s="189" t="s">
        <v>450</v>
      </c>
      <c r="F356" s="189"/>
      <c r="G356" s="79">
        <v>12.74502</v>
      </c>
    </row>
    <row r="357" spans="1:7" ht="15" customHeight="1">
      <c r="A357" s="76" t="s">
        <v>450</v>
      </c>
      <c r="B357" s="65" t="s">
        <v>450</v>
      </c>
      <c r="C357" s="65" t="s">
        <v>450</v>
      </c>
      <c r="D357" s="68" t="s">
        <v>196</v>
      </c>
      <c r="E357" s="189" t="s">
        <v>450</v>
      </c>
      <c r="F357" s="189"/>
      <c r="G357" s="79">
        <v>46.220220000000005</v>
      </c>
    </row>
    <row r="358" spans="1:7" ht="15" customHeight="1">
      <c r="A358" s="76" t="s">
        <v>450</v>
      </c>
      <c r="B358" s="65" t="s">
        <v>450</v>
      </c>
      <c r="C358" s="65" t="s">
        <v>450</v>
      </c>
      <c r="D358" s="68" t="s">
        <v>612</v>
      </c>
      <c r="E358" s="189" t="s">
        <v>450</v>
      </c>
      <c r="F358" s="189"/>
      <c r="G358" s="79">
        <v>21.672780000000003</v>
      </c>
    </row>
    <row r="359" spans="1:7" ht="15" customHeight="1">
      <c r="A359" s="76" t="s">
        <v>450</v>
      </c>
      <c r="B359" s="65" t="s">
        <v>450</v>
      </c>
      <c r="C359" s="65" t="s">
        <v>450</v>
      </c>
      <c r="D359" s="68" t="s">
        <v>605</v>
      </c>
      <c r="E359" s="189" t="s">
        <v>450</v>
      </c>
      <c r="F359" s="189"/>
      <c r="G359" s="79">
        <v>7.307550000000001</v>
      </c>
    </row>
    <row r="360" spans="1:7" ht="15" customHeight="1">
      <c r="A360" s="76" t="s">
        <v>450</v>
      </c>
      <c r="B360" s="65" t="s">
        <v>450</v>
      </c>
      <c r="C360" s="65" t="s">
        <v>450</v>
      </c>
      <c r="D360" s="68" t="s">
        <v>302</v>
      </c>
      <c r="E360" s="189" t="s">
        <v>450</v>
      </c>
      <c r="F360" s="189"/>
      <c r="G360" s="79">
        <v>5.3504000000000005</v>
      </c>
    </row>
    <row r="361" spans="1:7" ht="15" customHeight="1">
      <c r="A361" s="76" t="s">
        <v>450</v>
      </c>
      <c r="B361" s="65" t="s">
        <v>450</v>
      </c>
      <c r="C361" s="65" t="s">
        <v>450</v>
      </c>
      <c r="D361" s="68" t="s">
        <v>613</v>
      </c>
      <c r="E361" s="189" t="s">
        <v>450</v>
      </c>
      <c r="F361" s="189"/>
      <c r="G361" s="79">
        <v>13.646650000000001</v>
      </c>
    </row>
    <row r="362" spans="1:7" ht="15" customHeight="1">
      <c r="A362" s="76" t="s">
        <v>450</v>
      </c>
      <c r="B362" s="65" t="s">
        <v>450</v>
      </c>
      <c r="C362" s="65" t="s">
        <v>450</v>
      </c>
      <c r="D362" s="68" t="s">
        <v>339</v>
      </c>
      <c r="E362" s="189" t="s">
        <v>450</v>
      </c>
      <c r="F362" s="189"/>
      <c r="G362" s="79">
        <v>10.5182</v>
      </c>
    </row>
    <row r="363" spans="1:7" ht="15" customHeight="1">
      <c r="A363" s="76" t="s">
        <v>450</v>
      </c>
      <c r="B363" s="65" t="s">
        <v>450</v>
      </c>
      <c r="C363" s="65" t="s">
        <v>450</v>
      </c>
      <c r="D363" s="68" t="s">
        <v>475</v>
      </c>
      <c r="E363" s="189" t="s">
        <v>450</v>
      </c>
      <c r="F363" s="189"/>
      <c r="G363" s="79">
        <v>0</v>
      </c>
    </row>
    <row r="364" spans="1:7" ht="15" customHeight="1">
      <c r="A364" s="76" t="s">
        <v>450</v>
      </c>
      <c r="B364" s="65" t="s">
        <v>450</v>
      </c>
      <c r="C364" s="65" t="s">
        <v>450</v>
      </c>
      <c r="D364" s="68" t="s">
        <v>376</v>
      </c>
      <c r="E364" s="189" t="s">
        <v>450</v>
      </c>
      <c r="F364" s="189"/>
      <c r="G364" s="79">
        <v>24.099200000000003</v>
      </c>
    </row>
    <row r="365" spans="1:7" ht="15" customHeight="1">
      <c r="A365" s="76" t="s">
        <v>450</v>
      </c>
      <c r="B365" s="65" t="s">
        <v>450</v>
      </c>
      <c r="C365" s="65" t="s">
        <v>450</v>
      </c>
      <c r="D365" s="68" t="s">
        <v>495</v>
      </c>
      <c r="E365" s="189" t="s">
        <v>450</v>
      </c>
      <c r="F365" s="189"/>
      <c r="G365" s="79">
        <v>12.6203</v>
      </c>
    </row>
    <row r="366" spans="1:7" ht="15" customHeight="1">
      <c r="A366" s="76" t="s">
        <v>450</v>
      </c>
      <c r="B366" s="65" t="s">
        <v>450</v>
      </c>
      <c r="C366" s="65" t="s">
        <v>450</v>
      </c>
      <c r="D366" s="68" t="s">
        <v>383</v>
      </c>
      <c r="E366" s="189" t="s">
        <v>450</v>
      </c>
      <c r="F366" s="189"/>
      <c r="G366" s="79">
        <v>5.276280000000001</v>
      </c>
    </row>
    <row r="367" spans="1:7" ht="15" customHeight="1">
      <c r="A367" s="76" t="s">
        <v>450</v>
      </c>
      <c r="B367" s="65" t="s">
        <v>450</v>
      </c>
      <c r="C367" s="65" t="s">
        <v>450</v>
      </c>
      <c r="D367" s="68" t="s">
        <v>700</v>
      </c>
      <c r="E367" s="189" t="s">
        <v>450</v>
      </c>
      <c r="F367" s="189"/>
      <c r="G367" s="79">
        <v>7.7044500000000005</v>
      </c>
    </row>
    <row r="368" spans="1:7" ht="15" customHeight="1">
      <c r="A368" s="76" t="s">
        <v>450</v>
      </c>
      <c r="B368" s="65" t="s">
        <v>450</v>
      </c>
      <c r="C368" s="65" t="s">
        <v>450</v>
      </c>
      <c r="D368" s="68" t="s">
        <v>684</v>
      </c>
      <c r="E368" s="189" t="s">
        <v>450</v>
      </c>
      <c r="F368" s="189"/>
      <c r="G368" s="79">
        <v>0.43200000000000005</v>
      </c>
    </row>
    <row r="369" spans="1:7" ht="15" customHeight="1">
      <c r="A369" s="76" t="s">
        <v>90</v>
      </c>
      <c r="B369" s="65" t="s">
        <v>450</v>
      </c>
      <c r="C369" s="65" t="s">
        <v>411</v>
      </c>
      <c r="D369" s="174" t="s">
        <v>103</v>
      </c>
      <c r="E369" s="174"/>
      <c r="F369" s="65" t="s">
        <v>621</v>
      </c>
      <c r="G369" s="77">
        <v>16.06897</v>
      </c>
    </row>
    <row r="370" spans="1:7" ht="15" customHeight="1">
      <c r="A370" s="78"/>
      <c r="B370" s="58"/>
      <c r="C370" s="58"/>
      <c r="D370" s="68" t="s">
        <v>618</v>
      </c>
      <c r="E370" s="189" t="s">
        <v>450</v>
      </c>
      <c r="F370" s="189"/>
      <c r="G370" s="79">
        <v>4.988250000000001</v>
      </c>
    </row>
    <row r="371" spans="1:7" ht="15" customHeight="1">
      <c r="A371" s="76" t="s">
        <v>450</v>
      </c>
      <c r="B371" s="65" t="s">
        <v>450</v>
      </c>
      <c r="C371" s="65" t="s">
        <v>450</v>
      </c>
      <c r="D371" s="68" t="s">
        <v>721</v>
      </c>
      <c r="E371" s="189" t="s">
        <v>450</v>
      </c>
      <c r="F371" s="189"/>
      <c r="G371" s="79">
        <v>4.75312</v>
      </c>
    </row>
    <row r="372" spans="1:7" ht="15" customHeight="1">
      <c r="A372" s="76" t="s">
        <v>450</v>
      </c>
      <c r="B372" s="65" t="s">
        <v>450</v>
      </c>
      <c r="C372" s="65" t="s">
        <v>450</v>
      </c>
      <c r="D372" s="68" t="s">
        <v>496</v>
      </c>
      <c r="E372" s="189" t="s">
        <v>450</v>
      </c>
      <c r="F372" s="189"/>
      <c r="G372" s="79">
        <v>4.88565</v>
      </c>
    </row>
    <row r="373" spans="1:7" ht="15" customHeight="1">
      <c r="A373" s="76" t="s">
        <v>450</v>
      </c>
      <c r="B373" s="65" t="s">
        <v>450</v>
      </c>
      <c r="C373" s="65" t="s">
        <v>450</v>
      </c>
      <c r="D373" s="68" t="s">
        <v>598</v>
      </c>
      <c r="E373" s="189" t="s">
        <v>450</v>
      </c>
      <c r="F373" s="189"/>
      <c r="G373" s="79">
        <v>0.43472000000000005</v>
      </c>
    </row>
    <row r="374" spans="1:7" ht="15" customHeight="1">
      <c r="A374" s="76" t="s">
        <v>450</v>
      </c>
      <c r="B374" s="65" t="s">
        <v>450</v>
      </c>
      <c r="C374" s="65" t="s">
        <v>450</v>
      </c>
      <c r="D374" s="68" t="s">
        <v>698</v>
      </c>
      <c r="E374" s="189" t="s">
        <v>450</v>
      </c>
      <c r="F374" s="189"/>
      <c r="G374" s="79">
        <v>0.63261</v>
      </c>
    </row>
    <row r="375" spans="1:7" ht="15" customHeight="1">
      <c r="A375" s="76" t="s">
        <v>450</v>
      </c>
      <c r="B375" s="65" t="s">
        <v>450</v>
      </c>
      <c r="C375" s="65" t="s">
        <v>450</v>
      </c>
      <c r="D375" s="68" t="s">
        <v>632</v>
      </c>
      <c r="E375" s="189" t="s">
        <v>450</v>
      </c>
      <c r="F375" s="189"/>
      <c r="G375" s="79">
        <v>0.12150000000000001</v>
      </c>
    </row>
    <row r="376" spans="1:7" ht="15" customHeight="1">
      <c r="A376" s="76" t="s">
        <v>450</v>
      </c>
      <c r="B376" s="65" t="s">
        <v>450</v>
      </c>
      <c r="C376" s="65" t="s">
        <v>450</v>
      </c>
      <c r="D376" s="68" t="s">
        <v>724</v>
      </c>
      <c r="E376" s="189" t="s">
        <v>450</v>
      </c>
      <c r="F376" s="189"/>
      <c r="G376" s="79">
        <v>0.25312</v>
      </c>
    </row>
    <row r="377" spans="1:7" ht="15" customHeight="1">
      <c r="A377" s="76" t="s">
        <v>715</v>
      </c>
      <c r="B377" s="65" t="s">
        <v>450</v>
      </c>
      <c r="C377" s="65" t="s">
        <v>662</v>
      </c>
      <c r="D377" s="174" t="s">
        <v>171</v>
      </c>
      <c r="E377" s="174"/>
      <c r="F377" s="65" t="s">
        <v>311</v>
      </c>
      <c r="G377" s="77">
        <v>2403.6292700000004</v>
      </c>
    </row>
    <row r="378" spans="1:7" ht="15" customHeight="1">
      <c r="A378" s="76" t="s">
        <v>323</v>
      </c>
      <c r="B378" s="65" t="s">
        <v>450</v>
      </c>
      <c r="C378" s="65" t="s">
        <v>132</v>
      </c>
      <c r="D378" s="174" t="s">
        <v>335</v>
      </c>
      <c r="E378" s="174"/>
      <c r="F378" s="65" t="s">
        <v>311</v>
      </c>
      <c r="G378" s="77">
        <v>2403.6292700000004</v>
      </c>
    </row>
    <row r="379" spans="1:7" ht="15" customHeight="1">
      <c r="A379" s="76" t="s">
        <v>535</v>
      </c>
      <c r="B379" s="65" t="s">
        <v>450</v>
      </c>
      <c r="C379" s="65" t="s">
        <v>590</v>
      </c>
      <c r="D379" s="174" t="s">
        <v>77</v>
      </c>
      <c r="E379" s="174"/>
      <c r="F379" s="65" t="s">
        <v>311</v>
      </c>
      <c r="G379" s="77">
        <v>2331.1670200000003</v>
      </c>
    </row>
    <row r="380" spans="1:7" ht="15" customHeight="1">
      <c r="A380" s="76" t="s">
        <v>310</v>
      </c>
      <c r="B380" s="65" t="s">
        <v>450</v>
      </c>
      <c r="C380" s="65" t="s">
        <v>471</v>
      </c>
      <c r="D380" s="174" t="s">
        <v>579</v>
      </c>
      <c r="E380" s="174"/>
      <c r="F380" s="65" t="s">
        <v>311</v>
      </c>
      <c r="G380" s="77">
        <v>69.55561</v>
      </c>
    </row>
    <row r="381" spans="1:7" ht="15" customHeight="1">
      <c r="A381" s="76" t="s">
        <v>422</v>
      </c>
      <c r="B381" s="65" t="s">
        <v>450</v>
      </c>
      <c r="C381" s="65" t="s">
        <v>728</v>
      </c>
      <c r="D381" s="174" t="s">
        <v>319</v>
      </c>
      <c r="E381" s="174"/>
      <c r="F381" s="65" t="s">
        <v>311</v>
      </c>
      <c r="G381" s="77">
        <v>69.40193000000001</v>
      </c>
    </row>
    <row r="382" spans="1:7" ht="15" customHeight="1">
      <c r="A382" s="76" t="s">
        <v>706</v>
      </c>
      <c r="B382" s="65" t="s">
        <v>450</v>
      </c>
      <c r="C382" s="65" t="s">
        <v>177</v>
      </c>
      <c r="D382" s="174" t="s">
        <v>478</v>
      </c>
      <c r="E382" s="174"/>
      <c r="F382" s="65" t="s">
        <v>311</v>
      </c>
      <c r="G382" s="77">
        <v>2400.72263</v>
      </c>
    </row>
    <row r="383" spans="1:7" ht="15" customHeight="1">
      <c r="A383" s="76" t="s">
        <v>456</v>
      </c>
      <c r="B383" s="65" t="s">
        <v>450</v>
      </c>
      <c r="C383" s="65" t="s">
        <v>100</v>
      </c>
      <c r="D383" s="174" t="s">
        <v>295</v>
      </c>
      <c r="E383" s="174"/>
      <c r="F383" s="65" t="s">
        <v>311</v>
      </c>
      <c r="G383" s="77">
        <v>45401.62442</v>
      </c>
    </row>
    <row r="384" spans="1:7" ht="15" customHeight="1">
      <c r="A384" s="78"/>
      <c r="B384" s="58"/>
      <c r="C384" s="58"/>
      <c r="D384" s="68" t="s">
        <v>182</v>
      </c>
      <c r="E384" s="189" t="s">
        <v>450</v>
      </c>
      <c r="F384" s="189"/>
      <c r="G384" s="79">
        <v>45401.62442</v>
      </c>
    </row>
    <row r="385" spans="1:7" ht="15" customHeight="1">
      <c r="A385" s="76" t="s">
        <v>714</v>
      </c>
      <c r="B385" s="65" t="s">
        <v>450</v>
      </c>
      <c r="C385" s="65" t="s">
        <v>402</v>
      </c>
      <c r="D385" s="174" t="s">
        <v>137</v>
      </c>
      <c r="E385" s="174"/>
      <c r="F385" s="65" t="s">
        <v>311</v>
      </c>
      <c r="G385" s="77">
        <v>2389.9532400000003</v>
      </c>
    </row>
    <row r="386" spans="1:7" ht="15" customHeight="1">
      <c r="A386" s="76" t="s">
        <v>666</v>
      </c>
      <c r="B386" s="65" t="s">
        <v>450</v>
      </c>
      <c r="C386" s="65" t="s">
        <v>430</v>
      </c>
      <c r="D386" s="174" t="s">
        <v>486</v>
      </c>
      <c r="E386" s="174"/>
      <c r="F386" s="65" t="s">
        <v>311</v>
      </c>
      <c r="G386" s="77">
        <v>4.4766900000000005</v>
      </c>
    </row>
    <row r="387" spans="1:7" ht="15" customHeight="1">
      <c r="A387" s="78"/>
      <c r="B387" s="58"/>
      <c r="C387" s="58"/>
      <c r="D387" s="68" t="s">
        <v>234</v>
      </c>
      <c r="E387" s="189" t="s">
        <v>450</v>
      </c>
      <c r="F387" s="189"/>
      <c r="G387" s="79">
        <v>4.4766900000000005</v>
      </c>
    </row>
    <row r="388" spans="1:7" ht="15" customHeight="1">
      <c r="A388" s="76" t="s">
        <v>615</v>
      </c>
      <c r="B388" s="65" t="s">
        <v>450</v>
      </c>
      <c r="C388" s="65" t="s">
        <v>683</v>
      </c>
      <c r="D388" s="174" t="s">
        <v>13</v>
      </c>
      <c r="E388" s="174"/>
      <c r="F388" s="65" t="s">
        <v>529</v>
      </c>
      <c r="G388" s="77">
        <v>1</v>
      </c>
    </row>
    <row r="389" spans="1:7" ht="15" customHeight="1">
      <c r="A389" s="78"/>
      <c r="B389" s="58"/>
      <c r="C389" s="58"/>
      <c r="D389" s="68" t="s">
        <v>644</v>
      </c>
      <c r="E389" s="189" t="s">
        <v>450</v>
      </c>
      <c r="F389" s="189"/>
      <c r="G389" s="79">
        <v>1</v>
      </c>
    </row>
    <row r="390" spans="1:7" ht="15" customHeight="1">
      <c r="A390" s="76" t="s">
        <v>347</v>
      </c>
      <c r="B390" s="65" t="s">
        <v>450</v>
      </c>
      <c r="C390" s="65" t="s">
        <v>329</v>
      </c>
      <c r="D390" s="174" t="s">
        <v>460</v>
      </c>
      <c r="E390" s="174"/>
      <c r="F390" s="65" t="s">
        <v>75</v>
      </c>
      <c r="G390" s="77">
        <v>1</v>
      </c>
    </row>
    <row r="391" spans="1:7" ht="15" customHeight="1" thickBot="1">
      <c r="A391" s="112"/>
      <c r="B391" s="113"/>
      <c r="C391" s="113"/>
      <c r="D391" s="114" t="s">
        <v>644</v>
      </c>
      <c r="E391" s="190" t="s">
        <v>450</v>
      </c>
      <c r="F391" s="190"/>
      <c r="G391" s="115">
        <v>1</v>
      </c>
    </row>
    <row r="393" ht="15" customHeight="1">
      <c r="A393" s="30"/>
    </row>
    <row r="394" spans="1:7" ht="12.75" customHeight="1">
      <c r="A394" s="130" t="s">
        <v>450</v>
      </c>
      <c r="B394" s="121"/>
      <c r="C394" s="121"/>
      <c r="D394" s="121"/>
      <c r="E394" s="121"/>
      <c r="F394" s="121"/>
      <c r="G394" s="121"/>
    </row>
  </sheetData>
  <sheetProtection/>
  <mergeCells count="400">
    <mergeCell ref="A394:G394"/>
    <mergeCell ref="E168:F168"/>
    <mergeCell ref="D170:E170"/>
    <mergeCell ref="E172:F172"/>
    <mergeCell ref="D174:E174"/>
    <mergeCell ref="E180:F180"/>
    <mergeCell ref="D182:E182"/>
    <mergeCell ref="E186:F186"/>
    <mergeCell ref="D188:E188"/>
    <mergeCell ref="D189:E189"/>
    <mergeCell ref="D388:E388"/>
    <mergeCell ref="E389:F389"/>
    <mergeCell ref="D390:E390"/>
    <mergeCell ref="E391:F391"/>
    <mergeCell ref="D382:E382"/>
    <mergeCell ref="D383:E383"/>
    <mergeCell ref="D385:E385"/>
    <mergeCell ref="E384:F384"/>
    <mergeCell ref="D386:E386"/>
    <mergeCell ref="E387:F387"/>
    <mergeCell ref="E376:F376"/>
    <mergeCell ref="D379:E379"/>
    <mergeCell ref="D380:E380"/>
    <mergeCell ref="D381:E381"/>
    <mergeCell ref="D377:E377"/>
    <mergeCell ref="D378:E378"/>
    <mergeCell ref="E370:F370"/>
    <mergeCell ref="E372:F372"/>
    <mergeCell ref="E373:F373"/>
    <mergeCell ref="E374:F374"/>
    <mergeCell ref="E375:F375"/>
    <mergeCell ref="E371:F371"/>
    <mergeCell ref="E364:F364"/>
    <mergeCell ref="E365:F365"/>
    <mergeCell ref="E366:F366"/>
    <mergeCell ref="E367:F367"/>
    <mergeCell ref="E368:F368"/>
    <mergeCell ref="D369:E369"/>
    <mergeCell ref="E358:F358"/>
    <mergeCell ref="E359:F359"/>
    <mergeCell ref="E360:F360"/>
    <mergeCell ref="E361:F361"/>
    <mergeCell ref="E362:F362"/>
    <mergeCell ref="E363:F363"/>
    <mergeCell ref="E352:F352"/>
    <mergeCell ref="E353:F353"/>
    <mergeCell ref="E354:F354"/>
    <mergeCell ref="E355:F355"/>
    <mergeCell ref="E356:F356"/>
    <mergeCell ref="E357:F357"/>
    <mergeCell ref="E346:F346"/>
    <mergeCell ref="E347:F347"/>
    <mergeCell ref="E348:F348"/>
    <mergeCell ref="E349:F349"/>
    <mergeCell ref="E350:F350"/>
    <mergeCell ref="E351:F351"/>
    <mergeCell ref="E340:F340"/>
    <mergeCell ref="E341:F341"/>
    <mergeCell ref="E342:F342"/>
    <mergeCell ref="E343:F343"/>
    <mergeCell ref="E344:F344"/>
    <mergeCell ref="E345:F345"/>
    <mergeCell ref="E334:F334"/>
    <mergeCell ref="E335:F335"/>
    <mergeCell ref="E336:F336"/>
    <mergeCell ref="E337:F337"/>
    <mergeCell ref="E338:F338"/>
    <mergeCell ref="E339:F339"/>
    <mergeCell ref="E328:F328"/>
    <mergeCell ref="E329:F329"/>
    <mergeCell ref="E330:F330"/>
    <mergeCell ref="E331:F331"/>
    <mergeCell ref="E332:F332"/>
    <mergeCell ref="E333:F333"/>
    <mergeCell ref="E322:F322"/>
    <mergeCell ref="D323:E323"/>
    <mergeCell ref="E324:F324"/>
    <mergeCell ref="D325:E325"/>
    <mergeCell ref="E326:F326"/>
    <mergeCell ref="E327:F327"/>
    <mergeCell ref="E316:F316"/>
    <mergeCell ref="D317:E317"/>
    <mergeCell ref="E318:F318"/>
    <mergeCell ref="D319:E319"/>
    <mergeCell ref="E320:F320"/>
    <mergeCell ref="D321:E321"/>
    <mergeCell ref="E310:F310"/>
    <mergeCell ref="D311:E311"/>
    <mergeCell ref="E312:F312"/>
    <mergeCell ref="D313:E313"/>
    <mergeCell ref="E314:F314"/>
    <mergeCell ref="D315:E315"/>
    <mergeCell ref="E304:F304"/>
    <mergeCell ref="E306:F306"/>
    <mergeCell ref="E308:F308"/>
    <mergeCell ref="D309:E309"/>
    <mergeCell ref="E305:F305"/>
    <mergeCell ref="D307:E307"/>
    <mergeCell ref="E298:F298"/>
    <mergeCell ref="D299:E299"/>
    <mergeCell ref="E300:F300"/>
    <mergeCell ref="D301:E301"/>
    <mergeCell ref="E302:F302"/>
    <mergeCell ref="D303:E303"/>
    <mergeCell ref="E292:F292"/>
    <mergeCell ref="D293:E293"/>
    <mergeCell ref="E294:F294"/>
    <mergeCell ref="D295:E295"/>
    <mergeCell ref="E296:F296"/>
    <mergeCell ref="D297:E297"/>
    <mergeCell ref="E286:F286"/>
    <mergeCell ref="D287:E287"/>
    <mergeCell ref="E288:F288"/>
    <mergeCell ref="D289:E289"/>
    <mergeCell ref="E290:F290"/>
    <mergeCell ref="D291:E291"/>
    <mergeCell ref="E280:F280"/>
    <mergeCell ref="E281:F281"/>
    <mergeCell ref="E283:F283"/>
    <mergeCell ref="D282:E282"/>
    <mergeCell ref="E284:F284"/>
    <mergeCell ref="D285:E285"/>
    <mergeCell ref="E274:F274"/>
    <mergeCell ref="E276:F276"/>
    <mergeCell ref="E278:F278"/>
    <mergeCell ref="E279:F279"/>
    <mergeCell ref="D275:E275"/>
    <mergeCell ref="E277:F277"/>
    <mergeCell ref="E269:F269"/>
    <mergeCell ref="E272:F272"/>
    <mergeCell ref="D268:E268"/>
    <mergeCell ref="E270:F270"/>
    <mergeCell ref="D271:E271"/>
    <mergeCell ref="E273:F273"/>
    <mergeCell ref="E262:F262"/>
    <mergeCell ref="E264:F264"/>
    <mergeCell ref="E265:F265"/>
    <mergeCell ref="E266:F266"/>
    <mergeCell ref="E267:F267"/>
    <mergeCell ref="E263:F263"/>
    <mergeCell ref="E256:F256"/>
    <mergeCell ref="E258:F258"/>
    <mergeCell ref="D259:E259"/>
    <mergeCell ref="E260:F260"/>
    <mergeCell ref="D261:E261"/>
    <mergeCell ref="D257:E257"/>
    <mergeCell ref="E251:F251"/>
    <mergeCell ref="E253:F253"/>
    <mergeCell ref="E254:F254"/>
    <mergeCell ref="E255:F255"/>
    <mergeCell ref="D250:E250"/>
    <mergeCell ref="E252:F252"/>
    <mergeCell ref="E244:F244"/>
    <mergeCell ref="E245:F245"/>
    <mergeCell ref="E246:F246"/>
    <mergeCell ref="E248:F248"/>
    <mergeCell ref="D247:E247"/>
    <mergeCell ref="E249:F249"/>
    <mergeCell ref="E238:F238"/>
    <mergeCell ref="E239:F239"/>
    <mergeCell ref="E241:F241"/>
    <mergeCell ref="E243:F243"/>
    <mergeCell ref="D240:E240"/>
    <mergeCell ref="E242:F242"/>
    <mergeCell ref="E232:F232"/>
    <mergeCell ref="D233:E233"/>
    <mergeCell ref="E234:F234"/>
    <mergeCell ref="D235:E235"/>
    <mergeCell ref="E236:F236"/>
    <mergeCell ref="E237:F237"/>
    <mergeCell ref="E226:F226"/>
    <mergeCell ref="E228:F228"/>
    <mergeCell ref="D229:E229"/>
    <mergeCell ref="E230:F230"/>
    <mergeCell ref="D231:E231"/>
    <mergeCell ref="D227:E227"/>
    <mergeCell ref="E220:F220"/>
    <mergeCell ref="E222:F222"/>
    <mergeCell ref="E224:F224"/>
    <mergeCell ref="E225:F225"/>
    <mergeCell ref="D221:E221"/>
    <mergeCell ref="E223:F223"/>
    <mergeCell ref="E214:F214"/>
    <mergeCell ref="E215:F215"/>
    <mergeCell ref="E216:F216"/>
    <mergeCell ref="E217:F217"/>
    <mergeCell ref="E218:F218"/>
    <mergeCell ref="E219:F219"/>
    <mergeCell ref="E209:F209"/>
    <mergeCell ref="E210:F210"/>
    <mergeCell ref="E212:F212"/>
    <mergeCell ref="E208:F208"/>
    <mergeCell ref="D211:E211"/>
    <mergeCell ref="E213:F213"/>
    <mergeCell ref="E202:F202"/>
    <mergeCell ref="E203:F203"/>
    <mergeCell ref="E204:F204"/>
    <mergeCell ref="E205:F205"/>
    <mergeCell ref="E207:F207"/>
    <mergeCell ref="D206:E206"/>
    <mergeCell ref="E197:F197"/>
    <mergeCell ref="E198:F198"/>
    <mergeCell ref="E199:F199"/>
    <mergeCell ref="E200:F200"/>
    <mergeCell ref="E201:F201"/>
    <mergeCell ref="E196:F196"/>
    <mergeCell ref="E192:F192"/>
    <mergeCell ref="E193:F193"/>
    <mergeCell ref="E195:F195"/>
    <mergeCell ref="E190:F190"/>
    <mergeCell ref="E191:F191"/>
    <mergeCell ref="D194:E194"/>
    <mergeCell ref="D184:E184"/>
    <mergeCell ref="E185:F185"/>
    <mergeCell ref="E187:F187"/>
    <mergeCell ref="D178:E178"/>
    <mergeCell ref="E179:F179"/>
    <mergeCell ref="E181:F181"/>
    <mergeCell ref="E183:F183"/>
    <mergeCell ref="E173:F173"/>
    <mergeCell ref="E175:F175"/>
    <mergeCell ref="D176:E176"/>
    <mergeCell ref="E177:F177"/>
    <mergeCell ref="D166:E166"/>
    <mergeCell ref="E167:F167"/>
    <mergeCell ref="E169:F169"/>
    <mergeCell ref="E171:F171"/>
    <mergeCell ref="D160:E160"/>
    <mergeCell ref="E161:F161"/>
    <mergeCell ref="D162:E162"/>
    <mergeCell ref="E163:F163"/>
    <mergeCell ref="D164:E164"/>
    <mergeCell ref="E165:F165"/>
    <mergeCell ref="E154:F154"/>
    <mergeCell ref="E155:F155"/>
    <mergeCell ref="D156:E156"/>
    <mergeCell ref="E157:F157"/>
    <mergeCell ref="D158:E158"/>
    <mergeCell ref="E159:F159"/>
    <mergeCell ref="E148:F148"/>
    <mergeCell ref="D149:E149"/>
    <mergeCell ref="E150:F150"/>
    <mergeCell ref="D151:E151"/>
    <mergeCell ref="E152:F152"/>
    <mergeCell ref="D153:E153"/>
    <mergeCell ref="E142:F142"/>
    <mergeCell ref="D143:E143"/>
    <mergeCell ref="E144:F144"/>
    <mergeCell ref="E145:F145"/>
    <mergeCell ref="D146:E146"/>
    <mergeCell ref="D147:E147"/>
    <mergeCell ref="E136:F136"/>
    <mergeCell ref="D137:E137"/>
    <mergeCell ref="E138:F138"/>
    <mergeCell ref="D139:E139"/>
    <mergeCell ref="E140:F140"/>
    <mergeCell ref="D141:E141"/>
    <mergeCell ref="E130:F130"/>
    <mergeCell ref="D131:E131"/>
    <mergeCell ref="E132:F132"/>
    <mergeCell ref="D133:E133"/>
    <mergeCell ref="E134:F134"/>
    <mergeCell ref="D135:E135"/>
    <mergeCell ref="E124:F124"/>
    <mergeCell ref="E125:F125"/>
    <mergeCell ref="E126:F126"/>
    <mergeCell ref="D127:E127"/>
    <mergeCell ref="E128:F128"/>
    <mergeCell ref="D129:E129"/>
    <mergeCell ref="E118:F118"/>
    <mergeCell ref="E119:F119"/>
    <mergeCell ref="D120:E120"/>
    <mergeCell ref="E121:F121"/>
    <mergeCell ref="E122:F122"/>
    <mergeCell ref="E123:F123"/>
    <mergeCell ref="E112:F112"/>
    <mergeCell ref="D113:E113"/>
    <mergeCell ref="E114:F114"/>
    <mergeCell ref="E115:F115"/>
    <mergeCell ref="E116:F116"/>
    <mergeCell ref="E117:F117"/>
    <mergeCell ref="E106:F106"/>
    <mergeCell ref="D107:E107"/>
    <mergeCell ref="E108:F108"/>
    <mergeCell ref="E109:F109"/>
    <mergeCell ref="D110:E110"/>
    <mergeCell ref="E111:F111"/>
    <mergeCell ref="E100:F100"/>
    <mergeCell ref="E101:F101"/>
    <mergeCell ref="E102:F102"/>
    <mergeCell ref="E103:F103"/>
    <mergeCell ref="E104:F104"/>
    <mergeCell ref="E105:F105"/>
    <mergeCell ref="E94:F94"/>
    <mergeCell ref="E95:F95"/>
    <mergeCell ref="E96:F96"/>
    <mergeCell ref="E97:F97"/>
    <mergeCell ref="D98:E98"/>
    <mergeCell ref="E99:F99"/>
    <mergeCell ref="E88:F88"/>
    <mergeCell ref="E89:F89"/>
    <mergeCell ref="E90:F90"/>
    <mergeCell ref="D91:E91"/>
    <mergeCell ref="E92:F92"/>
    <mergeCell ref="E93:F93"/>
    <mergeCell ref="E82:F82"/>
    <mergeCell ref="D83:E83"/>
    <mergeCell ref="E84:F84"/>
    <mergeCell ref="E85:F85"/>
    <mergeCell ref="E86:F86"/>
    <mergeCell ref="E87:F87"/>
    <mergeCell ref="E76:F76"/>
    <mergeCell ref="D77:E77"/>
    <mergeCell ref="E78:F78"/>
    <mergeCell ref="D79:E79"/>
    <mergeCell ref="E80:F80"/>
    <mergeCell ref="D81:E81"/>
    <mergeCell ref="E70:F70"/>
    <mergeCell ref="D71:E71"/>
    <mergeCell ref="E72:F72"/>
    <mergeCell ref="D73:E73"/>
    <mergeCell ref="E74:F74"/>
    <mergeCell ref="D75:E75"/>
    <mergeCell ref="E64:F64"/>
    <mergeCell ref="D65:E65"/>
    <mergeCell ref="E66:F66"/>
    <mergeCell ref="D67:E67"/>
    <mergeCell ref="E68:F68"/>
    <mergeCell ref="D69:E69"/>
    <mergeCell ref="E58:F58"/>
    <mergeCell ref="D59:E59"/>
    <mergeCell ref="E60:F60"/>
    <mergeCell ref="D61:E61"/>
    <mergeCell ref="E62:F62"/>
    <mergeCell ref="D63:E63"/>
    <mergeCell ref="E52:F52"/>
    <mergeCell ref="D53:E53"/>
    <mergeCell ref="E54:F54"/>
    <mergeCell ref="D55:E55"/>
    <mergeCell ref="E56:F56"/>
    <mergeCell ref="D57:E57"/>
    <mergeCell ref="E46:F46"/>
    <mergeCell ref="E47:F47"/>
    <mergeCell ref="D48:E48"/>
    <mergeCell ref="E49:F49"/>
    <mergeCell ref="E50:F50"/>
    <mergeCell ref="D51:E51"/>
    <mergeCell ref="E40:F40"/>
    <mergeCell ref="D41:E41"/>
    <mergeCell ref="E42:F42"/>
    <mergeCell ref="D43:E43"/>
    <mergeCell ref="E44:F44"/>
    <mergeCell ref="D45:E45"/>
    <mergeCell ref="D34:E34"/>
    <mergeCell ref="E35:F35"/>
    <mergeCell ref="E36:F36"/>
    <mergeCell ref="D37:E37"/>
    <mergeCell ref="E38:F38"/>
    <mergeCell ref="D39:E39"/>
    <mergeCell ref="E28:F28"/>
    <mergeCell ref="E29:F29"/>
    <mergeCell ref="E30:F30"/>
    <mergeCell ref="E31:F31"/>
    <mergeCell ref="E32:F32"/>
    <mergeCell ref="E33:F33"/>
    <mergeCell ref="E22:F22"/>
    <mergeCell ref="D23:E23"/>
    <mergeCell ref="E24:F24"/>
    <mergeCell ref="D25:E25"/>
    <mergeCell ref="E26:F26"/>
    <mergeCell ref="E27:F27"/>
    <mergeCell ref="E16:F16"/>
    <mergeCell ref="E17:F17"/>
    <mergeCell ref="E18:F18"/>
    <mergeCell ref="E19:F19"/>
    <mergeCell ref="D20:E20"/>
    <mergeCell ref="D21:E21"/>
    <mergeCell ref="D10:E10"/>
    <mergeCell ref="D11:E11"/>
    <mergeCell ref="E12:F12"/>
    <mergeCell ref="D13:E13"/>
    <mergeCell ref="E14:F14"/>
    <mergeCell ref="D15:E15"/>
    <mergeCell ref="C4:D5"/>
    <mergeCell ref="C6:D7"/>
    <mergeCell ref="C8:D9"/>
    <mergeCell ref="F2:G3"/>
    <mergeCell ref="F4:G5"/>
    <mergeCell ref="F6:G7"/>
    <mergeCell ref="F8:G9"/>
    <mergeCell ref="A1:G1"/>
    <mergeCell ref="A2:B3"/>
    <mergeCell ref="A4:B5"/>
    <mergeCell ref="A6:B7"/>
    <mergeCell ref="A8:B9"/>
    <mergeCell ref="E2:E3"/>
    <mergeCell ref="E4:E5"/>
    <mergeCell ref="E6:E7"/>
    <mergeCell ref="E8:E9"/>
    <mergeCell ref="C2:D3"/>
  </mergeCells>
  <printOptions/>
  <pageMargins left="0.394" right="0.394" top="0.591" bottom="0.33" header="0" footer="0"/>
  <pageSetup firstPageNumber="0" useFirstPageNumber="1" fitToHeight="0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C30" sqref="C30"/>
    </sheetView>
  </sheetViews>
  <sheetFormatPr defaultColWidth="21.25" defaultRowHeight="15" customHeight="1"/>
  <cols>
    <col min="1" max="1" width="21.25" style="0" customWidth="1"/>
    <col min="2" max="2" width="30.5" style="0" customWidth="1"/>
    <col min="3" max="3" width="37.25" style="0" customWidth="1"/>
    <col min="4" max="4" width="21.25" style="0" customWidth="1"/>
    <col min="5" max="5" width="32.5" style="0" customWidth="1"/>
    <col min="6" max="6" width="38.75" style="0" customWidth="1"/>
    <col min="7" max="7" width="21.25" style="0" customWidth="1"/>
    <col min="8" max="8" width="30.75" style="0" customWidth="1"/>
    <col min="9" max="9" width="41.25" style="0" customWidth="1"/>
  </cols>
  <sheetData>
    <row r="1" spans="1:9" ht="54.75" customHeight="1">
      <c r="A1" s="191" t="s">
        <v>203</v>
      </c>
      <c r="B1" s="192"/>
      <c r="C1" s="192"/>
      <c r="D1" s="192"/>
      <c r="E1" s="192"/>
      <c r="F1" s="192"/>
      <c r="G1" s="192"/>
      <c r="H1" s="192"/>
      <c r="I1" s="192"/>
    </row>
    <row r="2" spans="1:9" ht="15" customHeight="1">
      <c r="A2" s="193" t="s">
        <v>37</v>
      </c>
      <c r="B2" s="194"/>
      <c r="C2" s="196" t="str">
        <f>'[1]Stavební rozpočet'!D2</f>
        <v>Demolice bývalé ZUŠ</v>
      </c>
      <c r="D2" s="197"/>
      <c r="E2" s="198" t="s">
        <v>550</v>
      </c>
      <c r="F2" s="198" t="str">
        <f>'[1]Stavební rozpočet'!L2</f>
        <v> </v>
      </c>
      <c r="G2" s="194"/>
      <c r="H2" s="198" t="s">
        <v>427</v>
      </c>
      <c r="I2" s="199" t="s">
        <v>450</v>
      </c>
    </row>
    <row r="3" spans="1:9" ht="15" customHeight="1">
      <c r="A3" s="195"/>
      <c r="B3" s="174"/>
      <c r="C3" s="176"/>
      <c r="D3" s="176"/>
      <c r="E3" s="174"/>
      <c r="F3" s="174"/>
      <c r="G3" s="174"/>
      <c r="H3" s="174"/>
      <c r="I3" s="200"/>
    </row>
    <row r="4" spans="1:9" ht="15" customHeight="1">
      <c r="A4" s="201" t="s">
        <v>364</v>
      </c>
      <c r="B4" s="174"/>
      <c r="C4" s="129" t="str">
        <f>'[1]Stavební rozpočet'!D4</f>
        <v>Demolice kůlny</v>
      </c>
      <c r="D4" s="174"/>
      <c r="E4" s="129" t="s">
        <v>448</v>
      </c>
      <c r="F4" s="129" t="str">
        <f>'[1]Stavební rozpočet'!L4</f>
        <v> </v>
      </c>
      <c r="G4" s="174"/>
      <c r="H4" s="129" t="s">
        <v>427</v>
      </c>
      <c r="I4" s="200" t="s">
        <v>450</v>
      </c>
    </row>
    <row r="5" spans="1:9" ht="15" customHeight="1">
      <c r="A5" s="195"/>
      <c r="B5" s="174"/>
      <c r="C5" s="174"/>
      <c r="D5" s="174"/>
      <c r="E5" s="174"/>
      <c r="F5" s="174"/>
      <c r="G5" s="174"/>
      <c r="H5" s="174"/>
      <c r="I5" s="200"/>
    </row>
    <row r="6" spans="1:9" ht="15" customHeight="1">
      <c r="A6" s="201" t="s">
        <v>54</v>
      </c>
      <c r="B6" s="174"/>
      <c r="C6" s="129" t="str">
        <f>'[1]Stavební rozpočet'!D6</f>
        <v>Zábřeh, Sušilova ulice</v>
      </c>
      <c r="D6" s="174"/>
      <c r="E6" s="129" t="s">
        <v>565</v>
      </c>
      <c r="F6" s="129" t="str">
        <f>'[1]Stavební rozpočet'!L6</f>
        <v> </v>
      </c>
      <c r="G6" s="174"/>
      <c r="H6" s="129" t="s">
        <v>427</v>
      </c>
      <c r="I6" s="200" t="s">
        <v>450</v>
      </c>
    </row>
    <row r="7" spans="1:9" ht="15" customHeight="1">
      <c r="A7" s="195"/>
      <c r="B7" s="174"/>
      <c r="C7" s="174"/>
      <c r="D7" s="174"/>
      <c r="E7" s="174"/>
      <c r="F7" s="174"/>
      <c r="G7" s="174"/>
      <c r="H7" s="174"/>
      <c r="I7" s="200"/>
    </row>
    <row r="8" spans="1:9" ht="15" customHeight="1">
      <c r="A8" s="201" t="s">
        <v>573</v>
      </c>
      <c r="B8" s="174"/>
      <c r="C8" s="129"/>
      <c r="D8" s="174"/>
      <c r="E8" s="129" t="s">
        <v>209</v>
      </c>
      <c r="F8" s="129" t="str">
        <f>'[1]Stavební rozpočet'!I6</f>
        <v> </v>
      </c>
      <c r="G8" s="174"/>
      <c r="H8" s="174" t="s">
        <v>658</v>
      </c>
      <c r="I8" s="202">
        <v>53</v>
      </c>
    </row>
    <row r="9" spans="1:9" ht="15" customHeight="1">
      <c r="A9" s="195"/>
      <c r="B9" s="174"/>
      <c r="C9" s="174"/>
      <c r="D9" s="174"/>
      <c r="E9" s="174"/>
      <c r="F9" s="174"/>
      <c r="G9" s="174"/>
      <c r="H9" s="174"/>
      <c r="I9" s="200"/>
    </row>
    <row r="10" spans="1:9" ht="15" customHeight="1">
      <c r="A10" s="201" t="s">
        <v>328</v>
      </c>
      <c r="B10" s="174"/>
      <c r="C10" s="129" t="str">
        <f>'[1]Stavební rozpočet'!D8</f>
        <v> </v>
      </c>
      <c r="D10" s="174"/>
      <c r="E10" s="129" t="s">
        <v>436</v>
      </c>
      <c r="F10" s="129" t="str">
        <f>'[1]Stavební rozpočet'!L8</f>
        <v>Ing. Petr Hošek</v>
      </c>
      <c r="G10" s="174"/>
      <c r="H10" s="174" t="s">
        <v>628</v>
      </c>
      <c r="I10" s="204">
        <v>44890</v>
      </c>
    </row>
    <row r="11" spans="1:9" ht="15" customHeight="1">
      <c r="A11" s="203"/>
      <c r="B11" s="175"/>
      <c r="C11" s="175"/>
      <c r="D11" s="175"/>
      <c r="E11" s="175"/>
      <c r="F11" s="175"/>
      <c r="G11" s="175"/>
      <c r="H11" s="175"/>
      <c r="I11" s="205"/>
    </row>
    <row r="12" spans="1:9" ht="22.5" customHeight="1">
      <c r="A12" s="206" t="s">
        <v>108</v>
      </c>
      <c r="B12" s="206"/>
      <c r="C12" s="206"/>
      <c r="D12" s="206"/>
      <c r="E12" s="206"/>
      <c r="F12" s="206"/>
      <c r="G12" s="206"/>
      <c r="H12" s="206"/>
      <c r="I12" s="206"/>
    </row>
    <row r="13" spans="1:9" ht="26.25" customHeight="1">
      <c r="A13" s="48" t="s">
        <v>578</v>
      </c>
      <c r="B13" s="207" t="s">
        <v>86</v>
      </c>
      <c r="C13" s="208"/>
      <c r="D13" s="49" t="s">
        <v>117</v>
      </c>
      <c r="E13" s="207" t="s">
        <v>240</v>
      </c>
      <c r="F13" s="208"/>
      <c r="G13" s="49" t="s">
        <v>417</v>
      </c>
      <c r="H13" s="207" t="s">
        <v>118</v>
      </c>
      <c r="I13" s="208"/>
    </row>
    <row r="14" spans="1:9" ht="15" customHeight="1">
      <c r="A14" s="50" t="s">
        <v>246</v>
      </c>
      <c r="B14" s="51" t="s">
        <v>163</v>
      </c>
      <c r="C14" s="52">
        <f>SUM('Stavební rozpočet kůlna'!AB12:AB75)</f>
        <v>0</v>
      </c>
      <c r="D14" s="209" t="s">
        <v>464</v>
      </c>
      <c r="E14" s="210"/>
      <c r="F14" s="52">
        <v>0</v>
      </c>
      <c r="G14" s="209" t="s">
        <v>68</v>
      </c>
      <c r="H14" s="210"/>
      <c r="I14" s="52">
        <f>ROUND(C22*(2/100),2)</f>
        <v>0</v>
      </c>
    </row>
    <row r="15" spans="1:9" ht="15" customHeight="1">
      <c r="A15" s="53" t="s">
        <v>450</v>
      </c>
      <c r="B15" s="51" t="s">
        <v>122</v>
      </c>
      <c r="C15" s="52">
        <f>SUM('Stavební rozpočet kůlna'!AC12:AC75)</f>
        <v>0</v>
      </c>
      <c r="D15" s="209" t="s">
        <v>62</v>
      </c>
      <c r="E15" s="210"/>
      <c r="F15" s="52">
        <v>0</v>
      </c>
      <c r="G15" s="209" t="s">
        <v>522</v>
      </c>
      <c r="H15" s="210"/>
      <c r="I15" s="52">
        <v>0</v>
      </c>
    </row>
    <row r="16" spans="1:9" ht="15" customHeight="1">
      <c r="A16" s="50" t="s">
        <v>60</v>
      </c>
      <c r="B16" s="51" t="s">
        <v>163</v>
      </c>
      <c r="C16" s="52">
        <f>SUM('Stavební rozpočet kůlna'!AD13:AD76)</f>
        <v>0</v>
      </c>
      <c r="D16" s="209" t="s">
        <v>476</v>
      </c>
      <c r="E16" s="210"/>
      <c r="F16" s="52">
        <v>0</v>
      </c>
      <c r="G16" s="209" t="s">
        <v>619</v>
      </c>
      <c r="H16" s="210"/>
      <c r="I16" s="52">
        <v>0</v>
      </c>
    </row>
    <row r="17" spans="1:9" ht="15" customHeight="1">
      <c r="A17" s="53" t="s">
        <v>450</v>
      </c>
      <c r="B17" s="51" t="s">
        <v>122</v>
      </c>
      <c r="C17" s="52">
        <f>SUM('Stavební rozpočet kůlna'!AE14:AE77)</f>
        <v>0</v>
      </c>
      <c r="D17" s="209" t="s">
        <v>450</v>
      </c>
      <c r="E17" s="210"/>
      <c r="F17" s="54" t="s">
        <v>450</v>
      </c>
      <c r="G17" s="209" t="s">
        <v>354</v>
      </c>
      <c r="H17" s="210"/>
      <c r="I17" s="52">
        <v>0</v>
      </c>
    </row>
    <row r="18" spans="1:9" ht="15" customHeight="1">
      <c r="A18" s="50" t="s">
        <v>194</v>
      </c>
      <c r="B18" s="51" t="s">
        <v>163</v>
      </c>
      <c r="C18" s="52">
        <f>SUM('[1]Stavební rozpočet'!AF12:AF75)</f>
        <v>0</v>
      </c>
      <c r="D18" s="209" t="s">
        <v>450</v>
      </c>
      <c r="E18" s="210"/>
      <c r="F18" s="54" t="s">
        <v>450</v>
      </c>
      <c r="G18" s="209" t="s">
        <v>429</v>
      </c>
      <c r="H18" s="210"/>
      <c r="I18" s="52">
        <v>0</v>
      </c>
    </row>
    <row r="19" spans="1:9" ht="15" customHeight="1">
      <c r="A19" s="53" t="s">
        <v>450</v>
      </c>
      <c r="B19" s="51" t="s">
        <v>122</v>
      </c>
      <c r="C19" s="52">
        <f>SUM('[1]Stavební rozpočet'!AG12:AG75)</f>
        <v>0</v>
      </c>
      <c r="D19" s="209" t="s">
        <v>450</v>
      </c>
      <c r="E19" s="210"/>
      <c r="F19" s="54" t="s">
        <v>450</v>
      </c>
      <c r="G19" s="209" t="s">
        <v>641</v>
      </c>
      <c r="H19" s="210"/>
      <c r="I19" s="52">
        <v>0</v>
      </c>
    </row>
    <row r="20" spans="1:9" ht="15" customHeight="1">
      <c r="A20" s="211" t="s">
        <v>38</v>
      </c>
      <c r="B20" s="212"/>
      <c r="C20" s="52">
        <f>SUM('[1]Stavební rozpočet'!AH12:AH75)</f>
        <v>0</v>
      </c>
      <c r="D20" s="209" t="s">
        <v>450</v>
      </c>
      <c r="E20" s="210"/>
      <c r="F20" s="54" t="s">
        <v>450</v>
      </c>
      <c r="G20" s="209" t="s">
        <v>450</v>
      </c>
      <c r="H20" s="210"/>
      <c r="I20" s="54" t="s">
        <v>450</v>
      </c>
    </row>
    <row r="21" spans="1:9" ht="15" customHeight="1">
      <c r="A21" s="213" t="s">
        <v>640</v>
      </c>
      <c r="B21" s="214"/>
      <c r="C21" s="55">
        <f>SUM('Stavební rozpočet kůlna'!Z12:Z75)</f>
        <v>0</v>
      </c>
      <c r="D21" s="215" t="s">
        <v>450</v>
      </c>
      <c r="E21" s="216"/>
      <c r="F21" s="56" t="s">
        <v>450</v>
      </c>
      <c r="G21" s="215" t="s">
        <v>450</v>
      </c>
      <c r="H21" s="216"/>
      <c r="I21" s="56" t="s">
        <v>450</v>
      </c>
    </row>
    <row r="22" spans="1:9" ht="16.5" customHeight="1">
      <c r="A22" s="217" t="s">
        <v>126</v>
      </c>
      <c r="B22" s="218"/>
      <c r="C22" s="57">
        <f>SUM(C14:C21)</f>
        <v>0</v>
      </c>
      <c r="D22" s="219" t="s">
        <v>344</v>
      </c>
      <c r="E22" s="218"/>
      <c r="F22" s="57">
        <f>SUM(F14:F21)</f>
        <v>0</v>
      </c>
      <c r="G22" s="219" t="s">
        <v>659</v>
      </c>
      <c r="H22" s="218"/>
      <c r="I22" s="57">
        <f>SUM(I14:I21)</f>
        <v>0</v>
      </c>
    </row>
    <row r="23" spans="1:9" ht="15" customHeight="1" thickBot="1">
      <c r="A23" s="58"/>
      <c r="B23" s="58"/>
      <c r="C23" s="58"/>
      <c r="D23" s="211" t="s">
        <v>524</v>
      </c>
      <c r="E23" s="212"/>
      <c r="F23" s="59">
        <v>0</v>
      </c>
      <c r="G23" s="220" t="s">
        <v>31</v>
      </c>
      <c r="H23" s="212"/>
      <c r="I23" s="52">
        <v>0</v>
      </c>
    </row>
    <row r="24" spans="1:9" ht="15" customHeight="1">
      <c r="A24" s="58"/>
      <c r="B24" s="58"/>
      <c r="C24" s="58"/>
      <c r="D24" s="58"/>
      <c r="E24" s="58"/>
      <c r="F24" s="58"/>
      <c r="G24" s="211" t="s">
        <v>449</v>
      </c>
      <c r="H24" s="212"/>
      <c r="I24" s="52">
        <v>0</v>
      </c>
    </row>
    <row r="25" spans="1:9" ht="15" customHeight="1">
      <c r="A25" s="58"/>
      <c r="B25" s="58"/>
      <c r="C25" s="58"/>
      <c r="D25" s="58"/>
      <c r="E25" s="58"/>
      <c r="F25" s="58"/>
      <c r="G25" s="211" t="s">
        <v>499</v>
      </c>
      <c r="H25" s="212"/>
      <c r="I25" s="52">
        <v>0</v>
      </c>
    </row>
    <row r="26" spans="1:9" ht="15" customHeight="1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5" customHeight="1">
      <c r="A27" s="221" t="s">
        <v>269</v>
      </c>
      <c r="B27" s="222"/>
      <c r="C27" s="60">
        <f>SUM('[1]Stavební rozpočet'!AJ12:AJ75)</f>
        <v>0</v>
      </c>
      <c r="D27" s="58"/>
      <c r="E27" s="58"/>
      <c r="F27" s="58"/>
      <c r="G27" s="58"/>
      <c r="H27" s="58"/>
      <c r="I27" s="58"/>
    </row>
    <row r="28" spans="1:9" ht="15" customHeight="1">
      <c r="A28" s="223" t="s">
        <v>11</v>
      </c>
      <c r="B28" s="224"/>
      <c r="C28" s="61">
        <f>SUM('[1]Stavební rozpočet'!AK12:AK75)</f>
        <v>0</v>
      </c>
      <c r="D28" s="222" t="s">
        <v>141</v>
      </c>
      <c r="E28" s="222"/>
      <c r="F28" s="60">
        <f>ROUND(C28*(15/100),2)</f>
        <v>0</v>
      </c>
      <c r="G28" s="222" t="s">
        <v>98</v>
      </c>
      <c r="H28" s="222"/>
      <c r="I28" s="60">
        <f>SUM(C27:C29)</f>
        <v>0</v>
      </c>
    </row>
    <row r="29" spans="1:9" ht="15" customHeight="1">
      <c r="A29" s="223" t="s">
        <v>27</v>
      </c>
      <c r="B29" s="224"/>
      <c r="C29" s="61">
        <f>C22+F23+I22</f>
        <v>0</v>
      </c>
      <c r="D29" s="224" t="s">
        <v>487</v>
      </c>
      <c r="E29" s="224"/>
      <c r="F29" s="61">
        <f>ROUND(C29*(21/100),2)</f>
        <v>0</v>
      </c>
      <c r="G29" s="224" t="s">
        <v>268</v>
      </c>
      <c r="H29" s="224"/>
      <c r="I29" s="61">
        <f>SUM(F28:F29)+I28</f>
        <v>0</v>
      </c>
    </row>
    <row r="30" spans="1:9" ht="15" customHeight="1" thickBot="1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5" customHeight="1">
      <c r="A31" s="225" t="s">
        <v>8</v>
      </c>
      <c r="B31" s="226"/>
      <c r="C31" s="227"/>
      <c r="D31" s="226" t="s">
        <v>604</v>
      </c>
      <c r="E31" s="226"/>
      <c r="F31" s="227"/>
      <c r="G31" s="226" t="s">
        <v>445</v>
      </c>
      <c r="H31" s="226"/>
      <c r="I31" s="227"/>
    </row>
    <row r="32" spans="1:9" ht="15" customHeight="1">
      <c r="A32" s="228" t="s">
        <v>450</v>
      </c>
      <c r="B32" s="215"/>
      <c r="C32" s="229"/>
      <c r="D32" s="215" t="s">
        <v>450</v>
      </c>
      <c r="E32" s="215"/>
      <c r="F32" s="229"/>
      <c r="G32" s="215" t="s">
        <v>450</v>
      </c>
      <c r="H32" s="215"/>
      <c r="I32" s="229"/>
    </row>
    <row r="33" spans="1:9" ht="15" customHeight="1">
      <c r="A33" s="228" t="s">
        <v>450</v>
      </c>
      <c r="B33" s="215"/>
      <c r="C33" s="229"/>
      <c r="D33" s="215" t="s">
        <v>450</v>
      </c>
      <c r="E33" s="215"/>
      <c r="F33" s="229"/>
      <c r="G33" s="215" t="s">
        <v>450</v>
      </c>
      <c r="H33" s="215"/>
      <c r="I33" s="229"/>
    </row>
    <row r="34" spans="1:9" ht="15" customHeight="1">
      <c r="A34" s="228" t="s">
        <v>450</v>
      </c>
      <c r="B34" s="215"/>
      <c r="C34" s="229"/>
      <c r="D34" s="215" t="s">
        <v>450</v>
      </c>
      <c r="E34" s="215"/>
      <c r="F34" s="229"/>
      <c r="G34" s="215" t="s">
        <v>450</v>
      </c>
      <c r="H34" s="215"/>
      <c r="I34" s="229"/>
    </row>
    <row r="35" spans="1:9" ht="15" customHeight="1" thickBot="1">
      <c r="A35" s="230" t="s">
        <v>123</v>
      </c>
      <c r="B35" s="231"/>
      <c r="C35" s="232"/>
      <c r="D35" s="231" t="s">
        <v>123</v>
      </c>
      <c r="E35" s="231"/>
      <c r="F35" s="232"/>
      <c r="G35" s="231" t="s">
        <v>123</v>
      </c>
      <c r="H35" s="231"/>
      <c r="I35" s="232"/>
    </row>
    <row r="36" ht="15" customHeight="1">
      <c r="A36" s="30"/>
    </row>
    <row r="37" spans="1:9" ht="12.75" customHeight="1">
      <c r="A37" s="130" t="s">
        <v>450</v>
      </c>
      <c r="B37" s="121"/>
      <c r="C37" s="121"/>
      <c r="D37" s="121"/>
      <c r="E37" s="121"/>
      <c r="F37" s="121"/>
      <c r="G37" s="121"/>
      <c r="H37" s="121"/>
      <c r="I37" s="121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19" bottom="0.19" header="0" footer="0"/>
  <pageSetup firstPageNumber="0" useFirstPageNumber="1"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OutlineSymbols="0" zoomScalePageLayoutView="0" workbookViewId="0" topLeftCell="A1">
      <pane ySplit="11" topLeftCell="A12" activePane="bottomLeft" state="frozen"/>
      <selection pane="topLeft" activeCell="G8" sqref="G8:G9"/>
      <selection pane="bottomLeft" activeCell="K34" sqref="K34"/>
    </sheetView>
  </sheetViews>
  <sheetFormatPr defaultColWidth="21.25" defaultRowHeight="15" customHeight="1"/>
  <cols>
    <col min="1" max="2" width="10" style="0" customWidth="1"/>
    <col min="3" max="3" width="83.25" style="0" customWidth="1"/>
    <col min="4" max="6" width="32.5" style="0" customWidth="1"/>
    <col min="7" max="7" width="43.25" style="0" customWidth="1"/>
    <col min="8" max="9" width="21.25" style="0" hidden="1" customWidth="1"/>
  </cols>
  <sheetData>
    <row r="1" spans="1:7" ht="54.75" customHeight="1">
      <c r="A1" s="192" t="s">
        <v>304</v>
      </c>
      <c r="B1" s="192"/>
      <c r="C1" s="192"/>
      <c r="D1" s="192"/>
      <c r="E1" s="192"/>
      <c r="F1" s="192"/>
      <c r="G1" s="192"/>
    </row>
    <row r="2" spans="1:7" ht="15" customHeight="1">
      <c r="A2" s="193" t="s">
        <v>37</v>
      </c>
      <c r="B2" s="194"/>
      <c r="C2" s="196" t="str">
        <f>'[1]Stavební rozpočet'!D2</f>
        <v>Demolice bývalé ZUŠ</v>
      </c>
      <c r="D2" s="194" t="s">
        <v>3</v>
      </c>
      <c r="E2" s="194" t="s">
        <v>595</v>
      </c>
      <c r="F2" s="198" t="s">
        <v>550</v>
      </c>
      <c r="G2" s="233" t="str">
        <f>'[1]Stavební rozpočet'!L2</f>
        <v> </v>
      </c>
    </row>
    <row r="3" spans="1:7" ht="15" customHeight="1">
      <c r="A3" s="195"/>
      <c r="B3" s="174"/>
      <c r="C3" s="176"/>
      <c r="D3" s="174"/>
      <c r="E3" s="174"/>
      <c r="F3" s="174"/>
      <c r="G3" s="200"/>
    </row>
    <row r="4" spans="1:7" ht="15" customHeight="1">
      <c r="A4" s="201" t="s">
        <v>364</v>
      </c>
      <c r="B4" s="174"/>
      <c r="C4" s="129" t="str">
        <f>'[1]Stavební rozpočet'!D4</f>
        <v>Demolice kůlny</v>
      </c>
      <c r="D4" s="174" t="s">
        <v>573</v>
      </c>
      <c r="E4" s="174"/>
      <c r="F4" s="129" t="s">
        <v>448</v>
      </c>
      <c r="G4" s="234" t="str">
        <f>'[1]Stavební rozpočet'!L4</f>
        <v> </v>
      </c>
    </row>
    <row r="5" spans="1:7" ht="15" customHeight="1">
      <c r="A5" s="195"/>
      <c r="B5" s="174"/>
      <c r="C5" s="174"/>
      <c r="D5" s="174"/>
      <c r="E5" s="174"/>
      <c r="F5" s="174"/>
      <c r="G5" s="200"/>
    </row>
    <row r="6" spans="1:7" ht="15" customHeight="1">
      <c r="A6" s="201" t="s">
        <v>54</v>
      </c>
      <c r="B6" s="174"/>
      <c r="C6" s="129" t="str">
        <f>'[1]Stavební rozpočet'!D6</f>
        <v>Zábřeh, Sušilova ulice</v>
      </c>
      <c r="D6" s="174" t="s">
        <v>209</v>
      </c>
      <c r="E6" s="174" t="s">
        <v>595</v>
      </c>
      <c r="F6" s="129" t="s">
        <v>565</v>
      </c>
      <c r="G6" s="234" t="str">
        <f>'[1]Stavební rozpočet'!L6</f>
        <v> </v>
      </c>
    </row>
    <row r="7" spans="1:7" ht="15" customHeight="1">
      <c r="A7" s="195"/>
      <c r="B7" s="174"/>
      <c r="C7" s="174"/>
      <c r="D7" s="174"/>
      <c r="E7" s="174"/>
      <c r="F7" s="174"/>
      <c r="G7" s="200"/>
    </row>
    <row r="8" spans="1:7" ht="15" customHeight="1">
      <c r="A8" s="201" t="s">
        <v>436</v>
      </c>
      <c r="B8" s="174"/>
      <c r="C8" s="129" t="str">
        <f>'[1]Stavební rozpočet'!L8</f>
        <v>Ing. Petr Hošek</v>
      </c>
      <c r="D8" s="174" t="s">
        <v>373</v>
      </c>
      <c r="E8" s="235"/>
      <c r="F8" s="174" t="s">
        <v>373</v>
      </c>
      <c r="G8" s="204">
        <v>44890</v>
      </c>
    </row>
    <row r="9" spans="1:7" ht="15" customHeight="1" thickBot="1">
      <c r="A9" s="195"/>
      <c r="B9" s="174"/>
      <c r="C9" s="174"/>
      <c r="D9" s="174"/>
      <c r="E9" s="174"/>
      <c r="F9" s="174"/>
      <c r="G9" s="200"/>
    </row>
    <row r="10" spans="1:7" ht="15" customHeight="1" thickBot="1">
      <c r="A10" s="103" t="s">
        <v>479</v>
      </c>
      <c r="B10" s="62" t="s">
        <v>211</v>
      </c>
      <c r="C10" s="63" t="s">
        <v>703</v>
      </c>
      <c r="D10" s="104" t="s">
        <v>338</v>
      </c>
      <c r="E10" s="104" t="s">
        <v>734</v>
      </c>
      <c r="F10" s="104" t="s">
        <v>33</v>
      </c>
      <c r="G10" s="105" t="s">
        <v>275</v>
      </c>
    </row>
    <row r="11" spans="1:9" ht="15" customHeight="1">
      <c r="A11" s="64" t="s">
        <v>450</v>
      </c>
      <c r="B11" s="65" t="s">
        <v>544</v>
      </c>
      <c r="C11" s="65" t="s">
        <v>365</v>
      </c>
      <c r="D11" s="66">
        <f>'Stavební rozpočet kůlna'!I12</f>
        <v>0</v>
      </c>
      <c r="E11" s="66">
        <f>'Stavební rozpočet kůlna'!J12</f>
        <v>0</v>
      </c>
      <c r="F11" s="66">
        <f>'[1]Stavební rozpočet'!K12</f>
        <v>1188.5469600000001</v>
      </c>
      <c r="G11" s="67">
        <f>'[1]Stavební rozpočet'!M12</f>
        <v>2.3486634</v>
      </c>
      <c r="H11" s="20" t="s">
        <v>625</v>
      </c>
      <c r="I11" s="2">
        <f aca="true" t="shared" si="0" ref="I11:I38">IF(H11="F",0,F11)</f>
        <v>1188.5469600000001</v>
      </c>
    </row>
    <row r="12" spans="1:9" ht="15" customHeight="1">
      <c r="A12" s="64" t="s">
        <v>450</v>
      </c>
      <c r="B12" s="65" t="s">
        <v>452</v>
      </c>
      <c r="C12" s="65" t="s">
        <v>95</v>
      </c>
      <c r="D12" s="66">
        <f>'Stavební rozpočet kůlna'!I15</f>
        <v>0</v>
      </c>
      <c r="E12" s="66">
        <f>'Stavební rozpočet kůlna'!J15</f>
        <v>0</v>
      </c>
      <c r="F12" s="66">
        <f>'[1]Stavební rozpočet'!K15</f>
        <v>4408.41554</v>
      </c>
      <c r="G12" s="67">
        <f>'[1]Stavební rozpočet'!M15</f>
        <v>7.59604</v>
      </c>
      <c r="H12" s="20" t="s">
        <v>625</v>
      </c>
      <c r="I12" s="2">
        <f t="shared" si="0"/>
        <v>4408.41554</v>
      </c>
    </row>
    <row r="13" spans="1:9" ht="15" customHeight="1">
      <c r="A13" s="64" t="s">
        <v>450</v>
      </c>
      <c r="B13" s="65" t="s">
        <v>523</v>
      </c>
      <c r="C13" s="65" t="s">
        <v>817</v>
      </c>
      <c r="D13" s="66">
        <f>'Stavební rozpočet kůlna'!I18</f>
        <v>0</v>
      </c>
      <c r="E13" s="66">
        <f>'Stavební rozpočet kůlna'!J18</f>
        <v>0</v>
      </c>
      <c r="F13" s="66">
        <f>'[1]Stavební rozpočet'!K18</f>
        <v>817.8494830000001</v>
      </c>
      <c r="G13" s="67">
        <f>'[1]Stavební rozpočet'!M18</f>
        <v>0</v>
      </c>
      <c r="H13" s="20" t="s">
        <v>625</v>
      </c>
      <c r="I13" s="2">
        <f t="shared" si="0"/>
        <v>817.8494830000001</v>
      </c>
    </row>
    <row r="14" spans="1:9" ht="15" customHeight="1">
      <c r="A14" s="64" t="s">
        <v>450</v>
      </c>
      <c r="B14" s="65" t="s">
        <v>723</v>
      </c>
      <c r="C14" s="65" t="s">
        <v>533</v>
      </c>
      <c r="D14" s="66">
        <f>'Stavební rozpočet kůlna'!I20</f>
        <v>0</v>
      </c>
      <c r="E14" s="66">
        <f>'Stavební rozpočet kůlna'!J20</f>
        <v>0</v>
      </c>
      <c r="F14" s="66">
        <f>'[1]Stavební rozpočet'!K20</f>
        <v>2448.7548</v>
      </c>
      <c r="G14" s="67">
        <f>'[1]Stavební rozpočet'!M20</f>
        <v>0.389174076</v>
      </c>
      <c r="H14" s="20" t="s">
        <v>625</v>
      </c>
      <c r="I14" s="2">
        <f t="shared" si="0"/>
        <v>2448.7548</v>
      </c>
    </row>
    <row r="15" spans="1:9" ht="15" customHeight="1">
      <c r="A15" s="64" t="s">
        <v>450</v>
      </c>
      <c r="B15" s="65" t="s">
        <v>470</v>
      </c>
      <c r="C15" s="65" t="s">
        <v>309</v>
      </c>
      <c r="D15" s="66">
        <f>'Stavební rozpočet kůlna'!I22</f>
        <v>0</v>
      </c>
      <c r="E15" s="66">
        <f>'Stavební rozpočet kůlna'!J22</f>
        <v>0</v>
      </c>
      <c r="F15" s="66">
        <f>'[1]Stavební rozpočet'!K22</f>
        <v>1306.125</v>
      </c>
      <c r="G15" s="67">
        <f>'[1]Stavební rozpočet'!M22</f>
        <v>0.3645</v>
      </c>
      <c r="H15" s="20" t="s">
        <v>625</v>
      </c>
      <c r="I15" s="2">
        <f t="shared" si="0"/>
        <v>1306.125</v>
      </c>
    </row>
    <row r="16" spans="1:9" ht="15" customHeight="1">
      <c r="A16" s="64" t="s">
        <v>450</v>
      </c>
      <c r="B16" s="65" t="s">
        <v>410</v>
      </c>
      <c r="C16" s="65" t="s">
        <v>690</v>
      </c>
      <c r="D16" s="66">
        <f>'Stavební rozpočet kůlna'!I24</f>
        <v>0</v>
      </c>
      <c r="E16" s="66">
        <f>'Stavební rozpočet kůlna'!J24</f>
        <v>0</v>
      </c>
      <c r="F16" s="66">
        <f>'[1]Stavební rozpočet'!K24</f>
        <v>19283.308729</v>
      </c>
      <c r="G16" s="67">
        <f>'[1]Stavební rozpočet'!M24</f>
        <v>4.8356212759999995</v>
      </c>
      <c r="H16" s="20" t="s">
        <v>625</v>
      </c>
      <c r="I16" s="2">
        <f t="shared" si="0"/>
        <v>19283.308729</v>
      </c>
    </row>
    <row r="17" spans="1:9" ht="15" customHeight="1">
      <c r="A17" s="64" t="s">
        <v>450</v>
      </c>
      <c r="B17" s="65" t="s">
        <v>47</v>
      </c>
      <c r="C17" s="65" t="s">
        <v>96</v>
      </c>
      <c r="D17" s="66">
        <f>'Stavební rozpočet kůlna'!I33</f>
        <v>0</v>
      </c>
      <c r="E17" s="66">
        <f>'Stavební rozpočet kůlna'!J33</f>
        <v>0</v>
      </c>
      <c r="F17" s="66">
        <f>'[1]Stavební rozpočet'!K33</f>
        <v>44450.397493</v>
      </c>
      <c r="G17" s="67">
        <f>'[1]Stavební rozpočet'!M33</f>
        <v>0.785663276</v>
      </c>
      <c r="H17" s="20" t="s">
        <v>625</v>
      </c>
      <c r="I17" s="2">
        <f t="shared" si="0"/>
        <v>44450.397493</v>
      </c>
    </row>
    <row r="18" spans="1:9" ht="15" customHeight="1">
      <c r="A18" s="64" t="s">
        <v>450</v>
      </c>
      <c r="B18" s="65" t="s">
        <v>180</v>
      </c>
      <c r="C18" s="65" t="s">
        <v>558</v>
      </c>
      <c r="D18" s="66">
        <f>'Stavební rozpočet kůlna'!I46</f>
        <v>0</v>
      </c>
      <c r="E18" s="66">
        <f>'Stavební rozpočet kůlna'!J46</f>
        <v>0</v>
      </c>
      <c r="F18" s="66">
        <f>'[1]Stavební rozpočet'!K46</f>
        <v>10661.0175</v>
      </c>
      <c r="G18" s="67">
        <f>'[1]Stavební rozpočet'!M46</f>
        <v>0.8505</v>
      </c>
      <c r="H18" s="20" t="s">
        <v>625</v>
      </c>
      <c r="I18" s="2">
        <f t="shared" si="0"/>
        <v>10661.0175</v>
      </c>
    </row>
    <row r="19" spans="1:9" ht="15" customHeight="1">
      <c r="A19" s="64" t="s">
        <v>450</v>
      </c>
      <c r="B19" s="65" t="s">
        <v>80</v>
      </c>
      <c r="C19" s="65" t="s">
        <v>457</v>
      </c>
      <c r="D19" s="66">
        <f>'Stavební rozpočet kůlna'!I48</f>
        <v>0</v>
      </c>
      <c r="E19" s="66">
        <f>'Stavební rozpočet kůlna'!J48</f>
        <v>0</v>
      </c>
      <c r="F19" s="66">
        <f>'[1]Stavební rozpočet'!K48</f>
        <v>5560.6131000000005</v>
      </c>
      <c r="G19" s="67">
        <f>'[1]Stavební rozpočet'!M48</f>
        <v>0.051228972000000005</v>
      </c>
      <c r="H19" s="20" t="s">
        <v>625</v>
      </c>
      <c r="I19" s="2">
        <f t="shared" si="0"/>
        <v>5560.6131000000005</v>
      </c>
    </row>
    <row r="20" spans="1:9" ht="15" customHeight="1">
      <c r="A20" s="64" t="s">
        <v>450</v>
      </c>
      <c r="B20" s="65" t="s">
        <v>370</v>
      </c>
      <c r="C20" s="65" t="s">
        <v>481</v>
      </c>
      <c r="D20" s="66">
        <f>'Stavební rozpočet kůlna'!I50</f>
        <v>0</v>
      </c>
      <c r="E20" s="66">
        <f>'Stavební rozpočet kůlna'!J50</f>
        <v>0</v>
      </c>
      <c r="F20" s="66">
        <f>'[1]Stavební rozpočet'!K50</f>
        <v>22703.916847</v>
      </c>
      <c r="G20" s="67">
        <f>'[1]Stavební rozpočet'!M50</f>
        <v>20.5685616972</v>
      </c>
      <c r="H20" s="20" t="s">
        <v>625</v>
      </c>
      <c r="I20" s="2">
        <f t="shared" si="0"/>
        <v>22703.916847</v>
      </c>
    </row>
    <row r="21" spans="1:9" ht="15" customHeight="1" thickBot="1">
      <c r="A21" s="64" t="s">
        <v>450</v>
      </c>
      <c r="B21" s="65" t="s">
        <v>455</v>
      </c>
      <c r="C21" s="65" t="s">
        <v>570</v>
      </c>
      <c r="D21" s="66">
        <f>'Stavební rozpočet kůlna'!I65</f>
        <v>0</v>
      </c>
      <c r="E21" s="66">
        <f>'Stavební rozpočet kůlna'!J65</f>
        <v>0</v>
      </c>
      <c r="F21" s="66">
        <f>'[1]Stavební rozpočet'!K65</f>
        <v>350450.55499459995</v>
      </c>
      <c r="G21" s="67">
        <f>'[1]Stavební rozpočet'!M65</f>
        <v>64.54226631249999</v>
      </c>
      <c r="H21" s="20" t="s">
        <v>625</v>
      </c>
      <c r="I21" s="2">
        <f t="shared" si="0"/>
        <v>350450.55499459995</v>
      </c>
    </row>
    <row r="22" spans="1:9" ht="15" customHeight="1" thickBot="1">
      <c r="A22" s="106"/>
      <c r="B22" s="107"/>
      <c r="C22" s="107"/>
      <c r="D22" s="107"/>
      <c r="E22" s="102" t="s">
        <v>520</v>
      </c>
      <c r="F22" s="45">
        <f>SUM(I11:I21)</f>
        <v>463279.50044659997</v>
      </c>
      <c r="G22" s="108"/>
      <c r="H22" s="20" t="s">
        <v>625</v>
      </c>
      <c r="I22" s="2">
        <f t="shared" si="0"/>
        <v>463279.50044659997</v>
      </c>
    </row>
    <row r="23" spans="1:9" ht="15" customHeight="1">
      <c r="A23" s="58"/>
      <c r="B23" s="58"/>
      <c r="C23" s="58"/>
      <c r="D23" s="58"/>
      <c r="E23" s="58"/>
      <c r="F23" s="58"/>
      <c r="G23" s="58"/>
      <c r="H23" s="20" t="s">
        <v>625</v>
      </c>
      <c r="I23" s="2">
        <f t="shared" si="0"/>
        <v>0</v>
      </c>
    </row>
    <row r="24" spans="1:9" ht="15" customHeight="1">
      <c r="A24" s="58"/>
      <c r="B24" s="58"/>
      <c r="C24" s="58"/>
      <c r="D24" s="58"/>
      <c r="E24" s="58"/>
      <c r="F24" s="58"/>
      <c r="G24" s="58"/>
      <c r="H24" s="20" t="s">
        <v>625</v>
      </c>
      <c r="I24" s="2">
        <f t="shared" si="0"/>
        <v>0</v>
      </c>
    </row>
    <row r="25" spans="1:9" ht="15" customHeight="1">
      <c r="A25" s="58"/>
      <c r="B25" s="58"/>
      <c r="C25" s="58"/>
      <c r="D25" s="58"/>
      <c r="E25" s="58"/>
      <c r="F25" s="58"/>
      <c r="G25" s="58"/>
      <c r="H25" s="20" t="s">
        <v>625</v>
      </c>
      <c r="I25" s="2">
        <f t="shared" si="0"/>
        <v>0</v>
      </c>
    </row>
    <row r="26" spans="1:9" ht="15" customHeight="1">
      <c r="A26" s="58"/>
      <c r="B26" s="58"/>
      <c r="C26" s="58"/>
      <c r="D26" s="58"/>
      <c r="E26" s="58"/>
      <c r="F26" s="58"/>
      <c r="G26" s="58"/>
      <c r="H26" s="20" t="s">
        <v>625</v>
      </c>
      <c r="I26" s="2">
        <f t="shared" si="0"/>
        <v>0</v>
      </c>
    </row>
    <row r="27" spans="1:9" ht="15" customHeight="1">
      <c r="A27" s="58"/>
      <c r="B27" s="58"/>
      <c r="C27" s="58"/>
      <c r="D27" s="109"/>
      <c r="E27" s="58"/>
      <c r="F27" s="58"/>
      <c r="G27" s="58"/>
      <c r="H27" s="20" t="s">
        <v>625</v>
      </c>
      <c r="I27" s="2">
        <f t="shared" si="0"/>
        <v>0</v>
      </c>
    </row>
    <row r="28" spans="1:9" ht="15" customHeight="1">
      <c r="A28" s="58"/>
      <c r="B28" s="58"/>
      <c r="C28" s="58"/>
      <c r="D28" s="58"/>
      <c r="E28" s="58"/>
      <c r="F28" s="58"/>
      <c r="G28" s="58"/>
      <c r="H28" s="20" t="s">
        <v>625</v>
      </c>
      <c r="I28" s="2">
        <f t="shared" si="0"/>
        <v>0</v>
      </c>
    </row>
    <row r="29" spans="1:9" ht="15" customHeight="1">
      <c r="A29" s="58"/>
      <c r="B29" s="58"/>
      <c r="C29" s="58"/>
      <c r="D29" s="109"/>
      <c r="E29" s="58"/>
      <c r="F29" s="58"/>
      <c r="G29" s="58"/>
      <c r="H29" s="20" t="s">
        <v>625</v>
      </c>
      <c r="I29" s="2">
        <f t="shared" si="0"/>
        <v>0</v>
      </c>
    </row>
    <row r="30" spans="1:9" ht="15" customHeight="1">
      <c r="A30" s="58"/>
      <c r="B30" s="58"/>
      <c r="C30" s="58"/>
      <c r="D30" s="58"/>
      <c r="E30" s="58"/>
      <c r="F30" s="58"/>
      <c r="G30" s="58"/>
      <c r="H30" s="20" t="s">
        <v>625</v>
      </c>
      <c r="I30" s="2">
        <f t="shared" si="0"/>
        <v>0</v>
      </c>
    </row>
    <row r="31" spans="1:9" ht="15" customHeight="1">
      <c r="A31" s="58"/>
      <c r="B31" s="58"/>
      <c r="C31" s="58"/>
      <c r="D31" s="58"/>
      <c r="E31" s="58"/>
      <c r="F31" s="58"/>
      <c r="G31" s="58"/>
      <c r="H31" s="20" t="s">
        <v>625</v>
      </c>
      <c r="I31" s="2">
        <f t="shared" si="0"/>
        <v>0</v>
      </c>
    </row>
    <row r="32" spans="1:9" ht="15" customHeight="1">
      <c r="A32" s="58"/>
      <c r="B32" s="58"/>
      <c r="C32" s="58"/>
      <c r="D32" s="58"/>
      <c r="E32" s="58"/>
      <c r="F32" s="58"/>
      <c r="G32" s="58"/>
      <c r="H32" s="20" t="s">
        <v>625</v>
      </c>
      <c r="I32" s="2">
        <f t="shared" si="0"/>
        <v>0</v>
      </c>
    </row>
    <row r="33" spans="1:9" ht="15" customHeight="1">
      <c r="A33" s="58"/>
      <c r="B33" s="58"/>
      <c r="C33" s="58"/>
      <c r="D33" s="58"/>
      <c r="E33" s="58"/>
      <c r="F33" s="58"/>
      <c r="G33" s="58"/>
      <c r="H33" s="20" t="s">
        <v>625</v>
      </c>
      <c r="I33" s="2">
        <f t="shared" si="0"/>
        <v>0</v>
      </c>
    </row>
    <row r="34" spans="1:9" ht="15" customHeight="1">
      <c r="A34" s="58"/>
      <c r="B34" s="58"/>
      <c r="C34" s="58"/>
      <c r="D34" s="58"/>
      <c r="E34" s="58"/>
      <c r="F34" s="58"/>
      <c r="G34" s="58"/>
      <c r="H34" s="20" t="s">
        <v>625</v>
      </c>
      <c r="I34" s="2">
        <f t="shared" si="0"/>
        <v>0</v>
      </c>
    </row>
    <row r="35" spans="1:9" ht="15" customHeight="1">
      <c r="A35" s="58"/>
      <c r="B35" s="58"/>
      <c r="C35" s="58"/>
      <c r="D35" s="58"/>
      <c r="E35" s="58"/>
      <c r="F35" s="58"/>
      <c r="G35" s="58"/>
      <c r="H35" s="20" t="s">
        <v>625</v>
      </c>
      <c r="I35" s="2">
        <f t="shared" si="0"/>
        <v>0</v>
      </c>
    </row>
    <row r="36" spans="1:9" ht="15" customHeight="1">
      <c r="A36" s="58"/>
      <c r="B36" s="58"/>
      <c r="C36" s="58"/>
      <c r="D36" s="58"/>
      <c r="E36" s="58"/>
      <c r="F36" s="58"/>
      <c r="G36" s="58"/>
      <c r="H36" s="20" t="s">
        <v>625</v>
      </c>
      <c r="I36" s="2">
        <f t="shared" si="0"/>
        <v>0</v>
      </c>
    </row>
    <row r="37" spans="1:9" ht="15" customHeight="1">
      <c r="A37" s="58"/>
      <c r="B37" s="58"/>
      <c r="C37" s="58"/>
      <c r="D37" s="58"/>
      <c r="E37" s="58"/>
      <c r="F37" s="58"/>
      <c r="G37" s="58"/>
      <c r="H37" s="20" t="s">
        <v>625</v>
      </c>
      <c r="I37" s="2">
        <f t="shared" si="0"/>
        <v>0</v>
      </c>
    </row>
    <row r="38" spans="1:9" ht="15" customHeight="1">
      <c r="A38" s="58"/>
      <c r="B38" s="58"/>
      <c r="C38" s="58"/>
      <c r="D38" s="58"/>
      <c r="E38" s="58"/>
      <c r="F38" s="58"/>
      <c r="G38" s="58"/>
      <c r="H38" s="20" t="s">
        <v>625</v>
      </c>
      <c r="I38" s="2">
        <f t="shared" si="0"/>
        <v>0</v>
      </c>
    </row>
    <row r="39" spans="1:7" ht="15" customHeight="1">
      <c r="A39" s="58"/>
      <c r="B39" s="58"/>
      <c r="C39" s="58"/>
      <c r="D39" s="58"/>
      <c r="E39" s="58"/>
      <c r="F39" s="58"/>
      <c r="G39" s="58"/>
    </row>
    <row r="40" spans="1:7" ht="15" customHeight="1">
      <c r="A40" s="58"/>
      <c r="B40" s="58"/>
      <c r="C40" s="58"/>
      <c r="D40" s="58"/>
      <c r="E40" s="58"/>
      <c r="F40" s="58"/>
      <c r="G40" s="58"/>
    </row>
    <row r="41" spans="1:7" ht="15" customHeight="1">
      <c r="A41" s="58"/>
      <c r="B41" s="58"/>
      <c r="C41" s="58"/>
      <c r="D41" s="58"/>
      <c r="E41" s="58"/>
      <c r="F41" s="58"/>
      <c r="G41" s="58"/>
    </row>
    <row r="42" spans="1:7" ht="15" customHeight="1">
      <c r="A42" s="58"/>
      <c r="B42" s="58"/>
      <c r="C42" s="58"/>
      <c r="D42" s="58"/>
      <c r="E42" s="58"/>
      <c r="F42" s="58"/>
      <c r="G42" s="58"/>
    </row>
    <row r="43" spans="1:7" ht="15" customHeight="1">
      <c r="A43" s="58"/>
      <c r="B43" s="58"/>
      <c r="C43" s="58"/>
      <c r="D43" s="58"/>
      <c r="E43" s="58"/>
      <c r="F43" s="58"/>
      <c r="G43" s="58"/>
    </row>
    <row r="44" spans="1:7" ht="15" customHeight="1">
      <c r="A44" s="58"/>
      <c r="B44" s="58"/>
      <c r="C44" s="58"/>
      <c r="D44" s="58"/>
      <c r="E44" s="58"/>
      <c r="F44" s="58"/>
      <c r="G44" s="58"/>
    </row>
    <row r="45" spans="1:7" ht="15" customHeight="1">
      <c r="A45" s="58"/>
      <c r="B45" s="58"/>
      <c r="C45" s="58"/>
      <c r="D45" s="58"/>
      <c r="E45" s="58"/>
      <c r="F45" s="58"/>
      <c r="G45" s="58"/>
    </row>
    <row r="46" spans="1:7" ht="15" customHeight="1">
      <c r="A46" s="58"/>
      <c r="B46" s="58"/>
      <c r="C46" s="58"/>
      <c r="D46" s="58"/>
      <c r="E46" s="58"/>
      <c r="F46" s="58"/>
      <c r="G46" s="58"/>
    </row>
    <row r="47" spans="1:7" ht="15" customHeight="1">
      <c r="A47" s="58"/>
      <c r="B47" s="58"/>
      <c r="C47" s="58"/>
      <c r="D47" s="58"/>
      <c r="E47" s="58"/>
      <c r="F47" s="58"/>
      <c r="G47" s="58"/>
    </row>
    <row r="48" spans="1:7" ht="15" customHeight="1">
      <c r="A48" s="58"/>
      <c r="B48" s="58"/>
      <c r="C48" s="58"/>
      <c r="D48" s="58"/>
      <c r="E48" s="58"/>
      <c r="F48" s="58"/>
      <c r="G48" s="58"/>
    </row>
    <row r="49" spans="1:7" ht="15" customHeight="1">
      <c r="A49" s="58"/>
      <c r="B49" s="58"/>
      <c r="C49" s="58"/>
      <c r="D49" s="58"/>
      <c r="E49" s="58"/>
      <c r="F49" s="58"/>
      <c r="G49" s="58"/>
    </row>
    <row r="50" spans="1:7" ht="15" customHeight="1">
      <c r="A50" s="58"/>
      <c r="B50" s="58"/>
      <c r="C50" s="58"/>
      <c r="D50" s="58"/>
      <c r="E50" s="58"/>
      <c r="F50" s="58"/>
      <c r="G50" s="58"/>
    </row>
  </sheetData>
  <sheetProtection/>
  <mergeCells count="25"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8"/>
  <sheetViews>
    <sheetView showOutlineSymbols="0" zoomScalePageLayoutView="0" workbookViewId="0" topLeftCell="A1">
      <pane ySplit="11" topLeftCell="A37" activePane="bottomLeft" state="frozen"/>
      <selection pane="topLeft" activeCell="A159" sqref="A159:N159"/>
      <selection pane="bottomLeft" activeCell="BQ51" sqref="BQ51"/>
    </sheetView>
  </sheetViews>
  <sheetFormatPr defaultColWidth="21.25" defaultRowHeight="15" customHeight="1"/>
  <cols>
    <col min="1" max="7" width="21.25" style="0" customWidth="1"/>
    <col min="8" max="8" width="16.25" style="0" customWidth="1"/>
    <col min="9" max="9" width="21.25" style="0" customWidth="1"/>
    <col min="10" max="10" width="19.25" style="0" customWidth="1"/>
    <col min="11" max="11" width="20.25" style="0" customWidth="1"/>
    <col min="12" max="15" width="21.25" style="0" customWidth="1"/>
    <col min="16" max="60" width="0" style="0" hidden="1" customWidth="1"/>
    <col min="61" max="65" width="21.25" style="0" hidden="1" customWidth="1"/>
  </cols>
  <sheetData>
    <row r="1" spans="1:14" s="58" customFormat="1" ht="36.75" customHeight="1">
      <c r="A1" s="192" t="s">
        <v>363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58" customFormat="1" ht="15" customHeight="1">
      <c r="A2" s="193" t="s">
        <v>37</v>
      </c>
      <c r="B2" s="194"/>
      <c r="C2" s="194"/>
      <c r="D2" s="196" t="s">
        <v>230</v>
      </c>
      <c r="E2" s="197"/>
      <c r="F2" s="197"/>
      <c r="G2" s="194" t="s">
        <v>3</v>
      </c>
      <c r="H2" s="194"/>
      <c r="I2" s="194" t="s">
        <v>595</v>
      </c>
      <c r="J2" s="198" t="s">
        <v>550</v>
      </c>
      <c r="K2" s="194"/>
      <c r="L2" s="194" t="s">
        <v>315</v>
      </c>
      <c r="M2" s="194"/>
      <c r="N2" s="199"/>
    </row>
    <row r="3" spans="1:14" s="58" customFormat="1" ht="15" customHeight="1">
      <c r="A3" s="195"/>
      <c r="B3" s="174"/>
      <c r="C3" s="174"/>
      <c r="D3" s="176"/>
      <c r="E3" s="176"/>
      <c r="F3" s="176"/>
      <c r="G3" s="174"/>
      <c r="H3" s="174"/>
      <c r="I3" s="174"/>
      <c r="J3" s="174"/>
      <c r="K3" s="174"/>
      <c r="L3" s="174"/>
      <c r="M3" s="174"/>
      <c r="N3" s="200"/>
    </row>
    <row r="4" spans="1:14" s="58" customFormat="1" ht="15" customHeight="1">
      <c r="A4" s="201" t="s">
        <v>364</v>
      </c>
      <c r="B4" s="174"/>
      <c r="C4" s="174"/>
      <c r="D4" s="129" t="s">
        <v>816</v>
      </c>
      <c r="E4" s="174"/>
      <c r="F4" s="174"/>
      <c r="G4" s="174" t="s">
        <v>573</v>
      </c>
      <c r="H4" s="174"/>
      <c r="I4" s="174"/>
      <c r="J4" s="129" t="s">
        <v>448</v>
      </c>
      <c r="K4" s="174"/>
      <c r="L4" s="174" t="s">
        <v>315</v>
      </c>
      <c r="M4" s="174"/>
      <c r="N4" s="200"/>
    </row>
    <row r="5" spans="1:14" s="58" customFormat="1" ht="15" customHeight="1">
      <c r="A5" s="195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200"/>
    </row>
    <row r="6" spans="1:14" s="58" customFormat="1" ht="15" customHeight="1">
      <c r="A6" s="201" t="s">
        <v>54</v>
      </c>
      <c r="B6" s="174"/>
      <c r="C6" s="174"/>
      <c r="D6" s="129" t="s">
        <v>206</v>
      </c>
      <c r="E6" s="174"/>
      <c r="F6" s="174"/>
      <c r="G6" s="174" t="s">
        <v>209</v>
      </c>
      <c r="H6" s="174"/>
      <c r="I6" s="174" t="s">
        <v>595</v>
      </c>
      <c r="J6" s="129" t="s">
        <v>565</v>
      </c>
      <c r="K6" s="174"/>
      <c r="L6" s="174" t="s">
        <v>315</v>
      </c>
      <c r="M6" s="174"/>
      <c r="N6" s="200"/>
    </row>
    <row r="7" spans="1:14" s="58" customFormat="1" ht="15" customHeight="1">
      <c r="A7" s="195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200"/>
    </row>
    <row r="8" spans="1:14" s="58" customFormat="1" ht="15" customHeight="1">
      <c r="A8" s="201" t="s">
        <v>328</v>
      </c>
      <c r="B8" s="174"/>
      <c r="C8" s="174"/>
      <c r="D8" s="129" t="s">
        <v>595</v>
      </c>
      <c r="E8" s="174"/>
      <c r="F8" s="174"/>
      <c r="G8" s="174" t="s">
        <v>373</v>
      </c>
      <c r="H8" s="174"/>
      <c r="I8" s="235">
        <v>44890</v>
      </c>
      <c r="J8" s="129" t="s">
        <v>436</v>
      </c>
      <c r="K8" s="174"/>
      <c r="L8" s="174" t="s">
        <v>739</v>
      </c>
      <c r="M8" s="174"/>
      <c r="N8" s="200"/>
    </row>
    <row r="9" spans="1:14" s="58" customFormat="1" ht="15" customHeight="1" thickBot="1">
      <c r="A9" s="195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200"/>
    </row>
    <row r="10" spans="1:64" s="58" customFormat="1" ht="15" customHeight="1">
      <c r="A10" s="83" t="s">
        <v>45</v>
      </c>
      <c r="B10" s="84" t="s">
        <v>479</v>
      </c>
      <c r="C10" s="84" t="s">
        <v>211</v>
      </c>
      <c r="D10" s="236" t="s">
        <v>703</v>
      </c>
      <c r="E10" s="237"/>
      <c r="F10" s="84" t="s">
        <v>227</v>
      </c>
      <c r="G10" s="85" t="s">
        <v>394</v>
      </c>
      <c r="H10" s="86" t="s">
        <v>205</v>
      </c>
      <c r="I10" s="238" t="s">
        <v>420</v>
      </c>
      <c r="J10" s="239"/>
      <c r="K10" s="240"/>
      <c r="L10" s="239" t="s">
        <v>104</v>
      </c>
      <c r="M10" s="239"/>
      <c r="N10" s="87" t="s">
        <v>175</v>
      </c>
      <c r="BK10" s="99" t="s">
        <v>266</v>
      </c>
      <c r="BL10" s="110" t="s">
        <v>349</v>
      </c>
    </row>
    <row r="11" spans="1:62" s="58" customFormat="1" ht="15" customHeight="1" thickBot="1">
      <c r="A11" s="88" t="s">
        <v>595</v>
      </c>
      <c r="B11" s="89" t="s">
        <v>595</v>
      </c>
      <c r="C11" s="89" t="s">
        <v>595</v>
      </c>
      <c r="D11" s="241" t="s">
        <v>653</v>
      </c>
      <c r="E11" s="242"/>
      <c r="F11" s="89" t="s">
        <v>595</v>
      </c>
      <c r="G11" s="89" t="s">
        <v>595</v>
      </c>
      <c r="H11" s="90" t="s">
        <v>610</v>
      </c>
      <c r="I11" s="91" t="s">
        <v>29</v>
      </c>
      <c r="J11" s="92" t="s">
        <v>122</v>
      </c>
      <c r="K11" s="93" t="s">
        <v>66</v>
      </c>
      <c r="L11" s="92" t="s">
        <v>213</v>
      </c>
      <c r="M11" s="90" t="s">
        <v>66</v>
      </c>
      <c r="N11" s="94" t="s">
        <v>166</v>
      </c>
      <c r="Z11" s="99" t="s">
        <v>511</v>
      </c>
      <c r="AA11" s="99" t="s">
        <v>406</v>
      </c>
      <c r="AB11" s="99" t="s">
        <v>674</v>
      </c>
      <c r="AC11" s="99" t="s">
        <v>183</v>
      </c>
      <c r="AD11" s="99" t="s">
        <v>554</v>
      </c>
      <c r="AE11" s="99" t="s">
        <v>245</v>
      </c>
      <c r="AF11" s="99" t="s">
        <v>580</v>
      </c>
      <c r="AG11" s="99" t="s">
        <v>284</v>
      </c>
      <c r="AH11" s="99" t="s">
        <v>172</v>
      </c>
      <c r="BH11" s="99" t="s">
        <v>512</v>
      </c>
      <c r="BI11" s="99" t="s">
        <v>660</v>
      </c>
      <c r="BJ11" s="99" t="s">
        <v>711</v>
      </c>
    </row>
    <row r="12" spans="1:47" s="58" customFormat="1" ht="15" customHeight="1">
      <c r="A12" s="95" t="s">
        <v>450</v>
      </c>
      <c r="B12" s="96" t="s">
        <v>450</v>
      </c>
      <c r="C12" s="96" t="s">
        <v>544</v>
      </c>
      <c r="D12" s="173" t="s">
        <v>365</v>
      </c>
      <c r="E12" s="173"/>
      <c r="F12" s="97" t="s">
        <v>595</v>
      </c>
      <c r="G12" s="97" t="s">
        <v>595</v>
      </c>
      <c r="H12" s="97" t="s">
        <v>595</v>
      </c>
      <c r="I12" s="98">
        <f>SUM(I13:I14)</f>
        <v>0</v>
      </c>
      <c r="J12" s="98">
        <f>SUM(J13:J14)</f>
        <v>0</v>
      </c>
      <c r="K12" s="98">
        <f>SUM(K13:K14)</f>
        <v>0</v>
      </c>
      <c r="L12" s="99" t="s">
        <v>450</v>
      </c>
      <c r="M12" s="98">
        <f>SUM(M13:M14)</f>
        <v>2.3486634</v>
      </c>
      <c r="N12" s="100" t="s">
        <v>450</v>
      </c>
      <c r="AI12" s="99" t="s">
        <v>450</v>
      </c>
      <c r="AS12" s="98">
        <f>SUM(AJ13:AJ14)</f>
        <v>0</v>
      </c>
      <c r="AT12" s="98">
        <f>SUM(AK13:AK14)</f>
        <v>0</v>
      </c>
      <c r="AU12" s="98">
        <f>SUM(AL13:AL14)</f>
        <v>0</v>
      </c>
    </row>
    <row r="13" spans="1:64" s="58" customFormat="1" ht="15" customHeight="1">
      <c r="A13" s="64" t="s">
        <v>644</v>
      </c>
      <c r="B13" s="65" t="s">
        <v>450</v>
      </c>
      <c r="C13" s="65" t="s">
        <v>569</v>
      </c>
      <c r="D13" s="174" t="s">
        <v>288</v>
      </c>
      <c r="E13" s="174"/>
      <c r="F13" s="65" t="s">
        <v>635</v>
      </c>
      <c r="G13" s="66">
        <v>10.5193</v>
      </c>
      <c r="H13" s="66"/>
      <c r="I13" s="66">
        <f>G13*AO13</f>
        <v>0</v>
      </c>
      <c r="J13" s="66">
        <f>G13*AP13</f>
        <v>0</v>
      </c>
      <c r="K13" s="66">
        <f>G13*H13</f>
        <v>0</v>
      </c>
      <c r="L13" s="66">
        <v>0.138</v>
      </c>
      <c r="M13" s="66">
        <f>G13*L13</f>
        <v>1.4516634</v>
      </c>
      <c r="N13" s="69" t="s">
        <v>545</v>
      </c>
      <c r="Z13" s="66">
        <f>IF(AQ13="5",BJ13,0)</f>
        <v>0</v>
      </c>
      <c r="AB13" s="66">
        <f>IF(AQ13="1",BH13,0)</f>
        <v>0</v>
      </c>
      <c r="AC13" s="66">
        <f>IF(AQ13="1",BI13,0)</f>
        <v>0</v>
      </c>
      <c r="AD13" s="66">
        <f>IF(AQ13="7",BH13,0)</f>
        <v>0</v>
      </c>
      <c r="AE13" s="66">
        <f>IF(AQ13="7",BI13,0)</f>
        <v>0</v>
      </c>
      <c r="AF13" s="66">
        <f>IF(AQ13="2",BH13,0)</f>
        <v>0</v>
      </c>
      <c r="AG13" s="66">
        <f>IF(AQ13="2",BI13,0)</f>
        <v>0</v>
      </c>
      <c r="AH13" s="66">
        <f>IF(AQ13="0",BJ13,0)</f>
        <v>0</v>
      </c>
      <c r="AI13" s="99" t="s">
        <v>450</v>
      </c>
      <c r="AJ13" s="66">
        <f>IF(AN13=0,K13,0)</f>
        <v>0</v>
      </c>
      <c r="AK13" s="66">
        <f>IF(AN13=15,K13,0)</f>
        <v>0</v>
      </c>
      <c r="AL13" s="66">
        <f>IF(AN13=21,K13,0)</f>
        <v>0</v>
      </c>
      <c r="AN13" s="66">
        <v>21</v>
      </c>
      <c r="AO13" s="66">
        <f>H13*0</f>
        <v>0</v>
      </c>
      <c r="AP13" s="66">
        <f>H13*(1-0)</f>
        <v>0</v>
      </c>
      <c r="AQ13" s="111" t="s">
        <v>644</v>
      </c>
      <c r="AV13" s="66">
        <f>AW13+AX13</f>
        <v>0</v>
      </c>
      <c r="AW13" s="66">
        <f>G13*AO13</f>
        <v>0</v>
      </c>
      <c r="AX13" s="66">
        <f>G13*AP13</f>
        <v>0</v>
      </c>
      <c r="AY13" s="111" t="s">
        <v>71</v>
      </c>
      <c r="AZ13" s="111" t="s">
        <v>76</v>
      </c>
      <c r="BA13" s="99" t="s">
        <v>498</v>
      </c>
      <c r="BC13" s="66">
        <f>AW13+AX13</f>
        <v>0</v>
      </c>
      <c r="BD13" s="66">
        <f>H13/(100-BE13)*100</f>
        <v>0</v>
      </c>
      <c r="BE13" s="66">
        <v>0</v>
      </c>
      <c r="BF13" s="66">
        <f>M13</f>
        <v>1.4516634</v>
      </c>
      <c r="BH13" s="66">
        <f>G13*AO13</f>
        <v>0</v>
      </c>
      <c r="BI13" s="66">
        <f>G13*AP13</f>
        <v>0</v>
      </c>
      <c r="BJ13" s="66">
        <f>G13*H13</f>
        <v>0</v>
      </c>
      <c r="BK13" s="66"/>
      <c r="BL13" s="66">
        <v>11</v>
      </c>
    </row>
    <row r="14" spans="1:64" s="58" customFormat="1" ht="15" customHeight="1">
      <c r="A14" s="64" t="s">
        <v>447</v>
      </c>
      <c r="B14" s="65" t="s">
        <v>450</v>
      </c>
      <c r="C14" s="65" t="s">
        <v>204</v>
      </c>
      <c r="D14" s="174" t="s">
        <v>399</v>
      </c>
      <c r="E14" s="174"/>
      <c r="F14" s="65" t="s">
        <v>538</v>
      </c>
      <c r="G14" s="66">
        <v>3.9</v>
      </c>
      <c r="H14" s="66"/>
      <c r="I14" s="66">
        <f>G14*AO14</f>
        <v>0</v>
      </c>
      <c r="J14" s="66">
        <f>G14*AP14</f>
        <v>0</v>
      </c>
      <c r="K14" s="66">
        <f>G14*H14</f>
        <v>0</v>
      </c>
      <c r="L14" s="66">
        <v>0.23</v>
      </c>
      <c r="M14" s="66">
        <f>G14*L14</f>
        <v>0.897</v>
      </c>
      <c r="N14" s="69" t="s">
        <v>545</v>
      </c>
      <c r="Z14" s="66">
        <f>IF(AQ14="5",BJ14,0)</f>
        <v>0</v>
      </c>
      <c r="AB14" s="66">
        <f>IF(AQ14="1",BH14,0)</f>
        <v>0</v>
      </c>
      <c r="AC14" s="66">
        <f>IF(AQ14="1",BI14,0)</f>
        <v>0</v>
      </c>
      <c r="AD14" s="66">
        <f>IF(AQ14="7",BH14,0)</f>
        <v>0</v>
      </c>
      <c r="AE14" s="66">
        <f>IF(AQ14="7",BI14,0)</f>
        <v>0</v>
      </c>
      <c r="AF14" s="66">
        <f>IF(AQ14="2",BH14,0)</f>
        <v>0</v>
      </c>
      <c r="AG14" s="66">
        <f>IF(AQ14="2",BI14,0)</f>
        <v>0</v>
      </c>
      <c r="AH14" s="66">
        <f>IF(AQ14="0",BJ14,0)</f>
        <v>0</v>
      </c>
      <c r="AI14" s="99" t="s">
        <v>450</v>
      </c>
      <c r="AJ14" s="66">
        <f>IF(AN14=0,K14,0)</f>
        <v>0</v>
      </c>
      <c r="AK14" s="66">
        <f>IF(AN14=15,K14,0)</f>
        <v>0</v>
      </c>
      <c r="AL14" s="66">
        <f>IF(AN14=21,K14,0)</f>
        <v>0</v>
      </c>
      <c r="AN14" s="66">
        <v>21</v>
      </c>
      <c r="AO14" s="66">
        <f>H14*0</f>
        <v>0</v>
      </c>
      <c r="AP14" s="66">
        <f>H14*(1-0)</f>
        <v>0</v>
      </c>
      <c r="AQ14" s="111" t="s">
        <v>644</v>
      </c>
      <c r="AV14" s="66">
        <f>AW14+AX14</f>
        <v>0</v>
      </c>
      <c r="AW14" s="66">
        <f>G14*AO14</f>
        <v>0</v>
      </c>
      <c r="AX14" s="66">
        <f>G14*AP14</f>
        <v>0</v>
      </c>
      <c r="AY14" s="111" t="s">
        <v>71</v>
      </c>
      <c r="AZ14" s="111" t="s">
        <v>76</v>
      </c>
      <c r="BA14" s="99" t="s">
        <v>498</v>
      </c>
      <c r="BC14" s="66">
        <f>AW14+AX14</f>
        <v>0</v>
      </c>
      <c r="BD14" s="66">
        <f>H14/(100-BE14)*100</f>
        <v>0</v>
      </c>
      <c r="BE14" s="66">
        <v>0</v>
      </c>
      <c r="BF14" s="66">
        <f>M14</f>
        <v>0.897</v>
      </c>
      <c r="BH14" s="66">
        <f>G14*AO14</f>
        <v>0</v>
      </c>
      <c r="BI14" s="66">
        <f>G14*AP14</f>
        <v>0</v>
      </c>
      <c r="BJ14" s="66">
        <f>G14*H14</f>
        <v>0</v>
      </c>
      <c r="BK14" s="66"/>
      <c r="BL14" s="66">
        <v>11</v>
      </c>
    </row>
    <row r="15" spans="1:47" s="58" customFormat="1" ht="15" customHeight="1">
      <c r="A15" s="95" t="s">
        <v>450</v>
      </c>
      <c r="B15" s="96" t="s">
        <v>450</v>
      </c>
      <c r="C15" s="96" t="s">
        <v>452</v>
      </c>
      <c r="D15" s="173" t="s">
        <v>95</v>
      </c>
      <c r="E15" s="173"/>
      <c r="F15" s="97" t="s">
        <v>595</v>
      </c>
      <c r="G15" s="97" t="s">
        <v>595</v>
      </c>
      <c r="H15" s="97"/>
      <c r="I15" s="98">
        <f>SUM(I16:I17)</f>
        <v>0</v>
      </c>
      <c r="J15" s="98">
        <f>SUM(J16:J17)</f>
        <v>0</v>
      </c>
      <c r="K15" s="98">
        <f>SUM(K16:K17)</f>
        <v>0</v>
      </c>
      <c r="L15" s="99" t="s">
        <v>450</v>
      </c>
      <c r="M15" s="98">
        <f>SUM(M16:M17)</f>
        <v>7.59604</v>
      </c>
      <c r="N15" s="100" t="s">
        <v>450</v>
      </c>
      <c r="AI15" s="99" t="s">
        <v>450</v>
      </c>
      <c r="AS15" s="98">
        <f>SUM(AJ16:AJ17)</f>
        <v>0</v>
      </c>
      <c r="AT15" s="98">
        <f>SUM(AK16:AK17)</f>
        <v>0</v>
      </c>
      <c r="AU15" s="98">
        <f>SUM(AL16:AL17)</f>
        <v>0</v>
      </c>
    </row>
    <row r="16" spans="1:64" s="58" customFormat="1" ht="15" customHeight="1">
      <c r="A16" s="64" t="s">
        <v>559</v>
      </c>
      <c r="B16" s="65" t="s">
        <v>450</v>
      </c>
      <c r="C16" s="65" t="s">
        <v>472</v>
      </c>
      <c r="D16" s="174" t="s">
        <v>346</v>
      </c>
      <c r="E16" s="174"/>
      <c r="F16" s="65" t="s">
        <v>621</v>
      </c>
      <c r="G16" s="66">
        <v>7.23432</v>
      </c>
      <c r="H16" s="66"/>
      <c r="I16" s="66">
        <f>G16*AO16</f>
        <v>0</v>
      </c>
      <c r="J16" s="66">
        <f>G16*AP16</f>
        <v>0</v>
      </c>
      <c r="K16" s="66">
        <f>G16*H16</f>
        <v>0</v>
      </c>
      <c r="L16" s="66">
        <v>0</v>
      </c>
      <c r="M16" s="66">
        <f>G16*L16</f>
        <v>0</v>
      </c>
      <c r="N16" s="69" t="s">
        <v>545</v>
      </c>
      <c r="Z16" s="66">
        <f>IF(AQ16="5",BJ16,0)</f>
        <v>0</v>
      </c>
      <c r="AB16" s="66">
        <f>IF(AQ16="1",BH16,0)</f>
        <v>0</v>
      </c>
      <c r="AC16" s="66">
        <f>IF(AQ16="1",BI16,0)</f>
        <v>0</v>
      </c>
      <c r="AD16" s="66">
        <f>IF(AQ16="7",BH16,0)</f>
        <v>0</v>
      </c>
      <c r="AE16" s="66">
        <f>IF(AQ16="7",BI16,0)</f>
        <v>0</v>
      </c>
      <c r="AF16" s="66">
        <f>IF(AQ16="2",BH16,0)</f>
        <v>0</v>
      </c>
      <c r="AG16" s="66">
        <f>IF(AQ16="2",BI16,0)</f>
        <v>0</v>
      </c>
      <c r="AH16" s="66">
        <f>IF(AQ16="0",BJ16,0)</f>
        <v>0</v>
      </c>
      <c r="AI16" s="99" t="s">
        <v>450</v>
      </c>
      <c r="AJ16" s="66">
        <f>IF(AN16=0,K16,0)</f>
        <v>0</v>
      </c>
      <c r="AK16" s="66">
        <f>IF(AN16=15,K16,0)</f>
        <v>0</v>
      </c>
      <c r="AL16" s="66">
        <f>IF(AN16=21,K16,0)</f>
        <v>0</v>
      </c>
      <c r="AN16" s="66">
        <v>21</v>
      </c>
      <c r="AO16" s="66">
        <f>H16*0</f>
        <v>0</v>
      </c>
      <c r="AP16" s="66">
        <f>H16*(1-0)</f>
        <v>0</v>
      </c>
      <c r="AQ16" s="111" t="s">
        <v>644</v>
      </c>
      <c r="AV16" s="66">
        <f>AW16+AX16</f>
        <v>0</v>
      </c>
      <c r="AW16" s="66">
        <f>G16*AO16</f>
        <v>0</v>
      </c>
      <c r="AX16" s="66">
        <f>G16*AP16</f>
        <v>0</v>
      </c>
      <c r="AY16" s="111" t="s">
        <v>131</v>
      </c>
      <c r="AZ16" s="111" t="s">
        <v>76</v>
      </c>
      <c r="BA16" s="99" t="s">
        <v>498</v>
      </c>
      <c r="BC16" s="66">
        <f>AW16+AX16</f>
        <v>0</v>
      </c>
      <c r="BD16" s="66">
        <f>H16/(100-BE16)*100</f>
        <v>0</v>
      </c>
      <c r="BE16" s="66">
        <v>0</v>
      </c>
      <c r="BF16" s="66">
        <f>M16</f>
        <v>0</v>
      </c>
      <c r="BH16" s="66">
        <f>G16*AO16</f>
        <v>0</v>
      </c>
      <c r="BI16" s="66">
        <f>G16*AP16</f>
        <v>0</v>
      </c>
      <c r="BJ16" s="66">
        <f>G16*H16</f>
        <v>0</v>
      </c>
      <c r="BK16" s="66"/>
      <c r="BL16" s="66">
        <v>17</v>
      </c>
    </row>
    <row r="17" spans="1:64" s="58" customFormat="1" ht="15" customHeight="1">
      <c r="A17" s="64" t="s">
        <v>78</v>
      </c>
      <c r="B17" s="65" t="s">
        <v>450</v>
      </c>
      <c r="C17" s="65" t="s">
        <v>49</v>
      </c>
      <c r="D17" s="174" t="s">
        <v>366</v>
      </c>
      <c r="E17" s="174"/>
      <c r="F17" s="65" t="s">
        <v>311</v>
      </c>
      <c r="G17" s="66">
        <v>7.59604</v>
      </c>
      <c r="H17" s="66"/>
      <c r="I17" s="66">
        <f>G17*AO17</f>
        <v>0</v>
      </c>
      <c r="J17" s="66">
        <f>G17*AP17</f>
        <v>0</v>
      </c>
      <c r="K17" s="66">
        <f>G17*H17</f>
        <v>0</v>
      </c>
      <c r="L17" s="66">
        <v>1</v>
      </c>
      <c r="M17" s="66">
        <f>G17*L17</f>
        <v>7.59604</v>
      </c>
      <c r="N17" s="69" t="s">
        <v>545</v>
      </c>
      <c r="Z17" s="66">
        <f>IF(AQ17="5",BJ17,0)</f>
        <v>0</v>
      </c>
      <c r="AB17" s="66">
        <f>IF(AQ17="1",BH17,0)</f>
        <v>0</v>
      </c>
      <c r="AC17" s="66">
        <f>IF(AQ17="1",BI17,0)</f>
        <v>0</v>
      </c>
      <c r="AD17" s="66">
        <f>IF(AQ17="7",BH17,0)</f>
        <v>0</v>
      </c>
      <c r="AE17" s="66">
        <f>IF(AQ17="7",BI17,0)</f>
        <v>0</v>
      </c>
      <c r="AF17" s="66">
        <f>IF(AQ17="2",BH17,0)</f>
        <v>0</v>
      </c>
      <c r="AG17" s="66">
        <f>IF(AQ17="2",BI17,0)</f>
        <v>0</v>
      </c>
      <c r="AH17" s="66">
        <f>IF(AQ17="0",BJ17,0)</f>
        <v>0</v>
      </c>
      <c r="AI17" s="99" t="s">
        <v>450</v>
      </c>
      <c r="AJ17" s="66">
        <f>IF(AN17=0,K17,0)</f>
        <v>0</v>
      </c>
      <c r="AK17" s="66">
        <f>IF(AN17=15,K17,0)</f>
        <v>0</v>
      </c>
      <c r="AL17" s="66">
        <f>IF(AN17=21,K17,0)</f>
        <v>0</v>
      </c>
      <c r="AN17" s="66">
        <v>21</v>
      </c>
      <c r="AO17" s="66">
        <f>H17*1</f>
        <v>0</v>
      </c>
      <c r="AP17" s="66">
        <f>H17*(1-1)</f>
        <v>0</v>
      </c>
      <c r="AQ17" s="111" t="s">
        <v>644</v>
      </c>
      <c r="AV17" s="66">
        <f>AW17+AX17</f>
        <v>0</v>
      </c>
      <c r="AW17" s="66">
        <f>G17*AO17</f>
        <v>0</v>
      </c>
      <c r="AX17" s="66">
        <f>G17*AP17</f>
        <v>0</v>
      </c>
      <c r="AY17" s="111" t="s">
        <v>131</v>
      </c>
      <c r="AZ17" s="111" t="s">
        <v>76</v>
      </c>
      <c r="BA17" s="99" t="s">
        <v>498</v>
      </c>
      <c r="BC17" s="66">
        <f>AW17+AX17</f>
        <v>0</v>
      </c>
      <c r="BD17" s="66">
        <f>H17/(100-BE17)*100</f>
        <v>0</v>
      </c>
      <c r="BE17" s="66">
        <v>0</v>
      </c>
      <c r="BF17" s="66">
        <f>M17</f>
        <v>7.59604</v>
      </c>
      <c r="BH17" s="66">
        <f>G17*AO17</f>
        <v>0</v>
      </c>
      <c r="BI17" s="66">
        <f>G17*AP17</f>
        <v>0</v>
      </c>
      <c r="BJ17" s="66">
        <f>G17*H17</f>
        <v>0</v>
      </c>
      <c r="BK17" s="66"/>
      <c r="BL17" s="66">
        <v>17</v>
      </c>
    </row>
    <row r="18" spans="1:47" s="58" customFormat="1" ht="15" customHeight="1">
      <c r="A18" s="95" t="s">
        <v>450</v>
      </c>
      <c r="B18" s="96" t="s">
        <v>450</v>
      </c>
      <c r="C18" s="96" t="s">
        <v>523</v>
      </c>
      <c r="D18" s="173" t="s">
        <v>817</v>
      </c>
      <c r="E18" s="173"/>
      <c r="F18" s="97" t="s">
        <v>595</v>
      </c>
      <c r="G18" s="97" t="s">
        <v>595</v>
      </c>
      <c r="H18" s="97"/>
      <c r="I18" s="98">
        <f>SUM(I19:I19)</f>
        <v>0</v>
      </c>
      <c r="J18" s="98">
        <f>SUM(J19:J19)</f>
        <v>0</v>
      </c>
      <c r="K18" s="98">
        <f>SUM(K19:K19)</f>
        <v>0</v>
      </c>
      <c r="L18" s="99" t="s">
        <v>450</v>
      </c>
      <c r="M18" s="98">
        <f>SUM(M19:M19)</f>
        <v>0</v>
      </c>
      <c r="N18" s="100" t="s">
        <v>450</v>
      </c>
      <c r="AI18" s="99" t="s">
        <v>450</v>
      </c>
      <c r="AS18" s="98">
        <f>SUM(AJ19:AJ19)</f>
        <v>0</v>
      </c>
      <c r="AT18" s="98">
        <f>SUM(AK19:AK19)</f>
        <v>0</v>
      </c>
      <c r="AU18" s="98">
        <f>SUM(AL19:AL19)</f>
        <v>0</v>
      </c>
    </row>
    <row r="19" spans="1:64" s="58" customFormat="1" ht="15" customHeight="1">
      <c r="A19" s="64" t="s">
        <v>355</v>
      </c>
      <c r="B19" s="65" t="s">
        <v>450</v>
      </c>
      <c r="C19" s="65" t="s">
        <v>748</v>
      </c>
      <c r="D19" s="174" t="s">
        <v>749</v>
      </c>
      <c r="E19" s="174"/>
      <c r="F19" s="65" t="s">
        <v>635</v>
      </c>
      <c r="G19" s="66">
        <v>53.4193</v>
      </c>
      <c r="H19" s="66"/>
      <c r="I19" s="66">
        <f>G19*AO19</f>
        <v>0</v>
      </c>
      <c r="J19" s="66">
        <f>G19*AP19</f>
        <v>0</v>
      </c>
      <c r="K19" s="66">
        <f>G19*H19</f>
        <v>0</v>
      </c>
      <c r="L19" s="66">
        <v>0</v>
      </c>
      <c r="M19" s="66">
        <f>G19*L19</f>
        <v>0</v>
      </c>
      <c r="N19" s="69" t="s">
        <v>545</v>
      </c>
      <c r="Z19" s="66">
        <f>IF(AQ19="5",BJ19,0)</f>
        <v>0</v>
      </c>
      <c r="AB19" s="66">
        <f>IF(AQ19="1",BH19,0)</f>
        <v>0</v>
      </c>
      <c r="AC19" s="66">
        <f>IF(AQ19="1",BI19,0)</f>
        <v>0</v>
      </c>
      <c r="AD19" s="66">
        <f>IF(AQ19="7",BH19,0)</f>
        <v>0</v>
      </c>
      <c r="AE19" s="66">
        <f>IF(AQ19="7",BI19,0)</f>
        <v>0</v>
      </c>
      <c r="AF19" s="66">
        <f>IF(AQ19="2",BH19,0)</f>
        <v>0</v>
      </c>
      <c r="AG19" s="66">
        <f>IF(AQ19="2",BI19,0)</f>
        <v>0</v>
      </c>
      <c r="AH19" s="66">
        <f>IF(AQ19="0",BJ19,0)</f>
        <v>0</v>
      </c>
      <c r="AI19" s="99" t="s">
        <v>450</v>
      </c>
      <c r="AJ19" s="66">
        <f>IF(AN19=0,K19,0)</f>
        <v>0</v>
      </c>
      <c r="AK19" s="66">
        <f>IF(AN19=15,K19,0)</f>
        <v>0</v>
      </c>
      <c r="AL19" s="66">
        <f>IF(AN19=21,K19,0)</f>
        <v>0</v>
      </c>
      <c r="AN19" s="66">
        <v>21</v>
      </c>
      <c r="AO19" s="66">
        <f>H19*0</f>
        <v>0</v>
      </c>
      <c r="AP19" s="66">
        <f>H19*(1-0)</f>
        <v>0</v>
      </c>
      <c r="AQ19" s="111" t="s">
        <v>644</v>
      </c>
      <c r="AV19" s="66">
        <f>AW19+AX19</f>
        <v>0</v>
      </c>
      <c r="AW19" s="66">
        <f>G19*AO19</f>
        <v>0</v>
      </c>
      <c r="AX19" s="66">
        <f>G19*AP19</f>
        <v>0</v>
      </c>
      <c r="AY19" s="111" t="s">
        <v>818</v>
      </c>
      <c r="AZ19" s="111" t="s">
        <v>76</v>
      </c>
      <c r="BA19" s="99" t="s">
        <v>498</v>
      </c>
      <c r="BC19" s="66">
        <f>AW19+AX19</f>
        <v>0</v>
      </c>
      <c r="BD19" s="66">
        <f>H19/(100-BE19)*100</f>
        <v>0</v>
      </c>
      <c r="BE19" s="66">
        <v>0</v>
      </c>
      <c r="BF19" s="66">
        <f>M19</f>
        <v>0</v>
      </c>
      <c r="BH19" s="66">
        <f>G19*AO19</f>
        <v>0</v>
      </c>
      <c r="BI19" s="66">
        <f>G19*AP19</f>
        <v>0</v>
      </c>
      <c r="BJ19" s="66">
        <f>G19*H19</f>
        <v>0</v>
      </c>
      <c r="BK19" s="66"/>
      <c r="BL19" s="66">
        <v>18</v>
      </c>
    </row>
    <row r="20" spans="1:47" s="58" customFormat="1" ht="15" customHeight="1">
      <c r="A20" s="95" t="s">
        <v>450</v>
      </c>
      <c r="B20" s="96" t="s">
        <v>450</v>
      </c>
      <c r="C20" s="96" t="s">
        <v>723</v>
      </c>
      <c r="D20" s="173" t="s">
        <v>533</v>
      </c>
      <c r="E20" s="173"/>
      <c r="F20" s="97" t="s">
        <v>595</v>
      </c>
      <c r="G20" s="97" t="s">
        <v>595</v>
      </c>
      <c r="H20" s="97"/>
      <c r="I20" s="98">
        <f>SUM(I21:I21)</f>
        <v>0</v>
      </c>
      <c r="J20" s="98">
        <f>SUM(J21:J21)</f>
        <v>0</v>
      </c>
      <c r="K20" s="98">
        <f>SUM(K21:K21)</f>
        <v>0</v>
      </c>
      <c r="L20" s="99" t="s">
        <v>450</v>
      </c>
      <c r="M20" s="98">
        <f>SUM(M21:M21)</f>
        <v>0.389174076</v>
      </c>
      <c r="N20" s="100" t="s">
        <v>450</v>
      </c>
      <c r="AI20" s="99" t="s">
        <v>450</v>
      </c>
      <c r="AS20" s="98">
        <f>SUM(AJ21:AJ21)</f>
        <v>0</v>
      </c>
      <c r="AT20" s="98">
        <f>SUM(AK21:AK21)</f>
        <v>0</v>
      </c>
      <c r="AU20" s="98">
        <f>SUM(AL21:AL21)</f>
        <v>0</v>
      </c>
    </row>
    <row r="21" spans="1:64" s="58" customFormat="1" ht="15" customHeight="1">
      <c r="A21" s="64" t="s">
        <v>107</v>
      </c>
      <c r="B21" s="65" t="s">
        <v>450</v>
      </c>
      <c r="C21" s="65" t="s">
        <v>751</v>
      </c>
      <c r="D21" s="174" t="s">
        <v>752</v>
      </c>
      <c r="E21" s="174"/>
      <c r="F21" s="65" t="s">
        <v>635</v>
      </c>
      <c r="G21" s="66">
        <v>8.4732</v>
      </c>
      <c r="H21" s="66"/>
      <c r="I21" s="66">
        <f>G21*AO21</f>
        <v>0</v>
      </c>
      <c r="J21" s="66">
        <f>G21*AP21</f>
        <v>0</v>
      </c>
      <c r="K21" s="66">
        <f>G21*H21</f>
        <v>0</v>
      </c>
      <c r="L21" s="66">
        <v>0.04593</v>
      </c>
      <c r="M21" s="66">
        <f>G21*L21</f>
        <v>0.389174076</v>
      </c>
      <c r="N21" s="69" t="s">
        <v>545</v>
      </c>
      <c r="Z21" s="66">
        <f>IF(AQ21="5",BJ21,0)</f>
        <v>0</v>
      </c>
      <c r="AB21" s="66">
        <f>IF(AQ21="1",BH21,0)</f>
        <v>0</v>
      </c>
      <c r="AC21" s="66">
        <f>IF(AQ21="1",BI21,0)</f>
        <v>0</v>
      </c>
      <c r="AD21" s="66">
        <f>IF(AQ21="7",BH21,0)</f>
        <v>0</v>
      </c>
      <c r="AE21" s="66">
        <f>IF(AQ21="7",BI21,0)</f>
        <v>0</v>
      </c>
      <c r="AF21" s="66">
        <f>IF(AQ21="2",BH21,0)</f>
        <v>0</v>
      </c>
      <c r="AG21" s="66">
        <f>IF(AQ21="2",BI21,0)</f>
        <v>0</v>
      </c>
      <c r="AH21" s="66">
        <f>IF(AQ21="0",BJ21,0)</f>
        <v>0</v>
      </c>
      <c r="AI21" s="99" t="s">
        <v>450</v>
      </c>
      <c r="AJ21" s="66">
        <f>IF(AN21=0,K21,0)</f>
        <v>0</v>
      </c>
      <c r="AK21" s="66">
        <f>IF(AN21=15,K21,0)</f>
        <v>0</v>
      </c>
      <c r="AL21" s="66">
        <f>IF(AN21=21,K21,0)</f>
        <v>0</v>
      </c>
      <c r="AN21" s="66">
        <v>21</v>
      </c>
      <c r="AO21" s="66">
        <f>H21*0.174117988361409</f>
        <v>0</v>
      </c>
      <c r="AP21" s="66">
        <f>H21*(1-0.174117988361409)</f>
        <v>0</v>
      </c>
      <c r="AQ21" s="111" t="s">
        <v>644</v>
      </c>
      <c r="AV21" s="66">
        <f>AW21+AX21</f>
        <v>0</v>
      </c>
      <c r="AW21" s="66">
        <f>G21*AO21</f>
        <v>0</v>
      </c>
      <c r="AX21" s="66">
        <f>G21*AP21</f>
        <v>0</v>
      </c>
      <c r="AY21" s="111" t="s">
        <v>300</v>
      </c>
      <c r="AZ21" s="111" t="s">
        <v>89</v>
      </c>
      <c r="BA21" s="99" t="s">
        <v>498</v>
      </c>
      <c r="BC21" s="66">
        <f>AW21+AX21</f>
        <v>0</v>
      </c>
      <c r="BD21" s="66">
        <f>H21/(100-BE21)*100</f>
        <v>0</v>
      </c>
      <c r="BE21" s="66">
        <v>0</v>
      </c>
      <c r="BF21" s="66">
        <f>M21</f>
        <v>0.389174076</v>
      </c>
      <c r="BH21" s="66">
        <f>G21*AO21</f>
        <v>0</v>
      </c>
      <c r="BI21" s="66">
        <f>G21*AP21</f>
        <v>0</v>
      </c>
      <c r="BJ21" s="66">
        <f>G21*H21</f>
        <v>0</v>
      </c>
      <c r="BK21" s="66"/>
      <c r="BL21" s="66">
        <v>62</v>
      </c>
    </row>
    <row r="22" spans="1:47" s="58" customFormat="1" ht="15" customHeight="1">
      <c r="A22" s="95" t="s">
        <v>450</v>
      </c>
      <c r="B22" s="96" t="s">
        <v>450</v>
      </c>
      <c r="C22" s="96" t="s">
        <v>470</v>
      </c>
      <c r="D22" s="173" t="s">
        <v>309</v>
      </c>
      <c r="E22" s="173"/>
      <c r="F22" s="97" t="s">
        <v>595</v>
      </c>
      <c r="G22" s="97" t="s">
        <v>595</v>
      </c>
      <c r="H22" s="97"/>
      <c r="I22" s="98">
        <f>SUM(I23:I23)</f>
        <v>0</v>
      </c>
      <c r="J22" s="98">
        <f>SUM(J23:J23)</f>
        <v>0</v>
      </c>
      <c r="K22" s="98">
        <f>SUM(K23:K23)</f>
        <v>0</v>
      </c>
      <c r="L22" s="99" t="s">
        <v>450</v>
      </c>
      <c r="M22" s="98">
        <f>SUM(M23:M23)</f>
        <v>0.3645</v>
      </c>
      <c r="N22" s="100" t="s">
        <v>450</v>
      </c>
      <c r="AI22" s="99" t="s">
        <v>450</v>
      </c>
      <c r="AS22" s="98">
        <f>SUM(AJ23:AJ23)</f>
        <v>0</v>
      </c>
      <c r="AT22" s="98">
        <f>SUM(AK23:AK23)</f>
        <v>0</v>
      </c>
      <c r="AU22" s="98">
        <f>SUM(AL23:AL23)</f>
        <v>0</v>
      </c>
    </row>
    <row r="23" spans="1:64" s="58" customFormat="1" ht="15" customHeight="1">
      <c r="A23" s="64" t="s">
        <v>652</v>
      </c>
      <c r="B23" s="65" t="s">
        <v>450</v>
      </c>
      <c r="C23" s="65" t="s">
        <v>226</v>
      </c>
      <c r="D23" s="174" t="s">
        <v>298</v>
      </c>
      <c r="E23" s="174"/>
      <c r="F23" s="65" t="s">
        <v>635</v>
      </c>
      <c r="G23" s="66">
        <v>60.75</v>
      </c>
      <c r="H23" s="66"/>
      <c r="I23" s="66">
        <f>G23*AO23</f>
        <v>0</v>
      </c>
      <c r="J23" s="66">
        <f>G23*AP23</f>
        <v>0</v>
      </c>
      <c r="K23" s="66">
        <f>G23*H23</f>
        <v>0</v>
      </c>
      <c r="L23" s="66">
        <v>0.006</v>
      </c>
      <c r="M23" s="66">
        <f>G23*L23</f>
        <v>0.3645</v>
      </c>
      <c r="N23" s="69" t="s">
        <v>545</v>
      </c>
      <c r="Z23" s="66">
        <f>IF(AQ23="5",BJ23,0)</f>
        <v>0</v>
      </c>
      <c r="AB23" s="66">
        <f>IF(AQ23="1",BH23,0)</f>
        <v>0</v>
      </c>
      <c r="AC23" s="66">
        <f>IF(AQ23="1",BI23,0)</f>
        <v>0</v>
      </c>
      <c r="AD23" s="66">
        <f>IF(AQ23="7",BH23,0)</f>
        <v>0</v>
      </c>
      <c r="AE23" s="66">
        <f>IF(AQ23="7",BI23,0)</f>
        <v>0</v>
      </c>
      <c r="AF23" s="66">
        <f>IF(AQ23="2",BH23,0)</f>
        <v>0</v>
      </c>
      <c r="AG23" s="66">
        <f>IF(AQ23="2",BI23,0)</f>
        <v>0</v>
      </c>
      <c r="AH23" s="66">
        <f>IF(AQ23="0",BJ23,0)</f>
        <v>0</v>
      </c>
      <c r="AI23" s="99" t="s">
        <v>450</v>
      </c>
      <c r="AJ23" s="66">
        <f>IF(AN23=0,K23,0)</f>
        <v>0</v>
      </c>
      <c r="AK23" s="66">
        <f>IF(AN23=15,K23,0)</f>
        <v>0</v>
      </c>
      <c r="AL23" s="66">
        <f>IF(AN23=21,K23,0)</f>
        <v>0</v>
      </c>
      <c r="AN23" s="66">
        <v>21</v>
      </c>
      <c r="AO23" s="66">
        <f>H23*0</f>
        <v>0</v>
      </c>
      <c r="AP23" s="66">
        <f>H23*(1-0)</f>
        <v>0</v>
      </c>
      <c r="AQ23" s="111" t="s">
        <v>652</v>
      </c>
      <c r="AV23" s="66">
        <f>AW23+AX23</f>
        <v>0</v>
      </c>
      <c r="AW23" s="66">
        <f>G23*AO23</f>
        <v>0</v>
      </c>
      <c r="AX23" s="66">
        <f>G23*AP23</f>
        <v>0</v>
      </c>
      <c r="AY23" s="111" t="s">
        <v>293</v>
      </c>
      <c r="AZ23" s="111" t="s">
        <v>532</v>
      </c>
      <c r="BA23" s="99" t="s">
        <v>498</v>
      </c>
      <c r="BC23" s="66">
        <f>AW23+AX23</f>
        <v>0</v>
      </c>
      <c r="BD23" s="66">
        <f>H23/(100-BE23)*100</f>
        <v>0</v>
      </c>
      <c r="BE23" s="66">
        <v>0</v>
      </c>
      <c r="BF23" s="66">
        <f>M23</f>
        <v>0.3645</v>
      </c>
      <c r="BH23" s="66">
        <f>G23*AO23</f>
        <v>0</v>
      </c>
      <c r="BI23" s="66">
        <f>G23*AP23</f>
        <v>0</v>
      </c>
      <c r="BJ23" s="66">
        <f>G23*H23</f>
        <v>0</v>
      </c>
      <c r="BK23" s="66"/>
      <c r="BL23" s="66">
        <v>712</v>
      </c>
    </row>
    <row r="24" spans="1:47" s="58" customFormat="1" ht="15" customHeight="1">
      <c r="A24" s="95" t="s">
        <v>450</v>
      </c>
      <c r="B24" s="96" t="s">
        <v>450</v>
      </c>
      <c r="C24" s="96" t="s">
        <v>410</v>
      </c>
      <c r="D24" s="173" t="s">
        <v>690</v>
      </c>
      <c r="E24" s="173"/>
      <c r="F24" s="97" t="s">
        <v>595</v>
      </c>
      <c r="G24" s="97" t="s">
        <v>595</v>
      </c>
      <c r="H24" s="97"/>
      <c r="I24" s="98">
        <f>SUM(I25:I32)</f>
        <v>0</v>
      </c>
      <c r="J24" s="98">
        <f>SUM(J25:J32)</f>
        <v>0</v>
      </c>
      <c r="K24" s="98">
        <f>SUM(K25:K32)</f>
        <v>0</v>
      </c>
      <c r="L24" s="99" t="s">
        <v>450</v>
      </c>
      <c r="M24" s="98">
        <f>SUM(M25:M32)</f>
        <v>4.8356212759999995</v>
      </c>
      <c r="N24" s="100" t="s">
        <v>450</v>
      </c>
      <c r="AI24" s="99" t="s">
        <v>450</v>
      </c>
      <c r="AS24" s="98">
        <f>SUM(AJ25:AJ32)</f>
        <v>0</v>
      </c>
      <c r="AT24" s="98">
        <f>SUM(AK25:AK32)</f>
        <v>0</v>
      </c>
      <c r="AU24" s="98">
        <f>SUM(AL25:AL32)</f>
        <v>0</v>
      </c>
    </row>
    <row r="25" spans="1:64" s="58" customFormat="1" ht="15" customHeight="1">
      <c r="A25" s="64" t="s">
        <v>519</v>
      </c>
      <c r="B25" s="65" t="s">
        <v>450</v>
      </c>
      <c r="C25" s="65" t="s">
        <v>755</v>
      </c>
      <c r="D25" s="174" t="s">
        <v>756</v>
      </c>
      <c r="E25" s="174"/>
      <c r="F25" s="65" t="s">
        <v>635</v>
      </c>
      <c r="G25" s="66">
        <v>33.5415</v>
      </c>
      <c r="H25" s="66"/>
      <c r="I25" s="66">
        <f aca="true" t="shared" si="0" ref="I25:I32">G25*AO25</f>
        <v>0</v>
      </c>
      <c r="J25" s="66">
        <f aca="true" t="shared" si="1" ref="J25:J32">G25*AP25</f>
        <v>0</v>
      </c>
      <c r="K25" s="66">
        <f aca="true" t="shared" si="2" ref="K25:K32">G25*H25</f>
        <v>0</v>
      </c>
      <c r="L25" s="66">
        <v>0.02216</v>
      </c>
      <c r="M25" s="66">
        <f aca="true" t="shared" si="3" ref="M25:M32">G25*L25</f>
        <v>0.7432796399999999</v>
      </c>
      <c r="N25" s="69" t="s">
        <v>545</v>
      </c>
      <c r="Z25" s="66">
        <f aca="true" t="shared" si="4" ref="Z25:Z32">IF(AQ25="5",BJ25,0)</f>
        <v>0</v>
      </c>
      <c r="AB25" s="66">
        <f aca="true" t="shared" si="5" ref="AB25:AB32">IF(AQ25="1",BH25,0)</f>
        <v>0</v>
      </c>
      <c r="AC25" s="66">
        <f aca="true" t="shared" si="6" ref="AC25:AC32">IF(AQ25="1",BI25,0)</f>
        <v>0</v>
      </c>
      <c r="AD25" s="66">
        <f aca="true" t="shared" si="7" ref="AD25:AD32">IF(AQ25="7",BH25,0)</f>
        <v>0</v>
      </c>
      <c r="AE25" s="66">
        <f aca="true" t="shared" si="8" ref="AE25:AE32">IF(AQ25="7",BI25,0)</f>
        <v>0</v>
      </c>
      <c r="AF25" s="66">
        <f aca="true" t="shared" si="9" ref="AF25:AF32">IF(AQ25="2",BH25,0)</f>
        <v>0</v>
      </c>
      <c r="AG25" s="66">
        <f aca="true" t="shared" si="10" ref="AG25:AG32">IF(AQ25="2",BI25,0)</f>
        <v>0</v>
      </c>
      <c r="AH25" s="66">
        <f aca="true" t="shared" si="11" ref="AH25:AH32">IF(AQ25="0",BJ25,0)</f>
        <v>0</v>
      </c>
      <c r="AI25" s="99" t="s">
        <v>450</v>
      </c>
      <c r="AJ25" s="66">
        <f aca="true" t="shared" si="12" ref="AJ25:AJ32">IF(AN25=0,K25,0)</f>
        <v>0</v>
      </c>
      <c r="AK25" s="66">
        <f aca="true" t="shared" si="13" ref="AK25:AK32">IF(AN25=15,K25,0)</f>
        <v>0</v>
      </c>
      <c r="AL25" s="66">
        <f aca="true" t="shared" si="14" ref="AL25:AL32">IF(AN25=21,K25,0)</f>
        <v>0</v>
      </c>
      <c r="AN25" s="66">
        <v>21</v>
      </c>
      <c r="AO25" s="66">
        <f>H25*0.0888466480683067</f>
        <v>0</v>
      </c>
      <c r="AP25" s="66">
        <f>H25*(1-0.0888466480683067)</f>
        <v>0</v>
      </c>
      <c r="AQ25" s="111" t="s">
        <v>652</v>
      </c>
      <c r="AV25" s="66">
        <f aca="true" t="shared" si="15" ref="AV25:AV32">AW25+AX25</f>
        <v>0</v>
      </c>
      <c r="AW25" s="66">
        <f aca="true" t="shared" si="16" ref="AW25:AW32">G25*AO25</f>
        <v>0</v>
      </c>
      <c r="AX25" s="66">
        <f aca="true" t="shared" si="17" ref="AX25:AX32">G25*AP25</f>
        <v>0</v>
      </c>
      <c r="AY25" s="111" t="s">
        <v>412</v>
      </c>
      <c r="AZ25" s="111" t="s">
        <v>358</v>
      </c>
      <c r="BA25" s="99" t="s">
        <v>498</v>
      </c>
      <c r="BC25" s="66">
        <f aca="true" t="shared" si="18" ref="BC25:BC32">AW25+AX25</f>
        <v>0</v>
      </c>
      <c r="BD25" s="66">
        <f aca="true" t="shared" si="19" ref="BD25:BD32">H25/(100-BE25)*100</f>
        <v>0</v>
      </c>
      <c r="BE25" s="66">
        <v>0</v>
      </c>
      <c r="BF25" s="66">
        <f aca="true" t="shared" si="20" ref="BF25:BF32">M25</f>
        <v>0.7432796399999999</v>
      </c>
      <c r="BH25" s="66">
        <f aca="true" t="shared" si="21" ref="BH25:BH32">G25*AO25</f>
        <v>0</v>
      </c>
      <c r="BI25" s="66">
        <f aca="true" t="shared" si="22" ref="BI25:BI32">G25*AP25</f>
        <v>0</v>
      </c>
      <c r="BJ25" s="66">
        <f aca="true" t="shared" si="23" ref="BJ25:BJ32">G25*H25</f>
        <v>0</v>
      </c>
      <c r="BK25" s="66"/>
      <c r="BL25" s="66">
        <v>762</v>
      </c>
    </row>
    <row r="26" spans="1:64" s="58" customFormat="1" ht="15" customHeight="1">
      <c r="A26" s="64" t="s">
        <v>249</v>
      </c>
      <c r="B26" s="65" t="s">
        <v>450</v>
      </c>
      <c r="C26" s="65" t="s">
        <v>758</v>
      </c>
      <c r="D26" s="174" t="s">
        <v>759</v>
      </c>
      <c r="E26" s="174"/>
      <c r="F26" s="65" t="s">
        <v>635</v>
      </c>
      <c r="G26" s="66">
        <v>33.5415</v>
      </c>
      <c r="H26" s="66"/>
      <c r="I26" s="66">
        <f t="shared" si="0"/>
        <v>0</v>
      </c>
      <c r="J26" s="66">
        <f t="shared" si="1"/>
        <v>0</v>
      </c>
      <c r="K26" s="66">
        <f t="shared" si="2"/>
        <v>0</v>
      </c>
      <c r="L26" s="66">
        <v>0.01416</v>
      </c>
      <c r="M26" s="66">
        <f t="shared" si="3"/>
        <v>0.47494764</v>
      </c>
      <c r="N26" s="69" t="s">
        <v>545</v>
      </c>
      <c r="Z26" s="66">
        <f t="shared" si="4"/>
        <v>0</v>
      </c>
      <c r="AB26" s="66">
        <f t="shared" si="5"/>
        <v>0</v>
      </c>
      <c r="AC26" s="66">
        <f t="shared" si="6"/>
        <v>0</v>
      </c>
      <c r="AD26" s="66">
        <f t="shared" si="7"/>
        <v>0</v>
      </c>
      <c r="AE26" s="66">
        <f t="shared" si="8"/>
        <v>0</v>
      </c>
      <c r="AF26" s="66">
        <f t="shared" si="9"/>
        <v>0</v>
      </c>
      <c r="AG26" s="66">
        <f t="shared" si="10"/>
        <v>0</v>
      </c>
      <c r="AH26" s="66">
        <f t="shared" si="11"/>
        <v>0</v>
      </c>
      <c r="AI26" s="99" t="s">
        <v>450</v>
      </c>
      <c r="AJ26" s="66">
        <f t="shared" si="12"/>
        <v>0</v>
      </c>
      <c r="AK26" s="66">
        <f t="shared" si="13"/>
        <v>0</v>
      </c>
      <c r="AL26" s="66">
        <f t="shared" si="14"/>
        <v>0</v>
      </c>
      <c r="AN26" s="66">
        <v>21</v>
      </c>
      <c r="AO26" s="66">
        <f>H26*0.0981209542896977</f>
        <v>0</v>
      </c>
      <c r="AP26" s="66">
        <f>H26*(1-0.0981209542896977)</f>
        <v>0</v>
      </c>
      <c r="AQ26" s="111" t="s">
        <v>652</v>
      </c>
      <c r="AV26" s="66">
        <f t="shared" si="15"/>
        <v>0</v>
      </c>
      <c r="AW26" s="66">
        <f t="shared" si="16"/>
        <v>0</v>
      </c>
      <c r="AX26" s="66">
        <f t="shared" si="17"/>
        <v>0</v>
      </c>
      <c r="AY26" s="111" t="s">
        <v>412</v>
      </c>
      <c r="AZ26" s="111" t="s">
        <v>358</v>
      </c>
      <c r="BA26" s="99" t="s">
        <v>498</v>
      </c>
      <c r="BC26" s="66">
        <f t="shared" si="18"/>
        <v>0</v>
      </c>
      <c r="BD26" s="66">
        <f t="shared" si="19"/>
        <v>0</v>
      </c>
      <c r="BE26" s="66">
        <v>0</v>
      </c>
      <c r="BF26" s="66">
        <f t="shared" si="20"/>
        <v>0.47494764</v>
      </c>
      <c r="BH26" s="66">
        <f t="shared" si="21"/>
        <v>0</v>
      </c>
      <c r="BI26" s="66">
        <f t="shared" si="22"/>
        <v>0</v>
      </c>
      <c r="BJ26" s="66">
        <f t="shared" si="23"/>
        <v>0</v>
      </c>
      <c r="BK26" s="66"/>
      <c r="BL26" s="66">
        <v>762</v>
      </c>
    </row>
    <row r="27" spans="1:64" s="58" customFormat="1" ht="15" customHeight="1">
      <c r="A27" s="64" t="s">
        <v>380</v>
      </c>
      <c r="B27" s="65" t="s">
        <v>450</v>
      </c>
      <c r="C27" s="65" t="s">
        <v>760</v>
      </c>
      <c r="D27" s="174" t="s">
        <v>761</v>
      </c>
      <c r="E27" s="174"/>
      <c r="F27" s="65" t="s">
        <v>538</v>
      </c>
      <c r="G27" s="66">
        <v>18</v>
      </c>
      <c r="H27" s="66"/>
      <c r="I27" s="66">
        <f t="shared" si="0"/>
        <v>0</v>
      </c>
      <c r="J27" s="66">
        <f t="shared" si="1"/>
        <v>0</v>
      </c>
      <c r="K27" s="66">
        <f t="shared" si="2"/>
        <v>0</v>
      </c>
      <c r="L27" s="66">
        <v>0.008</v>
      </c>
      <c r="M27" s="66">
        <f t="shared" si="3"/>
        <v>0.14400000000000002</v>
      </c>
      <c r="N27" s="69" t="s">
        <v>545</v>
      </c>
      <c r="Z27" s="66">
        <f t="shared" si="4"/>
        <v>0</v>
      </c>
      <c r="AB27" s="66">
        <f t="shared" si="5"/>
        <v>0</v>
      </c>
      <c r="AC27" s="66">
        <f t="shared" si="6"/>
        <v>0</v>
      </c>
      <c r="AD27" s="66">
        <f t="shared" si="7"/>
        <v>0</v>
      </c>
      <c r="AE27" s="66">
        <f t="shared" si="8"/>
        <v>0</v>
      </c>
      <c r="AF27" s="66">
        <f t="shared" si="9"/>
        <v>0</v>
      </c>
      <c r="AG27" s="66">
        <f t="shared" si="10"/>
        <v>0</v>
      </c>
      <c r="AH27" s="66">
        <f t="shared" si="11"/>
        <v>0</v>
      </c>
      <c r="AI27" s="99" t="s">
        <v>450</v>
      </c>
      <c r="AJ27" s="66">
        <f t="shared" si="12"/>
        <v>0</v>
      </c>
      <c r="AK27" s="66">
        <f t="shared" si="13"/>
        <v>0</v>
      </c>
      <c r="AL27" s="66">
        <f t="shared" si="14"/>
        <v>0</v>
      </c>
      <c r="AN27" s="66">
        <v>21</v>
      </c>
      <c r="AO27" s="66">
        <f>H27*0</f>
        <v>0</v>
      </c>
      <c r="AP27" s="66">
        <f>H27*(1-0)</f>
        <v>0</v>
      </c>
      <c r="AQ27" s="111" t="s">
        <v>652</v>
      </c>
      <c r="AV27" s="66">
        <f t="shared" si="15"/>
        <v>0</v>
      </c>
      <c r="AW27" s="66">
        <f t="shared" si="16"/>
        <v>0</v>
      </c>
      <c r="AX27" s="66">
        <f t="shared" si="17"/>
        <v>0</v>
      </c>
      <c r="AY27" s="111" t="s">
        <v>412</v>
      </c>
      <c r="AZ27" s="111" t="s">
        <v>358</v>
      </c>
      <c r="BA27" s="99" t="s">
        <v>498</v>
      </c>
      <c r="BC27" s="66">
        <f t="shared" si="18"/>
        <v>0</v>
      </c>
      <c r="BD27" s="66">
        <f t="shared" si="19"/>
        <v>0</v>
      </c>
      <c r="BE27" s="66">
        <v>0</v>
      </c>
      <c r="BF27" s="66">
        <f t="shared" si="20"/>
        <v>0.14400000000000002</v>
      </c>
      <c r="BH27" s="66">
        <f t="shared" si="21"/>
        <v>0</v>
      </c>
      <c r="BI27" s="66">
        <f t="shared" si="22"/>
        <v>0</v>
      </c>
      <c r="BJ27" s="66">
        <f t="shared" si="23"/>
        <v>0</v>
      </c>
      <c r="BK27" s="66"/>
      <c r="BL27" s="66">
        <v>762</v>
      </c>
    </row>
    <row r="28" spans="1:64" s="58" customFormat="1" ht="15" customHeight="1">
      <c r="A28" s="64" t="s">
        <v>544</v>
      </c>
      <c r="B28" s="65" t="s">
        <v>450</v>
      </c>
      <c r="C28" s="65" t="s">
        <v>385</v>
      </c>
      <c r="D28" s="174" t="s">
        <v>299</v>
      </c>
      <c r="E28" s="174"/>
      <c r="F28" s="65" t="s">
        <v>538</v>
      </c>
      <c r="G28" s="66">
        <v>126.3</v>
      </c>
      <c r="H28" s="66"/>
      <c r="I28" s="66">
        <f t="shared" si="0"/>
        <v>0</v>
      </c>
      <c r="J28" s="66">
        <f t="shared" si="1"/>
        <v>0</v>
      </c>
      <c r="K28" s="66">
        <f t="shared" si="2"/>
        <v>0</v>
      </c>
      <c r="L28" s="66">
        <v>0.014</v>
      </c>
      <c r="M28" s="66">
        <f t="shared" si="3"/>
        <v>1.7682</v>
      </c>
      <c r="N28" s="69" t="s">
        <v>545</v>
      </c>
      <c r="Z28" s="66">
        <f t="shared" si="4"/>
        <v>0</v>
      </c>
      <c r="AB28" s="66">
        <f t="shared" si="5"/>
        <v>0</v>
      </c>
      <c r="AC28" s="66">
        <f t="shared" si="6"/>
        <v>0</v>
      </c>
      <c r="AD28" s="66">
        <f t="shared" si="7"/>
        <v>0</v>
      </c>
      <c r="AE28" s="66">
        <f t="shared" si="8"/>
        <v>0</v>
      </c>
      <c r="AF28" s="66">
        <f t="shared" si="9"/>
        <v>0</v>
      </c>
      <c r="AG28" s="66">
        <f t="shared" si="10"/>
        <v>0</v>
      </c>
      <c r="AH28" s="66">
        <f t="shared" si="11"/>
        <v>0</v>
      </c>
      <c r="AI28" s="99" t="s">
        <v>450</v>
      </c>
      <c r="AJ28" s="66">
        <f t="shared" si="12"/>
        <v>0</v>
      </c>
      <c r="AK28" s="66">
        <f t="shared" si="13"/>
        <v>0</v>
      </c>
      <c r="AL28" s="66">
        <f t="shared" si="14"/>
        <v>0</v>
      </c>
      <c r="AN28" s="66">
        <v>21</v>
      </c>
      <c r="AO28" s="66">
        <f>H28*0</f>
        <v>0</v>
      </c>
      <c r="AP28" s="66">
        <f>H28*(1-0)</f>
        <v>0</v>
      </c>
      <c r="AQ28" s="111" t="s">
        <v>652</v>
      </c>
      <c r="AV28" s="66">
        <f t="shared" si="15"/>
        <v>0</v>
      </c>
      <c r="AW28" s="66">
        <f t="shared" si="16"/>
        <v>0</v>
      </c>
      <c r="AX28" s="66">
        <f t="shared" si="17"/>
        <v>0</v>
      </c>
      <c r="AY28" s="111" t="s">
        <v>412</v>
      </c>
      <c r="AZ28" s="111" t="s">
        <v>358</v>
      </c>
      <c r="BA28" s="99" t="s">
        <v>498</v>
      </c>
      <c r="BC28" s="66">
        <f t="shared" si="18"/>
        <v>0</v>
      </c>
      <c r="BD28" s="66">
        <f t="shared" si="19"/>
        <v>0</v>
      </c>
      <c r="BE28" s="66">
        <v>0</v>
      </c>
      <c r="BF28" s="66">
        <f t="shared" si="20"/>
        <v>1.7682</v>
      </c>
      <c r="BH28" s="66">
        <f t="shared" si="21"/>
        <v>0</v>
      </c>
      <c r="BI28" s="66">
        <f t="shared" si="22"/>
        <v>0</v>
      </c>
      <c r="BJ28" s="66">
        <f t="shared" si="23"/>
        <v>0</v>
      </c>
      <c r="BK28" s="66"/>
      <c r="BL28" s="66">
        <v>762</v>
      </c>
    </row>
    <row r="29" spans="1:64" s="58" customFormat="1" ht="15" customHeight="1">
      <c r="A29" s="64" t="s">
        <v>473</v>
      </c>
      <c r="B29" s="65" t="s">
        <v>450</v>
      </c>
      <c r="C29" s="65" t="s">
        <v>34</v>
      </c>
      <c r="D29" s="174" t="s">
        <v>97</v>
      </c>
      <c r="E29" s="174"/>
      <c r="F29" s="65" t="s">
        <v>635</v>
      </c>
      <c r="G29" s="66">
        <v>60.75</v>
      </c>
      <c r="H29" s="66"/>
      <c r="I29" s="66">
        <f t="shared" si="0"/>
        <v>0</v>
      </c>
      <c r="J29" s="66">
        <f t="shared" si="1"/>
        <v>0</v>
      </c>
      <c r="K29" s="66">
        <f t="shared" si="2"/>
        <v>0</v>
      </c>
      <c r="L29" s="66">
        <v>0.015</v>
      </c>
      <c r="M29" s="66">
        <f t="shared" si="3"/>
        <v>0.91125</v>
      </c>
      <c r="N29" s="69" t="s">
        <v>545</v>
      </c>
      <c r="Z29" s="66">
        <f t="shared" si="4"/>
        <v>0</v>
      </c>
      <c r="AB29" s="66">
        <f t="shared" si="5"/>
        <v>0</v>
      </c>
      <c r="AC29" s="66">
        <f t="shared" si="6"/>
        <v>0</v>
      </c>
      <c r="AD29" s="66">
        <f t="shared" si="7"/>
        <v>0</v>
      </c>
      <c r="AE29" s="66">
        <f t="shared" si="8"/>
        <v>0</v>
      </c>
      <c r="AF29" s="66">
        <f t="shared" si="9"/>
        <v>0</v>
      </c>
      <c r="AG29" s="66">
        <f t="shared" si="10"/>
        <v>0</v>
      </c>
      <c r="AH29" s="66">
        <f t="shared" si="11"/>
        <v>0</v>
      </c>
      <c r="AI29" s="99" t="s">
        <v>450</v>
      </c>
      <c r="AJ29" s="66">
        <f t="shared" si="12"/>
        <v>0</v>
      </c>
      <c r="AK29" s="66">
        <f t="shared" si="13"/>
        <v>0</v>
      </c>
      <c r="AL29" s="66">
        <f t="shared" si="14"/>
        <v>0</v>
      </c>
      <c r="AN29" s="66">
        <v>21</v>
      </c>
      <c r="AO29" s="66">
        <f>H29*0</f>
        <v>0</v>
      </c>
      <c r="AP29" s="66">
        <f>H29*(1-0)</f>
        <v>0</v>
      </c>
      <c r="AQ29" s="111" t="s">
        <v>652</v>
      </c>
      <c r="AV29" s="66">
        <f t="shared" si="15"/>
        <v>0</v>
      </c>
      <c r="AW29" s="66">
        <f t="shared" si="16"/>
        <v>0</v>
      </c>
      <c r="AX29" s="66">
        <f t="shared" si="17"/>
        <v>0</v>
      </c>
      <c r="AY29" s="111" t="s">
        <v>412</v>
      </c>
      <c r="AZ29" s="111" t="s">
        <v>358</v>
      </c>
      <c r="BA29" s="99" t="s">
        <v>498</v>
      </c>
      <c r="BC29" s="66">
        <f t="shared" si="18"/>
        <v>0</v>
      </c>
      <c r="BD29" s="66">
        <f t="shared" si="19"/>
        <v>0</v>
      </c>
      <c r="BE29" s="66">
        <v>0</v>
      </c>
      <c r="BF29" s="66">
        <f t="shared" si="20"/>
        <v>0.91125</v>
      </c>
      <c r="BH29" s="66">
        <f t="shared" si="21"/>
        <v>0</v>
      </c>
      <c r="BI29" s="66">
        <f t="shared" si="22"/>
        <v>0</v>
      </c>
      <c r="BJ29" s="66">
        <f t="shared" si="23"/>
        <v>0</v>
      </c>
      <c r="BK29" s="66"/>
      <c r="BL29" s="66">
        <v>762</v>
      </c>
    </row>
    <row r="30" spans="1:64" s="58" customFormat="1" ht="15" customHeight="1">
      <c r="A30" s="64" t="s">
        <v>190</v>
      </c>
      <c r="B30" s="65" t="s">
        <v>450</v>
      </c>
      <c r="C30" s="65" t="s">
        <v>601</v>
      </c>
      <c r="D30" s="174" t="s">
        <v>259</v>
      </c>
      <c r="E30" s="174"/>
      <c r="F30" s="65" t="s">
        <v>635</v>
      </c>
      <c r="G30" s="66">
        <v>13.6881</v>
      </c>
      <c r="H30" s="66"/>
      <c r="I30" s="66">
        <f t="shared" si="0"/>
        <v>0</v>
      </c>
      <c r="J30" s="66">
        <f t="shared" si="1"/>
        <v>0</v>
      </c>
      <c r="K30" s="66">
        <f t="shared" si="2"/>
        <v>0</v>
      </c>
      <c r="L30" s="66">
        <v>0.04016</v>
      </c>
      <c r="M30" s="66">
        <f t="shared" si="3"/>
        <v>0.549714096</v>
      </c>
      <c r="N30" s="69" t="s">
        <v>545</v>
      </c>
      <c r="Z30" s="66">
        <f t="shared" si="4"/>
        <v>0</v>
      </c>
      <c r="AB30" s="66">
        <f t="shared" si="5"/>
        <v>0</v>
      </c>
      <c r="AC30" s="66">
        <f t="shared" si="6"/>
        <v>0</v>
      </c>
      <c r="AD30" s="66">
        <f t="shared" si="7"/>
        <v>0</v>
      </c>
      <c r="AE30" s="66">
        <f t="shared" si="8"/>
        <v>0</v>
      </c>
      <c r="AF30" s="66">
        <f t="shared" si="9"/>
        <v>0</v>
      </c>
      <c r="AG30" s="66">
        <f t="shared" si="10"/>
        <v>0</v>
      </c>
      <c r="AH30" s="66">
        <f t="shared" si="11"/>
        <v>0</v>
      </c>
      <c r="AI30" s="99" t="s">
        <v>450</v>
      </c>
      <c r="AJ30" s="66">
        <f t="shared" si="12"/>
        <v>0</v>
      </c>
      <c r="AK30" s="66">
        <f t="shared" si="13"/>
        <v>0</v>
      </c>
      <c r="AL30" s="66">
        <f t="shared" si="14"/>
        <v>0</v>
      </c>
      <c r="AN30" s="66">
        <v>21</v>
      </c>
      <c r="AO30" s="66">
        <f>H30*0.0331009791260413</f>
        <v>0</v>
      </c>
      <c r="AP30" s="66">
        <f>H30*(1-0.0331009791260413)</f>
        <v>0</v>
      </c>
      <c r="AQ30" s="111" t="s">
        <v>652</v>
      </c>
      <c r="AV30" s="66">
        <f t="shared" si="15"/>
        <v>0</v>
      </c>
      <c r="AW30" s="66">
        <f t="shared" si="16"/>
        <v>0</v>
      </c>
      <c r="AX30" s="66">
        <f t="shared" si="17"/>
        <v>0</v>
      </c>
      <c r="AY30" s="111" t="s">
        <v>412</v>
      </c>
      <c r="AZ30" s="111" t="s">
        <v>358</v>
      </c>
      <c r="BA30" s="99" t="s">
        <v>498</v>
      </c>
      <c r="BC30" s="66">
        <f t="shared" si="18"/>
        <v>0</v>
      </c>
      <c r="BD30" s="66">
        <f t="shared" si="19"/>
        <v>0</v>
      </c>
      <c r="BE30" s="66">
        <v>0</v>
      </c>
      <c r="BF30" s="66">
        <f t="shared" si="20"/>
        <v>0.549714096</v>
      </c>
      <c r="BH30" s="66">
        <f t="shared" si="21"/>
        <v>0</v>
      </c>
      <c r="BI30" s="66">
        <f t="shared" si="22"/>
        <v>0</v>
      </c>
      <c r="BJ30" s="66">
        <f t="shared" si="23"/>
        <v>0</v>
      </c>
      <c r="BK30" s="66"/>
      <c r="BL30" s="66">
        <v>762</v>
      </c>
    </row>
    <row r="31" spans="1:64" s="58" customFormat="1" ht="15" customHeight="1">
      <c r="A31" s="64" t="s">
        <v>386</v>
      </c>
      <c r="B31" s="65" t="s">
        <v>450</v>
      </c>
      <c r="C31" s="65" t="s">
        <v>577</v>
      </c>
      <c r="D31" s="174" t="s">
        <v>2</v>
      </c>
      <c r="E31" s="174"/>
      <c r="F31" s="65" t="s">
        <v>635</v>
      </c>
      <c r="G31" s="66">
        <v>13.6881</v>
      </c>
      <c r="H31" s="66"/>
      <c r="I31" s="66">
        <f t="shared" si="0"/>
        <v>0</v>
      </c>
      <c r="J31" s="66">
        <f t="shared" si="1"/>
        <v>0</v>
      </c>
      <c r="K31" s="66">
        <f t="shared" si="2"/>
        <v>0</v>
      </c>
      <c r="L31" s="66">
        <v>0.014</v>
      </c>
      <c r="M31" s="66">
        <f t="shared" si="3"/>
        <v>0.1916334</v>
      </c>
      <c r="N31" s="69" t="s">
        <v>545</v>
      </c>
      <c r="Z31" s="66">
        <f t="shared" si="4"/>
        <v>0</v>
      </c>
      <c r="AB31" s="66">
        <f t="shared" si="5"/>
        <v>0</v>
      </c>
      <c r="AC31" s="66">
        <f t="shared" si="6"/>
        <v>0</v>
      </c>
      <c r="AD31" s="66">
        <f t="shared" si="7"/>
        <v>0</v>
      </c>
      <c r="AE31" s="66">
        <f t="shared" si="8"/>
        <v>0</v>
      </c>
      <c r="AF31" s="66">
        <f t="shared" si="9"/>
        <v>0</v>
      </c>
      <c r="AG31" s="66">
        <f t="shared" si="10"/>
        <v>0</v>
      </c>
      <c r="AH31" s="66">
        <f t="shared" si="11"/>
        <v>0</v>
      </c>
      <c r="AI31" s="99" t="s">
        <v>450</v>
      </c>
      <c r="AJ31" s="66">
        <f t="shared" si="12"/>
        <v>0</v>
      </c>
      <c r="AK31" s="66">
        <f t="shared" si="13"/>
        <v>0</v>
      </c>
      <c r="AL31" s="66">
        <f t="shared" si="14"/>
        <v>0</v>
      </c>
      <c r="AN31" s="66">
        <v>21</v>
      </c>
      <c r="AO31" s="66">
        <f>H31*0</f>
        <v>0</v>
      </c>
      <c r="AP31" s="66">
        <f>H31*(1-0)</f>
        <v>0</v>
      </c>
      <c r="AQ31" s="111" t="s">
        <v>652</v>
      </c>
      <c r="AV31" s="66">
        <f t="shared" si="15"/>
        <v>0</v>
      </c>
      <c r="AW31" s="66">
        <f t="shared" si="16"/>
        <v>0</v>
      </c>
      <c r="AX31" s="66">
        <f t="shared" si="17"/>
        <v>0</v>
      </c>
      <c r="AY31" s="111" t="s">
        <v>412</v>
      </c>
      <c r="AZ31" s="111" t="s">
        <v>358</v>
      </c>
      <c r="BA31" s="99" t="s">
        <v>498</v>
      </c>
      <c r="BC31" s="66">
        <f t="shared" si="18"/>
        <v>0</v>
      </c>
      <c r="BD31" s="66">
        <f t="shared" si="19"/>
        <v>0</v>
      </c>
      <c r="BE31" s="66">
        <v>0</v>
      </c>
      <c r="BF31" s="66">
        <f t="shared" si="20"/>
        <v>0.1916334</v>
      </c>
      <c r="BH31" s="66">
        <f t="shared" si="21"/>
        <v>0</v>
      </c>
      <c r="BI31" s="66">
        <f t="shared" si="22"/>
        <v>0</v>
      </c>
      <c r="BJ31" s="66">
        <f t="shared" si="23"/>
        <v>0</v>
      </c>
      <c r="BK31" s="66"/>
      <c r="BL31" s="66">
        <v>762</v>
      </c>
    </row>
    <row r="32" spans="1:64" s="58" customFormat="1" ht="15" customHeight="1">
      <c r="A32" s="64" t="s">
        <v>258</v>
      </c>
      <c r="B32" s="65" t="s">
        <v>450</v>
      </c>
      <c r="C32" s="65" t="s">
        <v>774</v>
      </c>
      <c r="D32" s="174" t="s">
        <v>775</v>
      </c>
      <c r="E32" s="174"/>
      <c r="F32" s="65" t="s">
        <v>635</v>
      </c>
      <c r="G32" s="66">
        <v>10.5193</v>
      </c>
      <c r="H32" s="66"/>
      <c r="I32" s="66">
        <f t="shared" si="0"/>
        <v>0</v>
      </c>
      <c r="J32" s="66">
        <f t="shared" si="1"/>
        <v>0</v>
      </c>
      <c r="K32" s="66">
        <f t="shared" si="2"/>
        <v>0</v>
      </c>
      <c r="L32" s="66">
        <v>0.005</v>
      </c>
      <c r="M32" s="66">
        <f t="shared" si="3"/>
        <v>0.0525965</v>
      </c>
      <c r="N32" s="69" t="s">
        <v>545</v>
      </c>
      <c r="Z32" s="66">
        <f t="shared" si="4"/>
        <v>0</v>
      </c>
      <c r="AB32" s="66">
        <f t="shared" si="5"/>
        <v>0</v>
      </c>
      <c r="AC32" s="66">
        <f t="shared" si="6"/>
        <v>0</v>
      </c>
      <c r="AD32" s="66">
        <f t="shared" si="7"/>
        <v>0</v>
      </c>
      <c r="AE32" s="66">
        <f t="shared" si="8"/>
        <v>0</v>
      </c>
      <c r="AF32" s="66">
        <f t="shared" si="9"/>
        <v>0</v>
      </c>
      <c r="AG32" s="66">
        <f t="shared" si="10"/>
        <v>0</v>
      </c>
      <c r="AH32" s="66">
        <f t="shared" si="11"/>
        <v>0</v>
      </c>
      <c r="AI32" s="99" t="s">
        <v>450</v>
      </c>
      <c r="AJ32" s="66">
        <f t="shared" si="12"/>
        <v>0</v>
      </c>
      <c r="AK32" s="66">
        <f t="shared" si="13"/>
        <v>0</v>
      </c>
      <c r="AL32" s="66">
        <f t="shared" si="14"/>
        <v>0</v>
      </c>
      <c r="AN32" s="66">
        <v>21</v>
      </c>
      <c r="AO32" s="66">
        <f>H32*0</f>
        <v>0</v>
      </c>
      <c r="AP32" s="66">
        <f>H32*(1-0)</f>
        <v>0</v>
      </c>
      <c r="AQ32" s="111" t="s">
        <v>652</v>
      </c>
      <c r="AV32" s="66">
        <f t="shared" si="15"/>
        <v>0</v>
      </c>
      <c r="AW32" s="66">
        <f t="shared" si="16"/>
        <v>0</v>
      </c>
      <c r="AX32" s="66">
        <f t="shared" si="17"/>
        <v>0</v>
      </c>
      <c r="AY32" s="111" t="s">
        <v>412</v>
      </c>
      <c r="AZ32" s="111" t="s">
        <v>358</v>
      </c>
      <c r="BA32" s="99" t="s">
        <v>498</v>
      </c>
      <c r="BC32" s="66">
        <f t="shared" si="18"/>
        <v>0</v>
      </c>
      <c r="BD32" s="66">
        <f t="shared" si="19"/>
        <v>0</v>
      </c>
      <c r="BE32" s="66">
        <v>0</v>
      </c>
      <c r="BF32" s="66">
        <f t="shared" si="20"/>
        <v>0.0525965</v>
      </c>
      <c r="BH32" s="66">
        <f t="shared" si="21"/>
        <v>0</v>
      </c>
      <c r="BI32" s="66">
        <f t="shared" si="22"/>
        <v>0</v>
      </c>
      <c r="BJ32" s="66">
        <f t="shared" si="23"/>
        <v>0</v>
      </c>
      <c r="BK32" s="66"/>
      <c r="BL32" s="66">
        <v>762</v>
      </c>
    </row>
    <row r="33" spans="1:47" s="58" customFormat="1" ht="15" customHeight="1">
      <c r="A33" s="95" t="s">
        <v>450</v>
      </c>
      <c r="B33" s="96" t="s">
        <v>450</v>
      </c>
      <c r="C33" s="96" t="s">
        <v>47</v>
      </c>
      <c r="D33" s="173" t="s">
        <v>96</v>
      </c>
      <c r="E33" s="173"/>
      <c r="F33" s="97" t="s">
        <v>595</v>
      </c>
      <c r="G33" s="97" t="s">
        <v>595</v>
      </c>
      <c r="H33" s="97"/>
      <c r="I33" s="98">
        <f>SUM(I34:I45)</f>
        <v>0</v>
      </c>
      <c r="J33" s="98">
        <f>SUM(J34:J45)</f>
        <v>0</v>
      </c>
      <c r="K33" s="98">
        <f>SUM(K34:K45)</f>
        <v>0</v>
      </c>
      <c r="L33" s="99" t="s">
        <v>450</v>
      </c>
      <c r="M33" s="98">
        <f>SUM(M34:M45)</f>
        <v>0.785663276</v>
      </c>
      <c r="N33" s="100" t="s">
        <v>450</v>
      </c>
      <c r="AI33" s="99" t="s">
        <v>450</v>
      </c>
      <c r="AS33" s="98">
        <f>SUM(AJ34:AJ45)</f>
        <v>0</v>
      </c>
      <c r="AT33" s="98">
        <f>SUM(AK34:AK45)</f>
        <v>0</v>
      </c>
      <c r="AU33" s="98">
        <f>SUM(AL34:AL45)</f>
        <v>0</v>
      </c>
    </row>
    <row r="34" spans="1:64" s="58" customFormat="1" ht="15" customHeight="1">
      <c r="A34" s="64" t="s">
        <v>59</v>
      </c>
      <c r="B34" s="65" t="s">
        <v>450</v>
      </c>
      <c r="C34" s="65" t="s">
        <v>343</v>
      </c>
      <c r="D34" s="174" t="s">
        <v>253</v>
      </c>
      <c r="E34" s="174"/>
      <c r="F34" s="65" t="s">
        <v>538</v>
      </c>
      <c r="G34" s="66">
        <v>15.2</v>
      </c>
      <c r="H34" s="66"/>
      <c r="I34" s="66">
        <f aca="true" t="shared" si="24" ref="I34:I45">G34*AO34</f>
        <v>0</v>
      </c>
      <c r="J34" s="66">
        <f aca="true" t="shared" si="25" ref="J34:J45">G34*AP34</f>
        <v>0</v>
      </c>
      <c r="K34" s="66">
        <f aca="true" t="shared" si="26" ref="K34:K45">G34*H34</f>
        <v>0</v>
      </c>
      <c r="L34" s="66">
        <v>0.00522</v>
      </c>
      <c r="M34" s="66">
        <f aca="true" t="shared" si="27" ref="M34:M45">G34*L34</f>
        <v>0.079344</v>
      </c>
      <c r="N34" s="69" t="s">
        <v>545</v>
      </c>
      <c r="Z34" s="66">
        <f aca="true" t="shared" si="28" ref="Z34:Z45">IF(AQ34="5",BJ34,0)</f>
        <v>0</v>
      </c>
      <c r="AB34" s="66">
        <f aca="true" t="shared" si="29" ref="AB34:AB45">IF(AQ34="1",BH34,0)</f>
        <v>0</v>
      </c>
      <c r="AC34" s="66">
        <f aca="true" t="shared" si="30" ref="AC34:AC45">IF(AQ34="1",BI34,0)</f>
        <v>0</v>
      </c>
      <c r="AD34" s="66">
        <f aca="true" t="shared" si="31" ref="AD34:AD45">IF(AQ34="7",BH34,0)</f>
        <v>0</v>
      </c>
      <c r="AE34" s="66">
        <f aca="true" t="shared" si="32" ref="AE34:AE45">IF(AQ34="7",BI34,0)</f>
        <v>0</v>
      </c>
      <c r="AF34" s="66">
        <f aca="true" t="shared" si="33" ref="AF34:AF45">IF(AQ34="2",BH34,0)</f>
        <v>0</v>
      </c>
      <c r="AG34" s="66">
        <f aca="true" t="shared" si="34" ref="AG34:AG45">IF(AQ34="2",BI34,0)</f>
        <v>0</v>
      </c>
      <c r="AH34" s="66">
        <f aca="true" t="shared" si="35" ref="AH34:AH45">IF(AQ34="0",BJ34,0)</f>
        <v>0</v>
      </c>
      <c r="AI34" s="99" t="s">
        <v>450</v>
      </c>
      <c r="AJ34" s="66">
        <f aca="true" t="shared" si="36" ref="AJ34:AJ45">IF(AN34=0,K34,0)</f>
        <v>0</v>
      </c>
      <c r="AK34" s="66">
        <f aca="true" t="shared" si="37" ref="AK34:AK45">IF(AN34=15,K34,0)</f>
        <v>0</v>
      </c>
      <c r="AL34" s="66">
        <f aca="true" t="shared" si="38" ref="AL34:AL45">IF(AN34=21,K34,0)</f>
        <v>0</v>
      </c>
      <c r="AN34" s="66">
        <v>21</v>
      </c>
      <c r="AO34" s="66">
        <f aca="true" t="shared" si="39" ref="AO34:AO41">H34*0</f>
        <v>0</v>
      </c>
      <c r="AP34" s="66">
        <f aca="true" t="shared" si="40" ref="AP34:AP41">H34*(1-0)</f>
        <v>0</v>
      </c>
      <c r="AQ34" s="111" t="s">
        <v>652</v>
      </c>
      <c r="AV34" s="66">
        <f aca="true" t="shared" si="41" ref="AV34:AV45">AW34+AX34</f>
        <v>0</v>
      </c>
      <c r="AW34" s="66">
        <f aca="true" t="shared" si="42" ref="AW34:AW45">G34*AO34</f>
        <v>0</v>
      </c>
      <c r="AX34" s="66">
        <f aca="true" t="shared" si="43" ref="AX34:AX45">G34*AP34</f>
        <v>0</v>
      </c>
      <c r="AY34" s="111" t="s">
        <v>528</v>
      </c>
      <c r="AZ34" s="111" t="s">
        <v>358</v>
      </c>
      <c r="BA34" s="99" t="s">
        <v>498</v>
      </c>
      <c r="BC34" s="66">
        <f aca="true" t="shared" si="44" ref="BC34:BC45">AW34+AX34</f>
        <v>0</v>
      </c>
      <c r="BD34" s="66">
        <f aca="true" t="shared" si="45" ref="BD34:BD45">H34/(100-BE34)*100</f>
        <v>0</v>
      </c>
      <c r="BE34" s="66">
        <v>0</v>
      </c>
      <c r="BF34" s="66">
        <f aca="true" t="shared" si="46" ref="BF34:BF45">M34</f>
        <v>0.079344</v>
      </c>
      <c r="BH34" s="66">
        <f aca="true" t="shared" si="47" ref="BH34:BH45">G34*AO34</f>
        <v>0</v>
      </c>
      <c r="BI34" s="66">
        <f aca="true" t="shared" si="48" ref="BI34:BI45">G34*AP34</f>
        <v>0</v>
      </c>
      <c r="BJ34" s="66">
        <f aca="true" t="shared" si="49" ref="BJ34:BJ45">G34*H34</f>
        <v>0</v>
      </c>
      <c r="BK34" s="66"/>
      <c r="BL34" s="66">
        <v>764</v>
      </c>
    </row>
    <row r="35" spans="1:64" s="58" customFormat="1" ht="15" customHeight="1">
      <c r="A35" s="64" t="s">
        <v>452</v>
      </c>
      <c r="B35" s="65" t="s">
        <v>450</v>
      </c>
      <c r="C35" s="65" t="s">
        <v>404</v>
      </c>
      <c r="D35" s="174" t="s">
        <v>162</v>
      </c>
      <c r="E35" s="174"/>
      <c r="F35" s="65" t="s">
        <v>538</v>
      </c>
      <c r="G35" s="66">
        <v>62.6</v>
      </c>
      <c r="H35" s="66"/>
      <c r="I35" s="66">
        <f t="shared" si="24"/>
        <v>0</v>
      </c>
      <c r="J35" s="66">
        <f t="shared" si="25"/>
        <v>0</v>
      </c>
      <c r="K35" s="66">
        <f t="shared" si="26"/>
        <v>0</v>
      </c>
      <c r="L35" s="66">
        <v>0.00474</v>
      </c>
      <c r="M35" s="66">
        <f t="shared" si="27"/>
        <v>0.29672400000000004</v>
      </c>
      <c r="N35" s="69" t="s">
        <v>545</v>
      </c>
      <c r="Z35" s="66">
        <f t="shared" si="28"/>
        <v>0</v>
      </c>
      <c r="AB35" s="66">
        <f t="shared" si="29"/>
        <v>0</v>
      </c>
      <c r="AC35" s="66">
        <f t="shared" si="30"/>
        <v>0</v>
      </c>
      <c r="AD35" s="66">
        <f t="shared" si="31"/>
        <v>0</v>
      </c>
      <c r="AE35" s="66">
        <f t="shared" si="32"/>
        <v>0</v>
      </c>
      <c r="AF35" s="66">
        <f t="shared" si="33"/>
        <v>0</v>
      </c>
      <c r="AG35" s="66">
        <f t="shared" si="34"/>
        <v>0</v>
      </c>
      <c r="AH35" s="66">
        <f t="shared" si="35"/>
        <v>0</v>
      </c>
      <c r="AI35" s="99" t="s">
        <v>450</v>
      </c>
      <c r="AJ35" s="66">
        <f t="shared" si="36"/>
        <v>0</v>
      </c>
      <c r="AK35" s="66">
        <f t="shared" si="37"/>
        <v>0</v>
      </c>
      <c r="AL35" s="66">
        <f t="shared" si="38"/>
        <v>0</v>
      </c>
      <c r="AN35" s="66">
        <v>21</v>
      </c>
      <c r="AO35" s="66">
        <f t="shared" si="39"/>
        <v>0</v>
      </c>
      <c r="AP35" s="66">
        <f t="shared" si="40"/>
        <v>0</v>
      </c>
      <c r="AQ35" s="111" t="s">
        <v>652</v>
      </c>
      <c r="AV35" s="66">
        <f t="shared" si="41"/>
        <v>0</v>
      </c>
      <c r="AW35" s="66">
        <f t="shared" si="42"/>
        <v>0</v>
      </c>
      <c r="AX35" s="66">
        <f t="shared" si="43"/>
        <v>0</v>
      </c>
      <c r="AY35" s="111" t="s">
        <v>528</v>
      </c>
      <c r="AZ35" s="111" t="s">
        <v>358</v>
      </c>
      <c r="BA35" s="99" t="s">
        <v>498</v>
      </c>
      <c r="BC35" s="66">
        <f t="shared" si="44"/>
        <v>0</v>
      </c>
      <c r="BD35" s="66">
        <f t="shared" si="45"/>
        <v>0</v>
      </c>
      <c r="BE35" s="66">
        <v>0</v>
      </c>
      <c r="BF35" s="66">
        <f t="shared" si="46"/>
        <v>0.29672400000000004</v>
      </c>
      <c r="BH35" s="66">
        <f t="shared" si="47"/>
        <v>0</v>
      </c>
      <c r="BI35" s="66">
        <f t="shared" si="48"/>
        <v>0</v>
      </c>
      <c r="BJ35" s="66">
        <f t="shared" si="49"/>
        <v>0</v>
      </c>
      <c r="BK35" s="66"/>
      <c r="BL35" s="66">
        <v>764</v>
      </c>
    </row>
    <row r="36" spans="1:64" s="58" customFormat="1" ht="15" customHeight="1">
      <c r="A36" s="64" t="s">
        <v>523</v>
      </c>
      <c r="B36" s="65" t="s">
        <v>450</v>
      </c>
      <c r="C36" s="65" t="s">
        <v>22</v>
      </c>
      <c r="D36" s="174" t="s">
        <v>736</v>
      </c>
      <c r="E36" s="174"/>
      <c r="F36" s="65" t="s">
        <v>157</v>
      </c>
      <c r="G36" s="66">
        <v>16</v>
      </c>
      <c r="H36" s="66"/>
      <c r="I36" s="66">
        <f t="shared" si="24"/>
        <v>0</v>
      </c>
      <c r="J36" s="66">
        <f t="shared" si="25"/>
        <v>0</v>
      </c>
      <c r="K36" s="66">
        <f t="shared" si="26"/>
        <v>0</v>
      </c>
      <c r="L36" s="66">
        <v>0.00069</v>
      </c>
      <c r="M36" s="66">
        <f t="shared" si="27"/>
        <v>0.01104</v>
      </c>
      <c r="N36" s="69" t="s">
        <v>545</v>
      </c>
      <c r="Z36" s="66">
        <f t="shared" si="28"/>
        <v>0</v>
      </c>
      <c r="AB36" s="66">
        <f t="shared" si="29"/>
        <v>0</v>
      </c>
      <c r="AC36" s="66">
        <f t="shared" si="30"/>
        <v>0</v>
      </c>
      <c r="AD36" s="66">
        <f t="shared" si="31"/>
        <v>0</v>
      </c>
      <c r="AE36" s="66">
        <f t="shared" si="32"/>
        <v>0</v>
      </c>
      <c r="AF36" s="66">
        <f t="shared" si="33"/>
        <v>0</v>
      </c>
      <c r="AG36" s="66">
        <f t="shared" si="34"/>
        <v>0</v>
      </c>
      <c r="AH36" s="66">
        <f t="shared" si="35"/>
        <v>0</v>
      </c>
      <c r="AI36" s="99" t="s">
        <v>450</v>
      </c>
      <c r="AJ36" s="66">
        <f t="shared" si="36"/>
        <v>0</v>
      </c>
      <c r="AK36" s="66">
        <f t="shared" si="37"/>
        <v>0</v>
      </c>
      <c r="AL36" s="66">
        <f t="shared" si="38"/>
        <v>0</v>
      </c>
      <c r="AN36" s="66">
        <v>21</v>
      </c>
      <c r="AO36" s="66">
        <f t="shared" si="39"/>
        <v>0</v>
      </c>
      <c r="AP36" s="66">
        <f t="shared" si="40"/>
        <v>0</v>
      </c>
      <c r="AQ36" s="111" t="s">
        <v>652</v>
      </c>
      <c r="AV36" s="66">
        <f t="shared" si="41"/>
        <v>0</v>
      </c>
      <c r="AW36" s="66">
        <f t="shared" si="42"/>
        <v>0</v>
      </c>
      <c r="AX36" s="66">
        <f t="shared" si="43"/>
        <v>0</v>
      </c>
      <c r="AY36" s="111" t="s">
        <v>528</v>
      </c>
      <c r="AZ36" s="111" t="s">
        <v>358</v>
      </c>
      <c r="BA36" s="99" t="s">
        <v>498</v>
      </c>
      <c r="BC36" s="66">
        <f t="shared" si="44"/>
        <v>0</v>
      </c>
      <c r="BD36" s="66">
        <f t="shared" si="45"/>
        <v>0</v>
      </c>
      <c r="BE36" s="66">
        <v>0</v>
      </c>
      <c r="BF36" s="66">
        <f t="shared" si="46"/>
        <v>0.01104</v>
      </c>
      <c r="BH36" s="66">
        <f t="shared" si="47"/>
        <v>0</v>
      </c>
      <c r="BI36" s="66">
        <f t="shared" si="48"/>
        <v>0</v>
      </c>
      <c r="BJ36" s="66">
        <f t="shared" si="49"/>
        <v>0</v>
      </c>
      <c r="BK36" s="66"/>
      <c r="BL36" s="66">
        <v>764</v>
      </c>
    </row>
    <row r="37" spans="1:64" s="58" customFormat="1" ht="15" customHeight="1">
      <c r="A37" s="64" t="s">
        <v>416</v>
      </c>
      <c r="B37" s="65" t="s">
        <v>450</v>
      </c>
      <c r="C37" s="65" t="s">
        <v>776</v>
      </c>
      <c r="D37" s="174" t="s">
        <v>777</v>
      </c>
      <c r="E37" s="174"/>
      <c r="F37" s="65" t="s">
        <v>538</v>
      </c>
      <c r="G37" s="66">
        <v>16.35</v>
      </c>
      <c r="H37" s="66"/>
      <c r="I37" s="66">
        <f t="shared" si="24"/>
        <v>0</v>
      </c>
      <c r="J37" s="66">
        <f t="shared" si="25"/>
        <v>0</v>
      </c>
      <c r="K37" s="66">
        <f t="shared" si="26"/>
        <v>0</v>
      </c>
      <c r="L37" s="66">
        <v>0.00286</v>
      </c>
      <c r="M37" s="66">
        <f t="shared" si="27"/>
        <v>0.046761000000000004</v>
      </c>
      <c r="N37" s="69" t="s">
        <v>545</v>
      </c>
      <c r="Z37" s="66">
        <f t="shared" si="28"/>
        <v>0</v>
      </c>
      <c r="AB37" s="66">
        <f t="shared" si="29"/>
        <v>0</v>
      </c>
      <c r="AC37" s="66">
        <f t="shared" si="30"/>
        <v>0</v>
      </c>
      <c r="AD37" s="66">
        <f t="shared" si="31"/>
        <v>0</v>
      </c>
      <c r="AE37" s="66">
        <f t="shared" si="32"/>
        <v>0</v>
      </c>
      <c r="AF37" s="66">
        <f t="shared" si="33"/>
        <v>0</v>
      </c>
      <c r="AG37" s="66">
        <f t="shared" si="34"/>
        <v>0</v>
      </c>
      <c r="AH37" s="66">
        <f t="shared" si="35"/>
        <v>0</v>
      </c>
      <c r="AI37" s="99" t="s">
        <v>450</v>
      </c>
      <c r="AJ37" s="66">
        <f t="shared" si="36"/>
        <v>0</v>
      </c>
      <c r="AK37" s="66">
        <f t="shared" si="37"/>
        <v>0</v>
      </c>
      <c r="AL37" s="66">
        <f t="shared" si="38"/>
        <v>0</v>
      </c>
      <c r="AN37" s="66">
        <v>21</v>
      </c>
      <c r="AO37" s="66">
        <f t="shared" si="39"/>
        <v>0</v>
      </c>
      <c r="AP37" s="66">
        <f t="shared" si="40"/>
        <v>0</v>
      </c>
      <c r="AQ37" s="111" t="s">
        <v>652</v>
      </c>
      <c r="AV37" s="66">
        <f t="shared" si="41"/>
        <v>0</v>
      </c>
      <c r="AW37" s="66">
        <f t="shared" si="42"/>
        <v>0</v>
      </c>
      <c r="AX37" s="66">
        <f t="shared" si="43"/>
        <v>0</v>
      </c>
      <c r="AY37" s="111" t="s">
        <v>528</v>
      </c>
      <c r="AZ37" s="111" t="s">
        <v>358</v>
      </c>
      <c r="BA37" s="99" t="s">
        <v>498</v>
      </c>
      <c r="BC37" s="66">
        <f t="shared" si="44"/>
        <v>0</v>
      </c>
      <c r="BD37" s="66">
        <f t="shared" si="45"/>
        <v>0</v>
      </c>
      <c r="BE37" s="66">
        <v>0</v>
      </c>
      <c r="BF37" s="66">
        <f t="shared" si="46"/>
        <v>0.046761000000000004</v>
      </c>
      <c r="BH37" s="66">
        <f t="shared" si="47"/>
        <v>0</v>
      </c>
      <c r="BI37" s="66">
        <f t="shared" si="48"/>
        <v>0</v>
      </c>
      <c r="BJ37" s="66">
        <f t="shared" si="49"/>
        <v>0</v>
      </c>
      <c r="BK37" s="66"/>
      <c r="BL37" s="66">
        <v>764</v>
      </c>
    </row>
    <row r="38" spans="1:64" s="58" customFormat="1" ht="15" customHeight="1">
      <c r="A38" s="64" t="s">
        <v>28</v>
      </c>
      <c r="B38" s="65" t="s">
        <v>450</v>
      </c>
      <c r="C38" s="65" t="s">
        <v>779</v>
      </c>
      <c r="D38" s="174" t="s">
        <v>780</v>
      </c>
      <c r="E38" s="174"/>
      <c r="F38" s="65" t="s">
        <v>538</v>
      </c>
      <c r="G38" s="66">
        <v>1.85</v>
      </c>
      <c r="H38" s="66"/>
      <c r="I38" s="66">
        <f t="shared" si="24"/>
        <v>0</v>
      </c>
      <c r="J38" s="66">
        <f t="shared" si="25"/>
        <v>0</v>
      </c>
      <c r="K38" s="66">
        <f t="shared" si="26"/>
        <v>0</v>
      </c>
      <c r="L38" s="66">
        <v>0.00142</v>
      </c>
      <c r="M38" s="66">
        <f t="shared" si="27"/>
        <v>0.002627</v>
      </c>
      <c r="N38" s="69" t="s">
        <v>545</v>
      </c>
      <c r="Z38" s="66">
        <f t="shared" si="28"/>
        <v>0</v>
      </c>
      <c r="AB38" s="66">
        <f t="shared" si="29"/>
        <v>0</v>
      </c>
      <c r="AC38" s="66">
        <f t="shared" si="30"/>
        <v>0</v>
      </c>
      <c r="AD38" s="66">
        <f t="shared" si="31"/>
        <v>0</v>
      </c>
      <c r="AE38" s="66">
        <f t="shared" si="32"/>
        <v>0</v>
      </c>
      <c r="AF38" s="66">
        <f t="shared" si="33"/>
        <v>0</v>
      </c>
      <c r="AG38" s="66">
        <f t="shared" si="34"/>
        <v>0</v>
      </c>
      <c r="AH38" s="66">
        <f t="shared" si="35"/>
        <v>0</v>
      </c>
      <c r="AI38" s="99" t="s">
        <v>450</v>
      </c>
      <c r="AJ38" s="66">
        <f t="shared" si="36"/>
        <v>0</v>
      </c>
      <c r="AK38" s="66">
        <f t="shared" si="37"/>
        <v>0</v>
      </c>
      <c r="AL38" s="66">
        <f t="shared" si="38"/>
        <v>0</v>
      </c>
      <c r="AN38" s="66">
        <v>21</v>
      </c>
      <c r="AO38" s="66">
        <f t="shared" si="39"/>
        <v>0</v>
      </c>
      <c r="AP38" s="66">
        <f t="shared" si="40"/>
        <v>0</v>
      </c>
      <c r="AQ38" s="111" t="s">
        <v>652</v>
      </c>
      <c r="AV38" s="66">
        <f t="shared" si="41"/>
        <v>0</v>
      </c>
      <c r="AW38" s="66">
        <f t="shared" si="42"/>
        <v>0</v>
      </c>
      <c r="AX38" s="66">
        <f t="shared" si="43"/>
        <v>0</v>
      </c>
      <c r="AY38" s="111" t="s">
        <v>528</v>
      </c>
      <c r="AZ38" s="111" t="s">
        <v>358</v>
      </c>
      <c r="BA38" s="99" t="s">
        <v>498</v>
      </c>
      <c r="BC38" s="66">
        <f t="shared" si="44"/>
        <v>0</v>
      </c>
      <c r="BD38" s="66">
        <f t="shared" si="45"/>
        <v>0</v>
      </c>
      <c r="BE38" s="66">
        <v>0</v>
      </c>
      <c r="BF38" s="66">
        <f t="shared" si="46"/>
        <v>0.002627</v>
      </c>
      <c r="BH38" s="66">
        <f t="shared" si="47"/>
        <v>0</v>
      </c>
      <c r="BI38" s="66">
        <f t="shared" si="48"/>
        <v>0</v>
      </c>
      <c r="BJ38" s="66">
        <f t="shared" si="49"/>
        <v>0</v>
      </c>
      <c r="BK38" s="66"/>
      <c r="BL38" s="66">
        <v>764</v>
      </c>
    </row>
    <row r="39" spans="1:64" s="58" customFormat="1" ht="15" customHeight="1">
      <c r="A39" s="64" t="s">
        <v>459</v>
      </c>
      <c r="B39" s="65" t="s">
        <v>450</v>
      </c>
      <c r="C39" s="65" t="s">
        <v>782</v>
      </c>
      <c r="D39" s="174" t="s">
        <v>783</v>
      </c>
      <c r="E39" s="174"/>
      <c r="F39" s="65" t="s">
        <v>538</v>
      </c>
      <c r="G39" s="66">
        <v>4.7</v>
      </c>
      <c r="H39" s="66"/>
      <c r="I39" s="66">
        <f t="shared" si="24"/>
        <v>0</v>
      </c>
      <c r="J39" s="66">
        <f t="shared" si="25"/>
        <v>0</v>
      </c>
      <c r="K39" s="66">
        <f t="shared" si="26"/>
        <v>0</v>
      </c>
      <c r="L39" s="66">
        <v>0.00285</v>
      </c>
      <c r="M39" s="66">
        <f t="shared" si="27"/>
        <v>0.013395</v>
      </c>
      <c r="N39" s="69" t="s">
        <v>545</v>
      </c>
      <c r="Z39" s="66">
        <f t="shared" si="28"/>
        <v>0</v>
      </c>
      <c r="AB39" s="66">
        <f t="shared" si="29"/>
        <v>0</v>
      </c>
      <c r="AC39" s="66">
        <f t="shared" si="30"/>
        <v>0</v>
      </c>
      <c r="AD39" s="66">
        <f t="shared" si="31"/>
        <v>0</v>
      </c>
      <c r="AE39" s="66">
        <f t="shared" si="32"/>
        <v>0</v>
      </c>
      <c r="AF39" s="66">
        <f t="shared" si="33"/>
        <v>0</v>
      </c>
      <c r="AG39" s="66">
        <f t="shared" si="34"/>
        <v>0</v>
      </c>
      <c r="AH39" s="66">
        <f t="shared" si="35"/>
        <v>0</v>
      </c>
      <c r="AI39" s="99" t="s">
        <v>450</v>
      </c>
      <c r="AJ39" s="66">
        <f t="shared" si="36"/>
        <v>0</v>
      </c>
      <c r="AK39" s="66">
        <f t="shared" si="37"/>
        <v>0</v>
      </c>
      <c r="AL39" s="66">
        <f t="shared" si="38"/>
        <v>0</v>
      </c>
      <c r="AN39" s="66">
        <v>21</v>
      </c>
      <c r="AO39" s="66">
        <f t="shared" si="39"/>
        <v>0</v>
      </c>
      <c r="AP39" s="66">
        <f t="shared" si="40"/>
        <v>0</v>
      </c>
      <c r="AQ39" s="111" t="s">
        <v>652</v>
      </c>
      <c r="AV39" s="66">
        <f t="shared" si="41"/>
        <v>0</v>
      </c>
      <c r="AW39" s="66">
        <f t="shared" si="42"/>
        <v>0</v>
      </c>
      <c r="AX39" s="66">
        <f t="shared" si="43"/>
        <v>0</v>
      </c>
      <c r="AY39" s="111" t="s">
        <v>528</v>
      </c>
      <c r="AZ39" s="111" t="s">
        <v>358</v>
      </c>
      <c r="BA39" s="99" t="s">
        <v>498</v>
      </c>
      <c r="BC39" s="66">
        <f t="shared" si="44"/>
        <v>0</v>
      </c>
      <c r="BD39" s="66">
        <f t="shared" si="45"/>
        <v>0</v>
      </c>
      <c r="BE39" s="66">
        <v>0</v>
      </c>
      <c r="BF39" s="66">
        <f t="shared" si="46"/>
        <v>0.013395</v>
      </c>
      <c r="BH39" s="66">
        <f t="shared" si="47"/>
        <v>0</v>
      </c>
      <c r="BI39" s="66">
        <f t="shared" si="48"/>
        <v>0</v>
      </c>
      <c r="BJ39" s="66">
        <f t="shared" si="49"/>
        <v>0</v>
      </c>
      <c r="BK39" s="66"/>
      <c r="BL39" s="66">
        <v>764</v>
      </c>
    </row>
    <row r="40" spans="1:64" s="58" customFormat="1" ht="15" customHeight="1">
      <c r="A40" s="64" t="s">
        <v>614</v>
      </c>
      <c r="B40" s="65" t="s">
        <v>450</v>
      </c>
      <c r="C40" s="65" t="s">
        <v>785</v>
      </c>
      <c r="D40" s="174" t="s">
        <v>786</v>
      </c>
      <c r="E40" s="174"/>
      <c r="F40" s="65" t="s">
        <v>538</v>
      </c>
      <c r="G40" s="66">
        <v>24</v>
      </c>
      <c r="H40" s="66"/>
      <c r="I40" s="66">
        <f t="shared" si="24"/>
        <v>0</v>
      </c>
      <c r="J40" s="66">
        <f t="shared" si="25"/>
        <v>0</v>
      </c>
      <c r="K40" s="66">
        <f t="shared" si="26"/>
        <v>0</v>
      </c>
      <c r="L40" s="66">
        <v>0.00252</v>
      </c>
      <c r="M40" s="66">
        <f t="shared" si="27"/>
        <v>0.060480000000000006</v>
      </c>
      <c r="N40" s="69" t="s">
        <v>545</v>
      </c>
      <c r="Z40" s="66">
        <f t="shared" si="28"/>
        <v>0</v>
      </c>
      <c r="AB40" s="66">
        <f t="shared" si="29"/>
        <v>0</v>
      </c>
      <c r="AC40" s="66">
        <f t="shared" si="30"/>
        <v>0</v>
      </c>
      <c r="AD40" s="66">
        <f t="shared" si="31"/>
        <v>0</v>
      </c>
      <c r="AE40" s="66">
        <f t="shared" si="32"/>
        <v>0</v>
      </c>
      <c r="AF40" s="66">
        <f t="shared" si="33"/>
        <v>0</v>
      </c>
      <c r="AG40" s="66">
        <f t="shared" si="34"/>
        <v>0</v>
      </c>
      <c r="AH40" s="66">
        <f t="shared" si="35"/>
        <v>0</v>
      </c>
      <c r="AI40" s="99" t="s">
        <v>450</v>
      </c>
      <c r="AJ40" s="66">
        <f t="shared" si="36"/>
        <v>0</v>
      </c>
      <c r="AK40" s="66">
        <f t="shared" si="37"/>
        <v>0</v>
      </c>
      <c r="AL40" s="66">
        <f t="shared" si="38"/>
        <v>0</v>
      </c>
      <c r="AN40" s="66">
        <v>21</v>
      </c>
      <c r="AO40" s="66">
        <f t="shared" si="39"/>
        <v>0</v>
      </c>
      <c r="AP40" s="66">
        <f t="shared" si="40"/>
        <v>0</v>
      </c>
      <c r="AQ40" s="111" t="s">
        <v>652</v>
      </c>
      <c r="AV40" s="66">
        <f t="shared" si="41"/>
        <v>0</v>
      </c>
      <c r="AW40" s="66">
        <f t="shared" si="42"/>
        <v>0</v>
      </c>
      <c r="AX40" s="66">
        <f t="shared" si="43"/>
        <v>0</v>
      </c>
      <c r="AY40" s="111" t="s">
        <v>528</v>
      </c>
      <c r="AZ40" s="111" t="s">
        <v>358</v>
      </c>
      <c r="BA40" s="99" t="s">
        <v>498</v>
      </c>
      <c r="BC40" s="66">
        <f t="shared" si="44"/>
        <v>0</v>
      </c>
      <c r="BD40" s="66">
        <f t="shared" si="45"/>
        <v>0</v>
      </c>
      <c r="BE40" s="66">
        <v>0</v>
      </c>
      <c r="BF40" s="66">
        <f t="shared" si="46"/>
        <v>0.060480000000000006</v>
      </c>
      <c r="BH40" s="66">
        <f t="shared" si="47"/>
        <v>0</v>
      </c>
      <c r="BI40" s="66">
        <f t="shared" si="48"/>
        <v>0</v>
      </c>
      <c r="BJ40" s="66">
        <f t="shared" si="49"/>
        <v>0</v>
      </c>
      <c r="BK40" s="66"/>
      <c r="BL40" s="66">
        <v>764</v>
      </c>
    </row>
    <row r="41" spans="1:64" s="58" customFormat="1" ht="15" customHeight="1">
      <c r="A41" s="64" t="s">
        <v>303</v>
      </c>
      <c r="B41" s="65" t="s">
        <v>450</v>
      </c>
      <c r="C41" s="65" t="s">
        <v>788</v>
      </c>
      <c r="D41" s="174" t="s">
        <v>789</v>
      </c>
      <c r="E41" s="174"/>
      <c r="F41" s="65" t="s">
        <v>635</v>
      </c>
      <c r="G41" s="66">
        <v>10.5193</v>
      </c>
      <c r="H41" s="66"/>
      <c r="I41" s="66">
        <f t="shared" si="24"/>
        <v>0</v>
      </c>
      <c r="J41" s="66">
        <f t="shared" si="25"/>
        <v>0</v>
      </c>
      <c r="K41" s="66">
        <f t="shared" si="26"/>
        <v>0</v>
      </c>
      <c r="L41" s="66">
        <v>0.00732</v>
      </c>
      <c r="M41" s="66">
        <f t="shared" si="27"/>
        <v>0.077001276</v>
      </c>
      <c r="N41" s="69" t="s">
        <v>545</v>
      </c>
      <c r="Z41" s="66">
        <f t="shared" si="28"/>
        <v>0</v>
      </c>
      <c r="AB41" s="66">
        <f t="shared" si="29"/>
        <v>0</v>
      </c>
      <c r="AC41" s="66">
        <f t="shared" si="30"/>
        <v>0</v>
      </c>
      <c r="AD41" s="66">
        <f t="shared" si="31"/>
        <v>0</v>
      </c>
      <c r="AE41" s="66">
        <f t="shared" si="32"/>
        <v>0</v>
      </c>
      <c r="AF41" s="66">
        <f t="shared" si="33"/>
        <v>0</v>
      </c>
      <c r="AG41" s="66">
        <f t="shared" si="34"/>
        <v>0</v>
      </c>
      <c r="AH41" s="66">
        <f t="shared" si="35"/>
        <v>0</v>
      </c>
      <c r="AI41" s="99" t="s">
        <v>450</v>
      </c>
      <c r="AJ41" s="66">
        <f t="shared" si="36"/>
        <v>0</v>
      </c>
      <c r="AK41" s="66">
        <f t="shared" si="37"/>
        <v>0</v>
      </c>
      <c r="AL41" s="66">
        <f t="shared" si="38"/>
        <v>0</v>
      </c>
      <c r="AN41" s="66">
        <v>21</v>
      </c>
      <c r="AO41" s="66">
        <f t="shared" si="39"/>
        <v>0</v>
      </c>
      <c r="AP41" s="66">
        <f t="shared" si="40"/>
        <v>0</v>
      </c>
      <c r="AQ41" s="111" t="s">
        <v>652</v>
      </c>
      <c r="AV41" s="66">
        <f t="shared" si="41"/>
        <v>0</v>
      </c>
      <c r="AW41" s="66">
        <f t="shared" si="42"/>
        <v>0</v>
      </c>
      <c r="AX41" s="66">
        <f t="shared" si="43"/>
        <v>0</v>
      </c>
      <c r="AY41" s="111" t="s">
        <v>528</v>
      </c>
      <c r="AZ41" s="111" t="s">
        <v>358</v>
      </c>
      <c r="BA41" s="99" t="s">
        <v>498</v>
      </c>
      <c r="BC41" s="66">
        <f t="shared" si="44"/>
        <v>0</v>
      </c>
      <c r="BD41" s="66">
        <f t="shared" si="45"/>
        <v>0</v>
      </c>
      <c r="BE41" s="66">
        <v>0</v>
      </c>
      <c r="BF41" s="66">
        <f t="shared" si="46"/>
        <v>0.077001276</v>
      </c>
      <c r="BH41" s="66">
        <f t="shared" si="47"/>
        <v>0</v>
      </c>
      <c r="BI41" s="66">
        <f t="shared" si="48"/>
        <v>0</v>
      </c>
      <c r="BJ41" s="66">
        <f t="shared" si="49"/>
        <v>0</v>
      </c>
      <c r="BK41" s="66"/>
      <c r="BL41" s="66">
        <v>764</v>
      </c>
    </row>
    <row r="42" spans="1:64" s="58" customFormat="1" ht="15" customHeight="1">
      <c r="A42" s="64" t="s">
        <v>61</v>
      </c>
      <c r="B42" s="65" t="s">
        <v>450</v>
      </c>
      <c r="C42" s="65" t="s">
        <v>790</v>
      </c>
      <c r="D42" s="174" t="s">
        <v>791</v>
      </c>
      <c r="E42" s="174"/>
      <c r="F42" s="65" t="s">
        <v>538</v>
      </c>
      <c r="G42" s="66">
        <v>16.4</v>
      </c>
      <c r="H42" s="66"/>
      <c r="I42" s="66">
        <f t="shared" si="24"/>
        <v>0</v>
      </c>
      <c r="J42" s="66">
        <f t="shared" si="25"/>
        <v>0</v>
      </c>
      <c r="K42" s="66">
        <f t="shared" si="26"/>
        <v>0</v>
      </c>
      <c r="L42" s="66">
        <v>0.00342</v>
      </c>
      <c r="M42" s="66">
        <f t="shared" si="27"/>
        <v>0.05608799999999999</v>
      </c>
      <c r="N42" s="69" t="s">
        <v>545</v>
      </c>
      <c r="Z42" s="66">
        <f t="shared" si="28"/>
        <v>0</v>
      </c>
      <c r="AB42" s="66">
        <f t="shared" si="29"/>
        <v>0</v>
      </c>
      <c r="AC42" s="66">
        <f t="shared" si="30"/>
        <v>0</v>
      </c>
      <c r="AD42" s="66">
        <f t="shared" si="31"/>
        <v>0</v>
      </c>
      <c r="AE42" s="66">
        <f t="shared" si="32"/>
        <v>0</v>
      </c>
      <c r="AF42" s="66">
        <f t="shared" si="33"/>
        <v>0</v>
      </c>
      <c r="AG42" s="66">
        <f t="shared" si="34"/>
        <v>0</v>
      </c>
      <c r="AH42" s="66">
        <f t="shared" si="35"/>
        <v>0</v>
      </c>
      <c r="AI42" s="99" t="s">
        <v>450</v>
      </c>
      <c r="AJ42" s="66">
        <f t="shared" si="36"/>
        <v>0</v>
      </c>
      <c r="AK42" s="66">
        <f t="shared" si="37"/>
        <v>0</v>
      </c>
      <c r="AL42" s="66">
        <f t="shared" si="38"/>
        <v>0</v>
      </c>
      <c r="AN42" s="66">
        <v>21</v>
      </c>
      <c r="AO42" s="66">
        <f>H42*0.333560126582278</f>
        <v>0</v>
      </c>
      <c r="AP42" s="66">
        <f>H42*(1-0.333560126582278)</f>
        <v>0</v>
      </c>
      <c r="AQ42" s="111" t="s">
        <v>652</v>
      </c>
      <c r="AV42" s="66">
        <f t="shared" si="41"/>
        <v>0</v>
      </c>
      <c r="AW42" s="66">
        <f t="shared" si="42"/>
        <v>0</v>
      </c>
      <c r="AX42" s="66">
        <f t="shared" si="43"/>
        <v>0</v>
      </c>
      <c r="AY42" s="111" t="s">
        <v>528</v>
      </c>
      <c r="AZ42" s="111" t="s">
        <v>358</v>
      </c>
      <c r="BA42" s="99" t="s">
        <v>498</v>
      </c>
      <c r="BC42" s="66">
        <f t="shared" si="44"/>
        <v>0</v>
      </c>
      <c r="BD42" s="66">
        <f t="shared" si="45"/>
        <v>0</v>
      </c>
      <c r="BE42" s="66">
        <v>0</v>
      </c>
      <c r="BF42" s="66">
        <f t="shared" si="46"/>
        <v>0.05608799999999999</v>
      </c>
      <c r="BH42" s="66">
        <f t="shared" si="47"/>
        <v>0</v>
      </c>
      <c r="BI42" s="66">
        <f t="shared" si="48"/>
        <v>0</v>
      </c>
      <c r="BJ42" s="66">
        <f t="shared" si="49"/>
        <v>0</v>
      </c>
      <c r="BK42" s="66"/>
      <c r="BL42" s="66">
        <v>764</v>
      </c>
    </row>
    <row r="43" spans="1:64" s="58" customFormat="1" ht="15" customHeight="1">
      <c r="A43" s="64" t="s">
        <v>156</v>
      </c>
      <c r="B43" s="65" t="s">
        <v>450</v>
      </c>
      <c r="C43" s="65" t="s">
        <v>793</v>
      </c>
      <c r="D43" s="174" t="s">
        <v>794</v>
      </c>
      <c r="E43" s="174"/>
      <c r="F43" s="65" t="s">
        <v>538</v>
      </c>
      <c r="G43" s="66">
        <v>31.2</v>
      </c>
      <c r="H43" s="66"/>
      <c r="I43" s="66">
        <f t="shared" si="24"/>
        <v>0</v>
      </c>
      <c r="J43" s="66">
        <f t="shared" si="25"/>
        <v>0</v>
      </c>
      <c r="K43" s="66">
        <f t="shared" si="26"/>
        <v>0</v>
      </c>
      <c r="L43" s="66">
        <v>0.0038</v>
      </c>
      <c r="M43" s="66">
        <f t="shared" si="27"/>
        <v>0.11856</v>
      </c>
      <c r="N43" s="69" t="s">
        <v>545</v>
      </c>
      <c r="Z43" s="66">
        <f t="shared" si="28"/>
        <v>0</v>
      </c>
      <c r="AB43" s="66">
        <f t="shared" si="29"/>
        <v>0</v>
      </c>
      <c r="AC43" s="66">
        <f t="shared" si="30"/>
        <v>0</v>
      </c>
      <c r="AD43" s="66">
        <f t="shared" si="31"/>
        <v>0</v>
      </c>
      <c r="AE43" s="66">
        <f t="shared" si="32"/>
        <v>0</v>
      </c>
      <c r="AF43" s="66">
        <f t="shared" si="33"/>
        <v>0</v>
      </c>
      <c r="AG43" s="66">
        <f t="shared" si="34"/>
        <v>0</v>
      </c>
      <c r="AH43" s="66">
        <f t="shared" si="35"/>
        <v>0</v>
      </c>
      <c r="AI43" s="99" t="s">
        <v>450</v>
      </c>
      <c r="AJ43" s="66">
        <f t="shared" si="36"/>
        <v>0</v>
      </c>
      <c r="AK43" s="66">
        <f t="shared" si="37"/>
        <v>0</v>
      </c>
      <c r="AL43" s="66">
        <f t="shared" si="38"/>
        <v>0</v>
      </c>
      <c r="AN43" s="66">
        <v>21</v>
      </c>
      <c r="AO43" s="66">
        <f>H43*0.360394321196845</f>
        <v>0</v>
      </c>
      <c r="AP43" s="66">
        <f>H43*(1-0.360394321196845)</f>
        <v>0</v>
      </c>
      <c r="AQ43" s="111" t="s">
        <v>652</v>
      </c>
      <c r="AV43" s="66">
        <f t="shared" si="41"/>
        <v>0</v>
      </c>
      <c r="AW43" s="66">
        <f t="shared" si="42"/>
        <v>0</v>
      </c>
      <c r="AX43" s="66">
        <f t="shared" si="43"/>
        <v>0</v>
      </c>
      <c r="AY43" s="111" t="s">
        <v>528</v>
      </c>
      <c r="AZ43" s="111" t="s">
        <v>358</v>
      </c>
      <c r="BA43" s="99" t="s">
        <v>498</v>
      </c>
      <c r="BC43" s="66">
        <f t="shared" si="44"/>
        <v>0</v>
      </c>
      <c r="BD43" s="66">
        <f t="shared" si="45"/>
        <v>0</v>
      </c>
      <c r="BE43" s="66">
        <v>0</v>
      </c>
      <c r="BF43" s="66">
        <f t="shared" si="46"/>
        <v>0.11856</v>
      </c>
      <c r="BH43" s="66">
        <f t="shared" si="47"/>
        <v>0</v>
      </c>
      <c r="BI43" s="66">
        <f t="shared" si="48"/>
        <v>0</v>
      </c>
      <c r="BJ43" s="66">
        <f t="shared" si="49"/>
        <v>0</v>
      </c>
      <c r="BK43" s="66"/>
      <c r="BL43" s="66">
        <v>764</v>
      </c>
    </row>
    <row r="44" spans="1:64" s="58" customFormat="1" ht="15" customHeight="1">
      <c r="A44" s="64" t="s">
        <v>88</v>
      </c>
      <c r="B44" s="65" t="s">
        <v>450</v>
      </c>
      <c r="C44" s="65" t="s">
        <v>795</v>
      </c>
      <c r="D44" s="174" t="s">
        <v>796</v>
      </c>
      <c r="E44" s="174"/>
      <c r="F44" s="65" t="s">
        <v>538</v>
      </c>
      <c r="G44" s="66">
        <v>4.2</v>
      </c>
      <c r="H44" s="66"/>
      <c r="I44" s="66">
        <f t="shared" si="24"/>
        <v>0</v>
      </c>
      <c r="J44" s="66">
        <f t="shared" si="25"/>
        <v>0</v>
      </c>
      <c r="K44" s="66">
        <f t="shared" si="26"/>
        <v>0</v>
      </c>
      <c r="L44" s="66">
        <v>0.00435</v>
      </c>
      <c r="M44" s="66">
        <f t="shared" si="27"/>
        <v>0.018269999999999998</v>
      </c>
      <c r="N44" s="69" t="s">
        <v>545</v>
      </c>
      <c r="Z44" s="66">
        <f t="shared" si="28"/>
        <v>0</v>
      </c>
      <c r="AB44" s="66">
        <f t="shared" si="29"/>
        <v>0</v>
      </c>
      <c r="AC44" s="66">
        <f t="shared" si="30"/>
        <v>0</v>
      </c>
      <c r="AD44" s="66">
        <f t="shared" si="31"/>
        <v>0</v>
      </c>
      <c r="AE44" s="66">
        <f t="shared" si="32"/>
        <v>0</v>
      </c>
      <c r="AF44" s="66">
        <f t="shared" si="33"/>
        <v>0</v>
      </c>
      <c r="AG44" s="66">
        <f t="shared" si="34"/>
        <v>0</v>
      </c>
      <c r="AH44" s="66">
        <f t="shared" si="35"/>
        <v>0</v>
      </c>
      <c r="AI44" s="99" t="s">
        <v>450</v>
      </c>
      <c r="AJ44" s="66">
        <f t="shared" si="36"/>
        <v>0</v>
      </c>
      <c r="AK44" s="66">
        <f t="shared" si="37"/>
        <v>0</v>
      </c>
      <c r="AL44" s="66">
        <f t="shared" si="38"/>
        <v>0</v>
      </c>
      <c r="AN44" s="66">
        <v>21</v>
      </c>
      <c r="AO44" s="66">
        <f>H44*0.393696134997465</f>
        <v>0</v>
      </c>
      <c r="AP44" s="66">
        <f>H44*(1-0.393696134997465)</f>
        <v>0</v>
      </c>
      <c r="AQ44" s="111" t="s">
        <v>652</v>
      </c>
      <c r="AV44" s="66">
        <f t="shared" si="41"/>
        <v>0</v>
      </c>
      <c r="AW44" s="66">
        <f t="shared" si="42"/>
        <v>0</v>
      </c>
      <c r="AX44" s="66">
        <f t="shared" si="43"/>
        <v>0</v>
      </c>
      <c r="AY44" s="111" t="s">
        <v>528</v>
      </c>
      <c r="AZ44" s="111" t="s">
        <v>358</v>
      </c>
      <c r="BA44" s="99" t="s">
        <v>498</v>
      </c>
      <c r="BC44" s="66">
        <f t="shared" si="44"/>
        <v>0</v>
      </c>
      <c r="BD44" s="66">
        <f t="shared" si="45"/>
        <v>0</v>
      </c>
      <c r="BE44" s="66">
        <v>0</v>
      </c>
      <c r="BF44" s="66">
        <f t="shared" si="46"/>
        <v>0.018269999999999998</v>
      </c>
      <c r="BH44" s="66">
        <f t="shared" si="47"/>
        <v>0</v>
      </c>
      <c r="BI44" s="66">
        <f t="shared" si="48"/>
        <v>0</v>
      </c>
      <c r="BJ44" s="66">
        <f t="shared" si="49"/>
        <v>0</v>
      </c>
      <c r="BK44" s="66"/>
      <c r="BL44" s="66">
        <v>764</v>
      </c>
    </row>
    <row r="45" spans="1:64" s="58" customFormat="1" ht="15" customHeight="1">
      <c r="A45" s="64" t="s">
        <v>631</v>
      </c>
      <c r="B45" s="65" t="s">
        <v>450</v>
      </c>
      <c r="C45" s="65" t="s">
        <v>798</v>
      </c>
      <c r="D45" s="174" t="s">
        <v>799</v>
      </c>
      <c r="E45" s="174"/>
      <c r="F45" s="65" t="s">
        <v>538</v>
      </c>
      <c r="G45" s="66">
        <v>0.9</v>
      </c>
      <c r="H45" s="66"/>
      <c r="I45" s="66">
        <f t="shared" si="24"/>
        <v>0</v>
      </c>
      <c r="J45" s="66">
        <f t="shared" si="25"/>
        <v>0</v>
      </c>
      <c r="K45" s="66">
        <f t="shared" si="26"/>
        <v>0</v>
      </c>
      <c r="L45" s="66">
        <v>0.00597</v>
      </c>
      <c r="M45" s="66">
        <f t="shared" si="27"/>
        <v>0.005373</v>
      </c>
      <c r="N45" s="69" t="s">
        <v>545</v>
      </c>
      <c r="Z45" s="66">
        <f t="shared" si="28"/>
        <v>0</v>
      </c>
      <c r="AB45" s="66">
        <f t="shared" si="29"/>
        <v>0</v>
      </c>
      <c r="AC45" s="66">
        <f t="shared" si="30"/>
        <v>0</v>
      </c>
      <c r="AD45" s="66">
        <f t="shared" si="31"/>
        <v>0</v>
      </c>
      <c r="AE45" s="66">
        <f t="shared" si="32"/>
        <v>0</v>
      </c>
      <c r="AF45" s="66">
        <f t="shared" si="33"/>
        <v>0</v>
      </c>
      <c r="AG45" s="66">
        <f t="shared" si="34"/>
        <v>0</v>
      </c>
      <c r="AH45" s="66">
        <f t="shared" si="35"/>
        <v>0</v>
      </c>
      <c r="AI45" s="99" t="s">
        <v>450</v>
      </c>
      <c r="AJ45" s="66">
        <f t="shared" si="36"/>
        <v>0</v>
      </c>
      <c r="AK45" s="66">
        <f t="shared" si="37"/>
        <v>0</v>
      </c>
      <c r="AL45" s="66">
        <f t="shared" si="38"/>
        <v>0</v>
      </c>
      <c r="AN45" s="66">
        <v>21</v>
      </c>
      <c r="AO45" s="66">
        <f>H45*0.474510385756677</f>
        <v>0</v>
      </c>
      <c r="AP45" s="66">
        <f>H45*(1-0.474510385756677)</f>
        <v>0</v>
      </c>
      <c r="AQ45" s="111" t="s">
        <v>652</v>
      </c>
      <c r="AV45" s="66">
        <f t="shared" si="41"/>
        <v>0</v>
      </c>
      <c r="AW45" s="66">
        <f t="shared" si="42"/>
        <v>0</v>
      </c>
      <c r="AX45" s="66">
        <f t="shared" si="43"/>
        <v>0</v>
      </c>
      <c r="AY45" s="111" t="s">
        <v>528</v>
      </c>
      <c r="AZ45" s="111" t="s">
        <v>358</v>
      </c>
      <c r="BA45" s="99" t="s">
        <v>498</v>
      </c>
      <c r="BC45" s="66">
        <f t="shared" si="44"/>
        <v>0</v>
      </c>
      <c r="BD45" s="66">
        <f t="shared" si="45"/>
        <v>0</v>
      </c>
      <c r="BE45" s="66">
        <v>0</v>
      </c>
      <c r="BF45" s="66">
        <f t="shared" si="46"/>
        <v>0.005373</v>
      </c>
      <c r="BH45" s="66">
        <f t="shared" si="47"/>
        <v>0</v>
      </c>
      <c r="BI45" s="66">
        <f t="shared" si="48"/>
        <v>0</v>
      </c>
      <c r="BJ45" s="66">
        <f t="shared" si="49"/>
        <v>0</v>
      </c>
      <c r="BK45" s="66"/>
      <c r="BL45" s="66">
        <v>764</v>
      </c>
    </row>
    <row r="46" spans="1:47" s="58" customFormat="1" ht="15" customHeight="1">
      <c r="A46" s="95" t="s">
        <v>450</v>
      </c>
      <c r="B46" s="96" t="s">
        <v>450</v>
      </c>
      <c r="C46" s="96" t="s">
        <v>180</v>
      </c>
      <c r="D46" s="173" t="s">
        <v>558</v>
      </c>
      <c r="E46" s="173"/>
      <c r="F46" s="97" t="s">
        <v>595</v>
      </c>
      <c r="G46" s="97" t="s">
        <v>595</v>
      </c>
      <c r="H46" s="97"/>
      <c r="I46" s="98">
        <f>SUM(I47:I47)</f>
        <v>0</v>
      </c>
      <c r="J46" s="98">
        <f>SUM(J47:J47)</f>
        <v>0</v>
      </c>
      <c r="K46" s="98">
        <f>SUM(K47:K47)</f>
        <v>0</v>
      </c>
      <c r="L46" s="99" t="s">
        <v>450</v>
      </c>
      <c r="M46" s="98">
        <f>SUM(M47:M47)</f>
        <v>0.8505</v>
      </c>
      <c r="N46" s="100" t="s">
        <v>450</v>
      </c>
      <c r="AI46" s="99" t="s">
        <v>450</v>
      </c>
      <c r="AS46" s="98">
        <f>SUM(AJ47:AJ47)</f>
        <v>0</v>
      </c>
      <c r="AT46" s="98">
        <f>SUM(AK47:AK47)</f>
        <v>0</v>
      </c>
      <c r="AU46" s="98">
        <f>SUM(AL47:AL47)</f>
        <v>0</v>
      </c>
    </row>
    <row r="47" spans="1:64" s="58" customFormat="1" ht="15" customHeight="1">
      <c r="A47" s="64" t="s">
        <v>705</v>
      </c>
      <c r="B47" s="65" t="s">
        <v>450</v>
      </c>
      <c r="C47" s="65" t="s">
        <v>287</v>
      </c>
      <c r="D47" s="174" t="s">
        <v>568</v>
      </c>
      <c r="E47" s="174"/>
      <c r="F47" s="65" t="s">
        <v>635</v>
      </c>
      <c r="G47" s="66">
        <v>60.75</v>
      </c>
      <c r="H47" s="66"/>
      <c r="I47" s="66">
        <f>G47*AO47</f>
        <v>0</v>
      </c>
      <c r="J47" s="66">
        <f>G47*AP47</f>
        <v>0</v>
      </c>
      <c r="K47" s="66">
        <f>G47*H47</f>
        <v>0</v>
      </c>
      <c r="L47" s="66">
        <v>0.014</v>
      </c>
      <c r="M47" s="66">
        <f>G47*L47</f>
        <v>0.8505</v>
      </c>
      <c r="N47" s="69" t="s">
        <v>545</v>
      </c>
      <c r="Z47" s="66">
        <f>IF(AQ47="5",BJ47,0)</f>
        <v>0</v>
      </c>
      <c r="AB47" s="66">
        <f>IF(AQ47="1",BH47,0)</f>
        <v>0</v>
      </c>
      <c r="AC47" s="66">
        <f>IF(AQ47="1",BI47,0)</f>
        <v>0</v>
      </c>
      <c r="AD47" s="66">
        <f>IF(AQ47="7",BH47,0)</f>
        <v>0</v>
      </c>
      <c r="AE47" s="66">
        <f>IF(AQ47="7",BI47,0)</f>
        <v>0</v>
      </c>
      <c r="AF47" s="66">
        <f>IF(AQ47="2",BH47,0)</f>
        <v>0</v>
      </c>
      <c r="AG47" s="66">
        <f>IF(AQ47="2",BI47,0)</f>
        <v>0</v>
      </c>
      <c r="AH47" s="66">
        <f>IF(AQ47="0",BJ47,0)</f>
        <v>0</v>
      </c>
      <c r="AI47" s="99" t="s">
        <v>450</v>
      </c>
      <c r="AJ47" s="66">
        <f>IF(AN47=0,K47,0)</f>
        <v>0</v>
      </c>
      <c r="AK47" s="66">
        <f>IF(AN47=15,K47,0)</f>
        <v>0</v>
      </c>
      <c r="AL47" s="66">
        <f>IF(AN47=21,K47,0)</f>
        <v>0</v>
      </c>
      <c r="AN47" s="66">
        <v>21</v>
      </c>
      <c r="AO47" s="66">
        <f>H47*0</f>
        <v>0</v>
      </c>
      <c r="AP47" s="66">
        <f>H47*(1-0)</f>
        <v>0</v>
      </c>
      <c r="AQ47" s="111" t="s">
        <v>652</v>
      </c>
      <c r="AV47" s="66">
        <f>AW47+AX47</f>
        <v>0</v>
      </c>
      <c r="AW47" s="66">
        <f>G47*AO47</f>
        <v>0</v>
      </c>
      <c r="AX47" s="66">
        <f>G47*AP47</f>
        <v>0</v>
      </c>
      <c r="AY47" s="111" t="s">
        <v>134</v>
      </c>
      <c r="AZ47" s="111" t="s">
        <v>358</v>
      </c>
      <c r="BA47" s="99" t="s">
        <v>498</v>
      </c>
      <c r="BC47" s="66">
        <f>AW47+AX47</f>
        <v>0</v>
      </c>
      <c r="BD47" s="66">
        <f>H47/(100-BE47)*100</f>
        <v>0</v>
      </c>
      <c r="BE47" s="66">
        <v>0</v>
      </c>
      <c r="BF47" s="66">
        <f>M47</f>
        <v>0.8505</v>
      </c>
      <c r="BH47" s="66">
        <f>G47*AO47</f>
        <v>0</v>
      </c>
      <c r="BI47" s="66">
        <f>G47*AP47</f>
        <v>0</v>
      </c>
      <c r="BJ47" s="66">
        <f>G47*H47</f>
        <v>0</v>
      </c>
      <c r="BK47" s="66"/>
      <c r="BL47" s="66">
        <v>765</v>
      </c>
    </row>
    <row r="48" spans="1:47" s="58" customFormat="1" ht="15" customHeight="1">
      <c r="A48" s="95" t="s">
        <v>450</v>
      </c>
      <c r="B48" s="96" t="s">
        <v>450</v>
      </c>
      <c r="C48" s="96" t="s">
        <v>80</v>
      </c>
      <c r="D48" s="173" t="s">
        <v>457</v>
      </c>
      <c r="E48" s="173"/>
      <c r="F48" s="97" t="s">
        <v>595</v>
      </c>
      <c r="G48" s="97" t="s">
        <v>595</v>
      </c>
      <c r="H48" s="97"/>
      <c r="I48" s="98">
        <f>SUM(I49:I49)</f>
        <v>0</v>
      </c>
      <c r="J48" s="98">
        <f>SUM(J49:J49)</f>
        <v>0</v>
      </c>
      <c r="K48" s="98">
        <f>SUM(K49:K49)</f>
        <v>0</v>
      </c>
      <c r="L48" s="99" t="s">
        <v>450</v>
      </c>
      <c r="M48" s="98">
        <f>SUM(M49:M49)</f>
        <v>0.051228972000000005</v>
      </c>
      <c r="N48" s="100" t="s">
        <v>450</v>
      </c>
      <c r="AI48" s="99" t="s">
        <v>450</v>
      </c>
      <c r="AS48" s="98">
        <f>SUM(AJ49:AJ49)</f>
        <v>0</v>
      </c>
      <c r="AT48" s="98">
        <f>SUM(AK49:AK49)</f>
        <v>0</v>
      </c>
      <c r="AU48" s="98">
        <f>SUM(AL49:AL49)</f>
        <v>0</v>
      </c>
    </row>
    <row r="49" spans="1:64" s="58" customFormat="1" ht="15" customHeight="1">
      <c r="A49" s="64" t="s">
        <v>43</v>
      </c>
      <c r="B49" s="65" t="s">
        <v>450</v>
      </c>
      <c r="C49" s="65" t="s">
        <v>667</v>
      </c>
      <c r="D49" s="174" t="s">
        <v>525</v>
      </c>
      <c r="E49" s="174"/>
      <c r="F49" s="65" t="s">
        <v>635</v>
      </c>
      <c r="G49" s="66">
        <v>32.4234</v>
      </c>
      <c r="H49" s="66"/>
      <c r="I49" s="66">
        <f>G49*AO49</f>
        <v>0</v>
      </c>
      <c r="J49" s="66">
        <f>G49*AP49</f>
        <v>0</v>
      </c>
      <c r="K49" s="66">
        <f>G49*H49</f>
        <v>0</v>
      </c>
      <c r="L49" s="66">
        <v>0.00158</v>
      </c>
      <c r="M49" s="66">
        <f>G49*L49</f>
        <v>0.051228972000000005</v>
      </c>
      <c r="N49" s="69" t="s">
        <v>545</v>
      </c>
      <c r="Z49" s="66">
        <f>IF(AQ49="5",BJ49,0)</f>
        <v>0</v>
      </c>
      <c r="AB49" s="66">
        <f>IF(AQ49="1",BH49,0)</f>
        <v>0</v>
      </c>
      <c r="AC49" s="66">
        <f>IF(AQ49="1",BI49,0)</f>
        <v>0</v>
      </c>
      <c r="AD49" s="66">
        <f>IF(AQ49="7",BH49,0)</f>
        <v>0</v>
      </c>
      <c r="AE49" s="66">
        <f>IF(AQ49="7",BI49,0)</f>
        <v>0</v>
      </c>
      <c r="AF49" s="66">
        <f>IF(AQ49="2",BH49,0)</f>
        <v>0</v>
      </c>
      <c r="AG49" s="66">
        <f>IF(AQ49="2",BI49,0)</f>
        <v>0</v>
      </c>
      <c r="AH49" s="66">
        <f>IF(AQ49="0",BJ49,0)</f>
        <v>0</v>
      </c>
      <c r="AI49" s="99" t="s">
        <v>450</v>
      </c>
      <c r="AJ49" s="66">
        <f>IF(AN49=0,K49,0)</f>
        <v>0</v>
      </c>
      <c r="AK49" s="66">
        <f>IF(AN49=15,K49,0)</f>
        <v>0</v>
      </c>
      <c r="AL49" s="66">
        <f>IF(AN49=21,K49,0)</f>
        <v>0</v>
      </c>
      <c r="AN49" s="66">
        <v>21</v>
      </c>
      <c r="AO49" s="66">
        <f>H49*0.422332596963283</f>
        <v>0</v>
      </c>
      <c r="AP49" s="66">
        <f>H49*(1-0.422332596963283)</f>
        <v>0</v>
      </c>
      <c r="AQ49" s="111" t="s">
        <v>644</v>
      </c>
      <c r="AV49" s="66">
        <f>AW49+AX49</f>
        <v>0</v>
      </c>
      <c r="AW49" s="66">
        <f>G49*AO49</f>
        <v>0</v>
      </c>
      <c r="AX49" s="66">
        <f>G49*AP49</f>
        <v>0</v>
      </c>
      <c r="AY49" s="111" t="s">
        <v>717</v>
      </c>
      <c r="AZ49" s="111" t="s">
        <v>233</v>
      </c>
      <c r="BA49" s="99" t="s">
        <v>498</v>
      </c>
      <c r="BC49" s="66">
        <f>AW49+AX49</f>
        <v>0</v>
      </c>
      <c r="BD49" s="66">
        <f>H49/(100-BE49)*100</f>
        <v>0</v>
      </c>
      <c r="BE49" s="66">
        <v>0</v>
      </c>
      <c r="BF49" s="66">
        <f>M49</f>
        <v>0.051228972000000005</v>
      </c>
      <c r="BH49" s="66">
        <f>G49*AO49</f>
        <v>0</v>
      </c>
      <c r="BI49" s="66">
        <f>G49*AP49</f>
        <v>0</v>
      </c>
      <c r="BJ49" s="66">
        <f>G49*H49</f>
        <v>0</v>
      </c>
      <c r="BK49" s="66"/>
      <c r="BL49" s="66">
        <v>94</v>
      </c>
    </row>
    <row r="50" spans="1:47" s="58" customFormat="1" ht="15" customHeight="1">
      <c r="A50" s="95" t="s">
        <v>450</v>
      </c>
      <c r="B50" s="96" t="s">
        <v>450</v>
      </c>
      <c r="C50" s="96" t="s">
        <v>370</v>
      </c>
      <c r="D50" s="173" t="s">
        <v>481</v>
      </c>
      <c r="E50" s="173"/>
      <c r="F50" s="97" t="s">
        <v>595</v>
      </c>
      <c r="G50" s="97" t="s">
        <v>595</v>
      </c>
      <c r="H50" s="97"/>
      <c r="I50" s="98">
        <f>SUM(I51:I64)</f>
        <v>0</v>
      </c>
      <c r="J50" s="98">
        <f>SUM(J51:J64)</f>
        <v>0</v>
      </c>
      <c r="K50" s="98">
        <f>SUM(K51:K64)</f>
        <v>0</v>
      </c>
      <c r="L50" s="99" t="s">
        <v>450</v>
      </c>
      <c r="M50" s="98">
        <f>SUM(M51:M64)</f>
        <v>20.5685616972</v>
      </c>
      <c r="N50" s="100" t="s">
        <v>450</v>
      </c>
      <c r="AI50" s="99" t="s">
        <v>450</v>
      </c>
      <c r="AS50" s="98">
        <f>SUM(AJ51:AJ64)</f>
        <v>0</v>
      </c>
      <c r="AT50" s="98">
        <f>SUM(AK51:AK64)</f>
        <v>0</v>
      </c>
      <c r="AU50" s="98">
        <f>SUM(AL51:AL64)</f>
        <v>0</v>
      </c>
    </row>
    <row r="51" spans="1:64" s="58" customFormat="1" ht="15" customHeight="1">
      <c r="A51" s="64" t="s">
        <v>425</v>
      </c>
      <c r="B51" s="65" t="s">
        <v>450</v>
      </c>
      <c r="C51" s="65" t="s">
        <v>64</v>
      </c>
      <c r="D51" s="174" t="s">
        <v>1</v>
      </c>
      <c r="E51" s="174"/>
      <c r="F51" s="65" t="s">
        <v>621</v>
      </c>
      <c r="G51" s="66">
        <v>0.462</v>
      </c>
      <c r="H51" s="66"/>
      <c r="I51" s="66">
        <f aca="true" t="shared" si="50" ref="I51:I64">G51*AO51</f>
        <v>0</v>
      </c>
      <c r="J51" s="66">
        <f aca="true" t="shared" si="51" ref="J51:J64">G51*AP51</f>
        <v>0</v>
      </c>
      <c r="K51" s="66">
        <f aca="true" t="shared" si="52" ref="K51:K64">G51*H51</f>
        <v>0</v>
      </c>
      <c r="L51" s="66">
        <v>2</v>
      </c>
      <c r="M51" s="66">
        <f aca="true" t="shared" si="53" ref="M51:M64">G51*L51</f>
        <v>0.924</v>
      </c>
      <c r="N51" s="69" t="s">
        <v>545</v>
      </c>
      <c r="Z51" s="66">
        <f aca="true" t="shared" si="54" ref="Z51:Z64">IF(AQ51="5",BJ51,0)</f>
        <v>0</v>
      </c>
      <c r="AB51" s="66">
        <f aca="true" t="shared" si="55" ref="AB51:AB64">IF(AQ51="1",BH51,0)</f>
        <v>0</v>
      </c>
      <c r="AC51" s="66">
        <f aca="true" t="shared" si="56" ref="AC51:AC64">IF(AQ51="1",BI51,0)</f>
        <v>0</v>
      </c>
      <c r="AD51" s="66">
        <f aca="true" t="shared" si="57" ref="AD51:AD64">IF(AQ51="7",BH51,0)</f>
        <v>0</v>
      </c>
      <c r="AE51" s="66">
        <f aca="true" t="shared" si="58" ref="AE51:AE64">IF(AQ51="7",BI51,0)</f>
        <v>0</v>
      </c>
      <c r="AF51" s="66">
        <f aca="true" t="shared" si="59" ref="AF51:AF64">IF(AQ51="2",BH51,0)</f>
        <v>0</v>
      </c>
      <c r="AG51" s="66">
        <f aca="true" t="shared" si="60" ref="AG51:AG64">IF(AQ51="2",BI51,0)</f>
        <v>0</v>
      </c>
      <c r="AH51" s="66">
        <f aca="true" t="shared" si="61" ref="AH51:AH64">IF(AQ51="0",BJ51,0)</f>
        <v>0</v>
      </c>
      <c r="AI51" s="99" t="s">
        <v>450</v>
      </c>
      <c r="AJ51" s="66">
        <f aca="true" t="shared" si="62" ref="AJ51:AJ64">IF(AN51=0,K51,0)</f>
        <v>0</v>
      </c>
      <c r="AK51" s="66">
        <f aca="true" t="shared" si="63" ref="AK51:AK64">IF(AN51=15,K51,0)</f>
        <v>0</v>
      </c>
      <c r="AL51" s="66">
        <f aca="true" t="shared" si="64" ref="AL51:AL64">IF(AN51=21,K51,0)</f>
        <v>0</v>
      </c>
      <c r="AN51" s="66">
        <v>21</v>
      </c>
      <c r="AO51" s="66">
        <f>H51*0</f>
        <v>0</v>
      </c>
      <c r="AP51" s="66">
        <f>H51*(1-0)</f>
        <v>0</v>
      </c>
      <c r="AQ51" s="111" t="s">
        <v>644</v>
      </c>
      <c r="AV51" s="66">
        <f aca="true" t="shared" si="65" ref="AV51:AV64">AW51+AX51</f>
        <v>0</v>
      </c>
      <c r="AW51" s="66">
        <f aca="true" t="shared" si="66" ref="AW51:AW64">G51*AO51</f>
        <v>0</v>
      </c>
      <c r="AX51" s="66">
        <f aca="true" t="shared" si="67" ref="AX51:AX64">G51*AP51</f>
        <v>0</v>
      </c>
      <c r="AY51" s="111" t="s">
        <v>567</v>
      </c>
      <c r="AZ51" s="111" t="s">
        <v>233</v>
      </c>
      <c r="BA51" s="99" t="s">
        <v>498</v>
      </c>
      <c r="BC51" s="66">
        <f aca="true" t="shared" si="68" ref="BC51:BC64">AW51+AX51</f>
        <v>0</v>
      </c>
      <c r="BD51" s="66">
        <f aca="true" t="shared" si="69" ref="BD51:BD64">H51/(100-BE51)*100</f>
        <v>0</v>
      </c>
      <c r="BE51" s="66">
        <v>0</v>
      </c>
      <c r="BF51" s="66">
        <f aca="true" t="shared" si="70" ref="BF51:BF64">M51</f>
        <v>0.924</v>
      </c>
      <c r="BH51" s="66">
        <f aca="true" t="shared" si="71" ref="BH51:BH64">G51*AO51</f>
        <v>0</v>
      </c>
      <c r="BI51" s="66">
        <f aca="true" t="shared" si="72" ref="BI51:BI64">G51*AP51</f>
        <v>0</v>
      </c>
      <c r="BJ51" s="66">
        <f aca="true" t="shared" si="73" ref="BJ51:BJ64">G51*H51</f>
        <v>0</v>
      </c>
      <c r="BK51" s="66"/>
      <c r="BL51" s="66">
        <v>96</v>
      </c>
    </row>
    <row r="52" spans="1:64" s="58" customFormat="1" ht="15" customHeight="1">
      <c r="A52" s="64" t="s">
        <v>388</v>
      </c>
      <c r="B52" s="65" t="s">
        <v>450</v>
      </c>
      <c r="C52" s="65" t="s">
        <v>356</v>
      </c>
      <c r="D52" s="174" t="s">
        <v>586</v>
      </c>
      <c r="E52" s="174"/>
      <c r="F52" s="65" t="s">
        <v>621</v>
      </c>
      <c r="G52" s="66">
        <v>4.4967</v>
      </c>
      <c r="H52" s="66"/>
      <c r="I52" s="66">
        <f t="shared" si="50"/>
        <v>0</v>
      </c>
      <c r="J52" s="66">
        <f t="shared" si="51"/>
        <v>0</v>
      </c>
      <c r="K52" s="66">
        <f t="shared" si="52"/>
        <v>0</v>
      </c>
      <c r="L52" s="66">
        <v>2.50112</v>
      </c>
      <c r="M52" s="66">
        <f t="shared" si="53"/>
        <v>11.246786303999999</v>
      </c>
      <c r="N52" s="69" t="s">
        <v>545</v>
      </c>
      <c r="Z52" s="66">
        <f t="shared" si="54"/>
        <v>0</v>
      </c>
      <c r="AB52" s="66">
        <f t="shared" si="55"/>
        <v>0</v>
      </c>
      <c r="AC52" s="66">
        <f t="shared" si="56"/>
        <v>0</v>
      </c>
      <c r="AD52" s="66">
        <f t="shared" si="57"/>
        <v>0</v>
      </c>
      <c r="AE52" s="66">
        <f t="shared" si="58"/>
        <v>0</v>
      </c>
      <c r="AF52" s="66">
        <f t="shared" si="59"/>
        <v>0</v>
      </c>
      <c r="AG52" s="66">
        <f t="shared" si="60"/>
        <v>0</v>
      </c>
      <c r="AH52" s="66">
        <f t="shared" si="61"/>
        <v>0</v>
      </c>
      <c r="AI52" s="99" t="s">
        <v>450</v>
      </c>
      <c r="AJ52" s="66">
        <f t="shared" si="62"/>
        <v>0</v>
      </c>
      <c r="AK52" s="66">
        <f t="shared" si="63"/>
        <v>0</v>
      </c>
      <c r="AL52" s="66">
        <f t="shared" si="64"/>
        <v>0</v>
      </c>
      <c r="AN52" s="66">
        <v>21</v>
      </c>
      <c r="AO52" s="66">
        <f>H52*0.0312544883483151</f>
        <v>0</v>
      </c>
      <c r="AP52" s="66">
        <f>H52*(1-0.0312544883483151)</f>
        <v>0</v>
      </c>
      <c r="AQ52" s="111" t="s">
        <v>644</v>
      </c>
      <c r="AV52" s="66">
        <f t="shared" si="65"/>
        <v>0</v>
      </c>
      <c r="AW52" s="66">
        <f t="shared" si="66"/>
        <v>0</v>
      </c>
      <c r="AX52" s="66">
        <f t="shared" si="67"/>
        <v>0</v>
      </c>
      <c r="AY52" s="111" t="s">
        <v>567</v>
      </c>
      <c r="AZ52" s="111" t="s">
        <v>233</v>
      </c>
      <c r="BA52" s="99" t="s">
        <v>498</v>
      </c>
      <c r="BC52" s="66">
        <f t="shared" si="68"/>
        <v>0</v>
      </c>
      <c r="BD52" s="66">
        <f t="shared" si="69"/>
        <v>0</v>
      </c>
      <c r="BE52" s="66">
        <v>0</v>
      </c>
      <c r="BF52" s="66">
        <f t="shared" si="70"/>
        <v>11.246786303999999</v>
      </c>
      <c r="BH52" s="66">
        <f t="shared" si="71"/>
        <v>0</v>
      </c>
      <c r="BI52" s="66">
        <f t="shared" si="72"/>
        <v>0</v>
      </c>
      <c r="BJ52" s="66">
        <f t="shared" si="73"/>
        <v>0</v>
      </c>
      <c r="BK52" s="66"/>
      <c r="BL52" s="66">
        <v>96</v>
      </c>
    </row>
    <row r="53" spans="1:64" s="58" customFormat="1" ht="15" customHeight="1">
      <c r="A53" s="64" t="s">
        <v>548</v>
      </c>
      <c r="B53" s="65" t="s">
        <v>450</v>
      </c>
      <c r="C53" s="65" t="s">
        <v>582</v>
      </c>
      <c r="D53" s="174" t="s">
        <v>102</v>
      </c>
      <c r="E53" s="174"/>
      <c r="F53" s="65" t="s">
        <v>621</v>
      </c>
      <c r="G53" s="66">
        <v>0.43008</v>
      </c>
      <c r="H53" s="66"/>
      <c r="I53" s="66">
        <f t="shared" si="50"/>
        <v>0</v>
      </c>
      <c r="J53" s="66">
        <f t="shared" si="51"/>
        <v>0</v>
      </c>
      <c r="K53" s="66">
        <f t="shared" si="52"/>
        <v>0</v>
      </c>
      <c r="L53" s="66">
        <v>0.57</v>
      </c>
      <c r="M53" s="66">
        <f t="shared" si="53"/>
        <v>0.2451456</v>
      </c>
      <c r="N53" s="69" t="s">
        <v>545</v>
      </c>
      <c r="Z53" s="66">
        <f t="shared" si="54"/>
        <v>0</v>
      </c>
      <c r="AB53" s="66">
        <f t="shared" si="55"/>
        <v>0</v>
      </c>
      <c r="AC53" s="66">
        <f t="shared" si="56"/>
        <v>0</v>
      </c>
      <c r="AD53" s="66">
        <f t="shared" si="57"/>
        <v>0</v>
      </c>
      <c r="AE53" s="66">
        <f t="shared" si="58"/>
        <v>0</v>
      </c>
      <c r="AF53" s="66">
        <f t="shared" si="59"/>
        <v>0</v>
      </c>
      <c r="AG53" s="66">
        <f t="shared" si="60"/>
        <v>0</v>
      </c>
      <c r="AH53" s="66">
        <f t="shared" si="61"/>
        <v>0</v>
      </c>
      <c r="AI53" s="99" t="s">
        <v>450</v>
      </c>
      <c r="AJ53" s="66">
        <f t="shared" si="62"/>
        <v>0</v>
      </c>
      <c r="AK53" s="66">
        <f t="shared" si="63"/>
        <v>0</v>
      </c>
      <c r="AL53" s="66">
        <f t="shared" si="64"/>
        <v>0</v>
      </c>
      <c r="AN53" s="66">
        <v>21</v>
      </c>
      <c r="AO53" s="66">
        <f>H53*0</f>
        <v>0</v>
      </c>
      <c r="AP53" s="66">
        <f>H53*(1-0)</f>
        <v>0</v>
      </c>
      <c r="AQ53" s="111" t="s">
        <v>644</v>
      </c>
      <c r="AV53" s="66">
        <f t="shared" si="65"/>
        <v>0</v>
      </c>
      <c r="AW53" s="66">
        <f t="shared" si="66"/>
        <v>0</v>
      </c>
      <c r="AX53" s="66">
        <f t="shared" si="67"/>
        <v>0</v>
      </c>
      <c r="AY53" s="111" t="s">
        <v>567</v>
      </c>
      <c r="AZ53" s="111" t="s">
        <v>233</v>
      </c>
      <c r="BA53" s="99" t="s">
        <v>498</v>
      </c>
      <c r="BC53" s="66">
        <f t="shared" si="68"/>
        <v>0</v>
      </c>
      <c r="BD53" s="66">
        <f t="shared" si="69"/>
        <v>0</v>
      </c>
      <c r="BE53" s="66">
        <v>0</v>
      </c>
      <c r="BF53" s="66">
        <f t="shared" si="70"/>
        <v>0.2451456</v>
      </c>
      <c r="BH53" s="66">
        <f t="shared" si="71"/>
        <v>0</v>
      </c>
      <c r="BI53" s="66">
        <f t="shared" si="72"/>
        <v>0</v>
      </c>
      <c r="BJ53" s="66">
        <f t="shared" si="73"/>
        <v>0</v>
      </c>
      <c r="BK53" s="66"/>
      <c r="BL53" s="66">
        <v>96</v>
      </c>
    </row>
    <row r="54" spans="1:64" s="58" customFormat="1" ht="15" customHeight="1">
      <c r="A54" s="64" t="s">
        <v>139</v>
      </c>
      <c r="B54" s="65" t="s">
        <v>450</v>
      </c>
      <c r="C54" s="65" t="s">
        <v>282</v>
      </c>
      <c r="D54" s="174" t="s">
        <v>322</v>
      </c>
      <c r="E54" s="174"/>
      <c r="F54" s="65" t="s">
        <v>311</v>
      </c>
      <c r="G54" s="66">
        <v>0.07876</v>
      </c>
      <c r="H54" s="66"/>
      <c r="I54" s="66">
        <f t="shared" si="50"/>
        <v>0</v>
      </c>
      <c r="J54" s="66">
        <f t="shared" si="51"/>
        <v>0</v>
      </c>
      <c r="K54" s="66">
        <f t="shared" si="52"/>
        <v>0</v>
      </c>
      <c r="L54" s="66">
        <v>1.27927</v>
      </c>
      <c r="M54" s="66">
        <f t="shared" si="53"/>
        <v>0.10075530519999999</v>
      </c>
      <c r="N54" s="69" t="s">
        <v>545</v>
      </c>
      <c r="Z54" s="66">
        <f t="shared" si="54"/>
        <v>0</v>
      </c>
      <c r="AB54" s="66">
        <f t="shared" si="55"/>
        <v>0</v>
      </c>
      <c r="AC54" s="66">
        <f t="shared" si="56"/>
        <v>0</v>
      </c>
      <c r="AD54" s="66">
        <f t="shared" si="57"/>
        <v>0</v>
      </c>
      <c r="AE54" s="66">
        <f t="shared" si="58"/>
        <v>0</v>
      </c>
      <c r="AF54" s="66">
        <f t="shared" si="59"/>
        <v>0</v>
      </c>
      <c r="AG54" s="66">
        <f t="shared" si="60"/>
        <v>0</v>
      </c>
      <c r="AH54" s="66">
        <f t="shared" si="61"/>
        <v>0</v>
      </c>
      <c r="AI54" s="99" t="s">
        <v>450</v>
      </c>
      <c r="AJ54" s="66">
        <f t="shared" si="62"/>
        <v>0</v>
      </c>
      <c r="AK54" s="66">
        <f t="shared" si="63"/>
        <v>0</v>
      </c>
      <c r="AL54" s="66">
        <f t="shared" si="64"/>
        <v>0</v>
      </c>
      <c r="AN54" s="66">
        <v>21</v>
      </c>
      <c r="AO54" s="66">
        <f>H54*0.0781783182646873</f>
        <v>0</v>
      </c>
      <c r="AP54" s="66">
        <f>H54*(1-0.0781783182646873)</f>
        <v>0</v>
      </c>
      <c r="AQ54" s="111" t="s">
        <v>644</v>
      </c>
      <c r="AV54" s="66">
        <f t="shared" si="65"/>
        <v>0</v>
      </c>
      <c r="AW54" s="66">
        <f t="shared" si="66"/>
        <v>0</v>
      </c>
      <c r="AX54" s="66">
        <f t="shared" si="67"/>
        <v>0</v>
      </c>
      <c r="AY54" s="111" t="s">
        <v>567</v>
      </c>
      <c r="AZ54" s="111" t="s">
        <v>233</v>
      </c>
      <c r="BA54" s="99" t="s">
        <v>498</v>
      </c>
      <c r="BC54" s="66">
        <f t="shared" si="68"/>
        <v>0</v>
      </c>
      <c r="BD54" s="66">
        <f t="shared" si="69"/>
        <v>0</v>
      </c>
      <c r="BE54" s="66">
        <v>0</v>
      </c>
      <c r="BF54" s="66">
        <f t="shared" si="70"/>
        <v>0.10075530519999999</v>
      </c>
      <c r="BH54" s="66">
        <f t="shared" si="71"/>
        <v>0</v>
      </c>
      <c r="BI54" s="66">
        <f t="shared" si="72"/>
        <v>0</v>
      </c>
      <c r="BJ54" s="66">
        <f t="shared" si="73"/>
        <v>0</v>
      </c>
      <c r="BK54" s="66"/>
      <c r="BL54" s="66">
        <v>96</v>
      </c>
    </row>
    <row r="55" spans="1:64" s="58" customFormat="1" ht="15" customHeight="1">
      <c r="A55" s="64" t="s">
        <v>722</v>
      </c>
      <c r="B55" s="65" t="s">
        <v>450</v>
      </c>
      <c r="C55" s="65" t="s">
        <v>273</v>
      </c>
      <c r="D55" s="174" t="s">
        <v>170</v>
      </c>
      <c r="E55" s="174"/>
      <c r="F55" s="65" t="s">
        <v>621</v>
      </c>
      <c r="G55" s="66">
        <v>2.73762</v>
      </c>
      <c r="H55" s="66"/>
      <c r="I55" s="66">
        <f t="shared" si="50"/>
        <v>0</v>
      </c>
      <c r="J55" s="66">
        <f t="shared" si="51"/>
        <v>0</v>
      </c>
      <c r="K55" s="66">
        <f t="shared" si="52"/>
        <v>0</v>
      </c>
      <c r="L55" s="66">
        <v>2.2</v>
      </c>
      <c r="M55" s="66">
        <f t="shared" si="53"/>
        <v>6.0227640000000005</v>
      </c>
      <c r="N55" s="69" t="s">
        <v>545</v>
      </c>
      <c r="Z55" s="66">
        <f t="shared" si="54"/>
        <v>0</v>
      </c>
      <c r="AB55" s="66">
        <f t="shared" si="55"/>
        <v>0</v>
      </c>
      <c r="AC55" s="66">
        <f t="shared" si="56"/>
        <v>0</v>
      </c>
      <c r="AD55" s="66">
        <f t="shared" si="57"/>
        <v>0</v>
      </c>
      <c r="AE55" s="66">
        <f t="shared" si="58"/>
        <v>0</v>
      </c>
      <c r="AF55" s="66">
        <f t="shared" si="59"/>
        <v>0</v>
      </c>
      <c r="AG55" s="66">
        <f t="shared" si="60"/>
        <v>0</v>
      </c>
      <c r="AH55" s="66">
        <f t="shared" si="61"/>
        <v>0</v>
      </c>
      <c r="AI55" s="99" t="s">
        <v>450</v>
      </c>
      <c r="AJ55" s="66">
        <f t="shared" si="62"/>
        <v>0</v>
      </c>
      <c r="AK55" s="66">
        <f t="shared" si="63"/>
        <v>0</v>
      </c>
      <c r="AL55" s="66">
        <f t="shared" si="64"/>
        <v>0</v>
      </c>
      <c r="AN55" s="66">
        <v>21</v>
      </c>
      <c r="AO55" s="66">
        <f>H55*0</f>
        <v>0</v>
      </c>
      <c r="AP55" s="66">
        <f>H55*(1-0)</f>
        <v>0</v>
      </c>
      <c r="AQ55" s="111" t="s">
        <v>644</v>
      </c>
      <c r="AV55" s="66">
        <f t="shared" si="65"/>
        <v>0</v>
      </c>
      <c r="AW55" s="66">
        <f t="shared" si="66"/>
        <v>0</v>
      </c>
      <c r="AX55" s="66">
        <f t="shared" si="67"/>
        <v>0</v>
      </c>
      <c r="AY55" s="111" t="s">
        <v>567</v>
      </c>
      <c r="AZ55" s="111" t="s">
        <v>233</v>
      </c>
      <c r="BA55" s="99" t="s">
        <v>498</v>
      </c>
      <c r="BC55" s="66">
        <f t="shared" si="68"/>
        <v>0</v>
      </c>
      <c r="BD55" s="66">
        <f t="shared" si="69"/>
        <v>0</v>
      </c>
      <c r="BE55" s="66">
        <v>0</v>
      </c>
      <c r="BF55" s="66">
        <f t="shared" si="70"/>
        <v>6.0227640000000005</v>
      </c>
      <c r="BH55" s="66">
        <f t="shared" si="71"/>
        <v>0</v>
      </c>
      <c r="BI55" s="66">
        <f t="shared" si="72"/>
        <v>0</v>
      </c>
      <c r="BJ55" s="66">
        <f t="shared" si="73"/>
        <v>0</v>
      </c>
      <c r="BK55" s="66"/>
      <c r="BL55" s="66">
        <v>96</v>
      </c>
    </row>
    <row r="56" spans="1:64" s="58" customFormat="1" ht="15" customHeight="1">
      <c r="A56" s="64" t="s">
        <v>571</v>
      </c>
      <c r="B56" s="65" t="s">
        <v>450</v>
      </c>
      <c r="C56" s="65" t="s">
        <v>198</v>
      </c>
      <c r="D56" s="174" t="s">
        <v>252</v>
      </c>
      <c r="E56" s="174"/>
      <c r="F56" s="65" t="s">
        <v>635</v>
      </c>
      <c r="G56" s="66">
        <v>13.6881</v>
      </c>
      <c r="H56" s="66"/>
      <c r="I56" s="66">
        <f t="shared" si="50"/>
        <v>0</v>
      </c>
      <c r="J56" s="66">
        <f t="shared" si="51"/>
        <v>0</v>
      </c>
      <c r="K56" s="66">
        <f t="shared" si="52"/>
        <v>0</v>
      </c>
      <c r="L56" s="66">
        <v>0.02</v>
      </c>
      <c r="M56" s="66">
        <f t="shared" si="53"/>
        <v>0.273762</v>
      </c>
      <c r="N56" s="69" t="s">
        <v>545</v>
      </c>
      <c r="Z56" s="66">
        <f t="shared" si="54"/>
        <v>0</v>
      </c>
      <c r="AB56" s="66">
        <f t="shared" si="55"/>
        <v>0</v>
      </c>
      <c r="AC56" s="66">
        <f t="shared" si="56"/>
        <v>0</v>
      </c>
      <c r="AD56" s="66">
        <f t="shared" si="57"/>
        <v>0</v>
      </c>
      <c r="AE56" s="66">
        <f t="shared" si="58"/>
        <v>0</v>
      </c>
      <c r="AF56" s="66">
        <f t="shared" si="59"/>
        <v>0</v>
      </c>
      <c r="AG56" s="66">
        <f t="shared" si="60"/>
        <v>0</v>
      </c>
      <c r="AH56" s="66">
        <f t="shared" si="61"/>
        <v>0</v>
      </c>
      <c r="AI56" s="99" t="s">
        <v>450</v>
      </c>
      <c r="AJ56" s="66">
        <f t="shared" si="62"/>
        <v>0</v>
      </c>
      <c r="AK56" s="66">
        <f t="shared" si="63"/>
        <v>0</v>
      </c>
      <c r="AL56" s="66">
        <f t="shared" si="64"/>
        <v>0</v>
      </c>
      <c r="AN56" s="66">
        <v>21</v>
      </c>
      <c r="AO56" s="66">
        <f>H56*0</f>
        <v>0</v>
      </c>
      <c r="AP56" s="66">
        <f>H56*(1-0)</f>
        <v>0</v>
      </c>
      <c r="AQ56" s="111" t="s">
        <v>644</v>
      </c>
      <c r="AV56" s="66">
        <f t="shared" si="65"/>
        <v>0</v>
      </c>
      <c r="AW56" s="66">
        <f t="shared" si="66"/>
        <v>0</v>
      </c>
      <c r="AX56" s="66">
        <f t="shared" si="67"/>
        <v>0</v>
      </c>
      <c r="AY56" s="111" t="s">
        <v>567</v>
      </c>
      <c r="AZ56" s="111" t="s">
        <v>233</v>
      </c>
      <c r="BA56" s="99" t="s">
        <v>498</v>
      </c>
      <c r="BC56" s="66">
        <f t="shared" si="68"/>
        <v>0</v>
      </c>
      <c r="BD56" s="66">
        <f t="shared" si="69"/>
        <v>0</v>
      </c>
      <c r="BE56" s="66">
        <v>0</v>
      </c>
      <c r="BF56" s="66">
        <f t="shared" si="70"/>
        <v>0.273762</v>
      </c>
      <c r="BH56" s="66">
        <f t="shared" si="71"/>
        <v>0</v>
      </c>
      <c r="BI56" s="66">
        <f t="shared" si="72"/>
        <v>0</v>
      </c>
      <c r="BJ56" s="66">
        <f t="shared" si="73"/>
        <v>0</v>
      </c>
      <c r="BK56" s="66"/>
      <c r="BL56" s="66">
        <v>96</v>
      </c>
    </row>
    <row r="57" spans="1:64" s="58" customFormat="1" ht="15" customHeight="1">
      <c r="A57" s="64" t="s">
        <v>384</v>
      </c>
      <c r="B57" s="65" t="s">
        <v>450</v>
      </c>
      <c r="C57" s="65" t="s">
        <v>607</v>
      </c>
      <c r="D57" s="174" t="s">
        <v>467</v>
      </c>
      <c r="E57" s="174"/>
      <c r="F57" s="65" t="s">
        <v>635</v>
      </c>
      <c r="G57" s="66">
        <v>8.4732</v>
      </c>
      <c r="H57" s="66"/>
      <c r="I57" s="66">
        <f t="shared" si="50"/>
        <v>0</v>
      </c>
      <c r="J57" s="66">
        <f t="shared" si="51"/>
        <v>0</v>
      </c>
      <c r="K57" s="66">
        <f t="shared" si="52"/>
        <v>0</v>
      </c>
      <c r="L57" s="66">
        <v>0.18334</v>
      </c>
      <c r="M57" s="66">
        <f t="shared" si="53"/>
        <v>1.553476488</v>
      </c>
      <c r="N57" s="69" t="s">
        <v>545</v>
      </c>
      <c r="Z57" s="66">
        <f t="shared" si="54"/>
        <v>0</v>
      </c>
      <c r="AB57" s="66">
        <f t="shared" si="55"/>
        <v>0</v>
      </c>
      <c r="AC57" s="66">
        <f t="shared" si="56"/>
        <v>0</v>
      </c>
      <c r="AD57" s="66">
        <f t="shared" si="57"/>
        <v>0</v>
      </c>
      <c r="AE57" s="66">
        <f t="shared" si="58"/>
        <v>0</v>
      </c>
      <c r="AF57" s="66">
        <f t="shared" si="59"/>
        <v>0</v>
      </c>
      <c r="AG57" s="66">
        <f t="shared" si="60"/>
        <v>0</v>
      </c>
      <c r="AH57" s="66">
        <f t="shared" si="61"/>
        <v>0</v>
      </c>
      <c r="AI57" s="99" t="s">
        <v>450</v>
      </c>
      <c r="AJ57" s="66">
        <f t="shared" si="62"/>
        <v>0</v>
      </c>
      <c r="AK57" s="66">
        <f t="shared" si="63"/>
        <v>0</v>
      </c>
      <c r="AL57" s="66">
        <f t="shared" si="64"/>
        <v>0</v>
      </c>
      <c r="AN57" s="66">
        <v>21</v>
      </c>
      <c r="AO57" s="66">
        <f>H57*0.048465244597129</f>
        <v>0</v>
      </c>
      <c r="AP57" s="66">
        <f>H57*(1-0.048465244597129)</f>
        <v>0</v>
      </c>
      <c r="AQ57" s="111" t="s">
        <v>644</v>
      </c>
      <c r="AV57" s="66">
        <f t="shared" si="65"/>
        <v>0</v>
      </c>
      <c r="AW57" s="66">
        <f t="shared" si="66"/>
        <v>0</v>
      </c>
      <c r="AX57" s="66">
        <f t="shared" si="67"/>
        <v>0</v>
      </c>
      <c r="AY57" s="111" t="s">
        <v>567</v>
      </c>
      <c r="AZ57" s="111" t="s">
        <v>233</v>
      </c>
      <c r="BA57" s="99" t="s">
        <v>498</v>
      </c>
      <c r="BC57" s="66">
        <f t="shared" si="68"/>
        <v>0</v>
      </c>
      <c r="BD57" s="66">
        <f t="shared" si="69"/>
        <v>0</v>
      </c>
      <c r="BE57" s="66">
        <v>0</v>
      </c>
      <c r="BF57" s="66">
        <f t="shared" si="70"/>
        <v>1.553476488</v>
      </c>
      <c r="BH57" s="66">
        <f t="shared" si="71"/>
        <v>0</v>
      </c>
      <c r="BI57" s="66">
        <f t="shared" si="72"/>
        <v>0</v>
      </c>
      <c r="BJ57" s="66">
        <f t="shared" si="73"/>
        <v>0</v>
      </c>
      <c r="BK57" s="66"/>
      <c r="BL57" s="66">
        <v>96</v>
      </c>
    </row>
    <row r="58" spans="1:64" s="58" customFormat="1" ht="15" customHeight="1">
      <c r="A58" s="64" t="s">
        <v>633</v>
      </c>
      <c r="B58" s="65" t="s">
        <v>450</v>
      </c>
      <c r="C58" s="65" t="s">
        <v>540</v>
      </c>
      <c r="D58" s="174" t="s">
        <v>314</v>
      </c>
      <c r="E58" s="174"/>
      <c r="F58" s="65" t="s">
        <v>157</v>
      </c>
      <c r="G58" s="66">
        <v>4</v>
      </c>
      <c r="H58" s="66"/>
      <c r="I58" s="66">
        <f t="shared" si="50"/>
        <v>0</v>
      </c>
      <c r="J58" s="66">
        <f t="shared" si="51"/>
        <v>0</v>
      </c>
      <c r="K58" s="66">
        <f t="shared" si="52"/>
        <v>0</v>
      </c>
      <c r="L58" s="66">
        <v>0</v>
      </c>
      <c r="M58" s="66">
        <f t="shared" si="53"/>
        <v>0</v>
      </c>
      <c r="N58" s="69" t="s">
        <v>545</v>
      </c>
      <c r="Z58" s="66">
        <f t="shared" si="54"/>
        <v>0</v>
      </c>
      <c r="AB58" s="66">
        <f t="shared" si="55"/>
        <v>0</v>
      </c>
      <c r="AC58" s="66">
        <f t="shared" si="56"/>
        <v>0</v>
      </c>
      <c r="AD58" s="66">
        <f t="shared" si="57"/>
        <v>0</v>
      </c>
      <c r="AE58" s="66">
        <f t="shared" si="58"/>
        <v>0</v>
      </c>
      <c r="AF58" s="66">
        <f t="shared" si="59"/>
        <v>0</v>
      </c>
      <c r="AG58" s="66">
        <f t="shared" si="60"/>
        <v>0</v>
      </c>
      <c r="AH58" s="66">
        <f t="shared" si="61"/>
        <v>0</v>
      </c>
      <c r="AI58" s="99" t="s">
        <v>450</v>
      </c>
      <c r="AJ58" s="66">
        <f t="shared" si="62"/>
        <v>0</v>
      </c>
      <c r="AK58" s="66">
        <f t="shared" si="63"/>
        <v>0</v>
      </c>
      <c r="AL58" s="66">
        <f t="shared" si="64"/>
        <v>0</v>
      </c>
      <c r="AN58" s="66">
        <v>21</v>
      </c>
      <c r="AO58" s="66">
        <f>H58*0</f>
        <v>0</v>
      </c>
      <c r="AP58" s="66">
        <f>H58*(1-0)</f>
        <v>0</v>
      </c>
      <c r="AQ58" s="111" t="s">
        <v>644</v>
      </c>
      <c r="AV58" s="66">
        <f t="shared" si="65"/>
        <v>0</v>
      </c>
      <c r="AW58" s="66">
        <f t="shared" si="66"/>
        <v>0</v>
      </c>
      <c r="AX58" s="66">
        <f t="shared" si="67"/>
        <v>0</v>
      </c>
      <c r="AY58" s="111" t="s">
        <v>567</v>
      </c>
      <c r="AZ58" s="111" t="s">
        <v>233</v>
      </c>
      <c r="BA58" s="99" t="s">
        <v>498</v>
      </c>
      <c r="BC58" s="66">
        <f t="shared" si="68"/>
        <v>0</v>
      </c>
      <c r="BD58" s="66">
        <f t="shared" si="69"/>
        <v>0</v>
      </c>
      <c r="BE58" s="66">
        <v>0</v>
      </c>
      <c r="BF58" s="66">
        <f t="shared" si="70"/>
        <v>0</v>
      </c>
      <c r="BH58" s="66">
        <f t="shared" si="71"/>
        <v>0</v>
      </c>
      <c r="BI58" s="66">
        <f t="shared" si="72"/>
        <v>0</v>
      </c>
      <c r="BJ58" s="66">
        <f t="shared" si="73"/>
        <v>0</v>
      </c>
      <c r="BK58" s="66"/>
      <c r="BL58" s="66">
        <v>96</v>
      </c>
    </row>
    <row r="59" spans="1:64" s="58" customFormat="1" ht="15" customHeight="1">
      <c r="A59" s="64" t="s">
        <v>397</v>
      </c>
      <c r="B59" s="65" t="s">
        <v>450</v>
      </c>
      <c r="C59" s="65" t="s">
        <v>510</v>
      </c>
      <c r="D59" s="174" t="s">
        <v>387</v>
      </c>
      <c r="E59" s="174"/>
      <c r="F59" s="65" t="s">
        <v>157</v>
      </c>
      <c r="G59" s="66">
        <v>2</v>
      </c>
      <c r="H59" s="66"/>
      <c r="I59" s="66">
        <f t="shared" si="50"/>
        <v>0</v>
      </c>
      <c r="J59" s="66">
        <f t="shared" si="51"/>
        <v>0</v>
      </c>
      <c r="K59" s="66">
        <f t="shared" si="52"/>
        <v>0</v>
      </c>
      <c r="L59" s="66">
        <v>0</v>
      </c>
      <c r="M59" s="66">
        <f t="shared" si="53"/>
        <v>0</v>
      </c>
      <c r="N59" s="69" t="s">
        <v>545</v>
      </c>
      <c r="Z59" s="66">
        <f t="shared" si="54"/>
        <v>0</v>
      </c>
      <c r="AB59" s="66">
        <f t="shared" si="55"/>
        <v>0</v>
      </c>
      <c r="AC59" s="66">
        <f t="shared" si="56"/>
        <v>0</v>
      </c>
      <c r="AD59" s="66">
        <f t="shared" si="57"/>
        <v>0</v>
      </c>
      <c r="AE59" s="66">
        <f t="shared" si="58"/>
        <v>0</v>
      </c>
      <c r="AF59" s="66">
        <f t="shared" si="59"/>
        <v>0</v>
      </c>
      <c r="AG59" s="66">
        <f t="shared" si="60"/>
        <v>0</v>
      </c>
      <c r="AH59" s="66">
        <f t="shared" si="61"/>
        <v>0</v>
      </c>
      <c r="AI59" s="99" t="s">
        <v>450</v>
      </c>
      <c r="AJ59" s="66">
        <f t="shared" si="62"/>
        <v>0</v>
      </c>
      <c r="AK59" s="66">
        <f t="shared" si="63"/>
        <v>0</v>
      </c>
      <c r="AL59" s="66">
        <f t="shared" si="64"/>
        <v>0</v>
      </c>
      <c r="AN59" s="66">
        <v>21</v>
      </c>
      <c r="AO59" s="66">
        <f>H59*0</f>
        <v>0</v>
      </c>
      <c r="AP59" s="66">
        <f>H59*(1-0)</f>
        <v>0</v>
      </c>
      <c r="AQ59" s="111" t="s">
        <v>644</v>
      </c>
      <c r="AV59" s="66">
        <f t="shared" si="65"/>
        <v>0</v>
      </c>
      <c r="AW59" s="66">
        <f t="shared" si="66"/>
        <v>0</v>
      </c>
      <c r="AX59" s="66">
        <f t="shared" si="67"/>
        <v>0</v>
      </c>
      <c r="AY59" s="111" t="s">
        <v>567</v>
      </c>
      <c r="AZ59" s="111" t="s">
        <v>233</v>
      </c>
      <c r="BA59" s="99" t="s">
        <v>498</v>
      </c>
      <c r="BC59" s="66">
        <f t="shared" si="68"/>
        <v>0</v>
      </c>
      <c r="BD59" s="66">
        <f t="shared" si="69"/>
        <v>0</v>
      </c>
      <c r="BE59" s="66">
        <v>0</v>
      </c>
      <c r="BF59" s="66">
        <f t="shared" si="70"/>
        <v>0</v>
      </c>
      <c r="BH59" s="66">
        <f t="shared" si="71"/>
        <v>0</v>
      </c>
      <c r="BI59" s="66">
        <f t="shared" si="72"/>
        <v>0</v>
      </c>
      <c r="BJ59" s="66">
        <f t="shared" si="73"/>
        <v>0</v>
      </c>
      <c r="BK59" s="66"/>
      <c r="BL59" s="66">
        <v>96</v>
      </c>
    </row>
    <row r="60" spans="1:64" s="58" customFormat="1" ht="15" customHeight="1">
      <c r="A60" s="64" t="s">
        <v>424</v>
      </c>
      <c r="B60" s="65" t="s">
        <v>450</v>
      </c>
      <c r="C60" s="65" t="s">
        <v>491</v>
      </c>
      <c r="D60" s="174" t="s">
        <v>620</v>
      </c>
      <c r="E60" s="174"/>
      <c r="F60" s="65" t="s">
        <v>157</v>
      </c>
      <c r="G60" s="66">
        <v>2</v>
      </c>
      <c r="H60" s="66"/>
      <c r="I60" s="66">
        <f t="shared" si="50"/>
        <v>0</v>
      </c>
      <c r="J60" s="66">
        <f t="shared" si="51"/>
        <v>0</v>
      </c>
      <c r="K60" s="66">
        <f t="shared" si="52"/>
        <v>0</v>
      </c>
      <c r="L60" s="66">
        <v>0</v>
      </c>
      <c r="M60" s="66">
        <f t="shared" si="53"/>
        <v>0</v>
      </c>
      <c r="N60" s="69" t="s">
        <v>545</v>
      </c>
      <c r="Z60" s="66">
        <f t="shared" si="54"/>
        <v>0</v>
      </c>
      <c r="AB60" s="66">
        <f t="shared" si="55"/>
        <v>0</v>
      </c>
      <c r="AC60" s="66">
        <f t="shared" si="56"/>
        <v>0</v>
      </c>
      <c r="AD60" s="66">
        <f t="shared" si="57"/>
        <v>0</v>
      </c>
      <c r="AE60" s="66">
        <f t="shared" si="58"/>
        <v>0</v>
      </c>
      <c r="AF60" s="66">
        <f t="shared" si="59"/>
        <v>0</v>
      </c>
      <c r="AG60" s="66">
        <f t="shared" si="60"/>
        <v>0</v>
      </c>
      <c r="AH60" s="66">
        <f t="shared" si="61"/>
        <v>0</v>
      </c>
      <c r="AI60" s="99" t="s">
        <v>450</v>
      </c>
      <c r="AJ60" s="66">
        <f t="shared" si="62"/>
        <v>0</v>
      </c>
      <c r="AK60" s="66">
        <f t="shared" si="63"/>
        <v>0</v>
      </c>
      <c r="AL60" s="66">
        <f t="shared" si="64"/>
        <v>0</v>
      </c>
      <c r="AN60" s="66">
        <v>21</v>
      </c>
      <c r="AO60" s="66">
        <f>H60*0</f>
        <v>0</v>
      </c>
      <c r="AP60" s="66">
        <f>H60*(1-0)</f>
        <v>0</v>
      </c>
      <c r="AQ60" s="111" t="s">
        <v>644</v>
      </c>
      <c r="AV60" s="66">
        <f t="shared" si="65"/>
        <v>0</v>
      </c>
      <c r="AW60" s="66">
        <f t="shared" si="66"/>
        <v>0</v>
      </c>
      <c r="AX60" s="66">
        <f t="shared" si="67"/>
        <v>0</v>
      </c>
      <c r="AY60" s="111" t="s">
        <v>567</v>
      </c>
      <c r="AZ60" s="111" t="s">
        <v>233</v>
      </c>
      <c r="BA60" s="99" t="s">
        <v>498</v>
      </c>
      <c r="BC60" s="66">
        <f t="shared" si="68"/>
        <v>0</v>
      </c>
      <c r="BD60" s="66">
        <f t="shared" si="69"/>
        <v>0</v>
      </c>
      <c r="BE60" s="66">
        <v>0</v>
      </c>
      <c r="BF60" s="66">
        <f t="shared" si="70"/>
        <v>0</v>
      </c>
      <c r="BH60" s="66">
        <f t="shared" si="71"/>
        <v>0</v>
      </c>
      <c r="BI60" s="66">
        <f t="shared" si="72"/>
        <v>0</v>
      </c>
      <c r="BJ60" s="66">
        <f t="shared" si="73"/>
        <v>0</v>
      </c>
      <c r="BK60" s="66"/>
      <c r="BL60" s="66">
        <v>96</v>
      </c>
    </row>
    <row r="61" spans="1:64" s="58" customFormat="1" ht="15" customHeight="1">
      <c r="A61" s="64" t="s">
        <v>229</v>
      </c>
      <c r="B61" s="65" t="s">
        <v>450</v>
      </c>
      <c r="C61" s="65" t="s">
        <v>451</v>
      </c>
      <c r="D61" s="174" t="s">
        <v>553</v>
      </c>
      <c r="E61" s="174"/>
      <c r="F61" s="65" t="s">
        <v>157</v>
      </c>
      <c r="G61" s="66">
        <v>2</v>
      </c>
      <c r="H61" s="66"/>
      <c r="I61" s="66">
        <f t="shared" si="50"/>
        <v>0</v>
      </c>
      <c r="J61" s="66">
        <f t="shared" si="51"/>
        <v>0</v>
      </c>
      <c r="K61" s="66">
        <f t="shared" si="52"/>
        <v>0</v>
      </c>
      <c r="L61" s="66">
        <v>0</v>
      </c>
      <c r="M61" s="66">
        <f t="shared" si="53"/>
        <v>0</v>
      </c>
      <c r="N61" s="69" t="s">
        <v>545</v>
      </c>
      <c r="Z61" s="66">
        <f t="shared" si="54"/>
        <v>0</v>
      </c>
      <c r="AB61" s="66">
        <f t="shared" si="55"/>
        <v>0</v>
      </c>
      <c r="AC61" s="66">
        <f t="shared" si="56"/>
        <v>0</v>
      </c>
      <c r="AD61" s="66">
        <f t="shared" si="57"/>
        <v>0</v>
      </c>
      <c r="AE61" s="66">
        <f t="shared" si="58"/>
        <v>0</v>
      </c>
      <c r="AF61" s="66">
        <f t="shared" si="59"/>
        <v>0</v>
      </c>
      <c r="AG61" s="66">
        <f t="shared" si="60"/>
        <v>0</v>
      </c>
      <c r="AH61" s="66">
        <f t="shared" si="61"/>
        <v>0</v>
      </c>
      <c r="AI61" s="99" t="s">
        <v>450</v>
      </c>
      <c r="AJ61" s="66">
        <f t="shared" si="62"/>
        <v>0</v>
      </c>
      <c r="AK61" s="66">
        <f t="shared" si="63"/>
        <v>0</v>
      </c>
      <c r="AL61" s="66">
        <f t="shared" si="64"/>
        <v>0</v>
      </c>
      <c r="AN61" s="66">
        <v>21</v>
      </c>
      <c r="AO61" s="66">
        <f>H61*0</f>
        <v>0</v>
      </c>
      <c r="AP61" s="66">
        <f>H61*(1-0)</f>
        <v>0</v>
      </c>
      <c r="AQ61" s="111" t="s">
        <v>644</v>
      </c>
      <c r="AV61" s="66">
        <f t="shared" si="65"/>
        <v>0</v>
      </c>
      <c r="AW61" s="66">
        <f t="shared" si="66"/>
        <v>0</v>
      </c>
      <c r="AX61" s="66">
        <f t="shared" si="67"/>
        <v>0</v>
      </c>
      <c r="AY61" s="111" t="s">
        <v>567</v>
      </c>
      <c r="AZ61" s="111" t="s">
        <v>233</v>
      </c>
      <c r="BA61" s="99" t="s">
        <v>498</v>
      </c>
      <c r="BC61" s="66">
        <f t="shared" si="68"/>
        <v>0</v>
      </c>
      <c r="BD61" s="66">
        <f t="shared" si="69"/>
        <v>0</v>
      </c>
      <c r="BE61" s="66">
        <v>0</v>
      </c>
      <c r="BF61" s="66">
        <f t="shared" si="70"/>
        <v>0</v>
      </c>
      <c r="BH61" s="66">
        <f t="shared" si="71"/>
        <v>0</v>
      </c>
      <c r="BI61" s="66">
        <f t="shared" si="72"/>
        <v>0</v>
      </c>
      <c r="BJ61" s="66">
        <f t="shared" si="73"/>
        <v>0</v>
      </c>
      <c r="BK61" s="66"/>
      <c r="BL61" s="66">
        <v>96</v>
      </c>
    </row>
    <row r="62" spans="1:64" s="58" customFormat="1" ht="15" customHeight="1">
      <c r="A62" s="64" t="s">
        <v>637</v>
      </c>
      <c r="B62" s="65" t="s">
        <v>450</v>
      </c>
      <c r="C62" s="65" t="s">
        <v>24</v>
      </c>
      <c r="D62" s="174" t="s">
        <v>694</v>
      </c>
      <c r="E62" s="174"/>
      <c r="F62" s="65" t="s">
        <v>635</v>
      </c>
      <c r="G62" s="66">
        <v>2.45</v>
      </c>
      <c r="H62" s="66"/>
      <c r="I62" s="66">
        <f t="shared" si="50"/>
        <v>0</v>
      </c>
      <c r="J62" s="66">
        <f t="shared" si="51"/>
        <v>0</v>
      </c>
      <c r="K62" s="66">
        <f t="shared" si="52"/>
        <v>0</v>
      </c>
      <c r="L62" s="66">
        <v>0.032</v>
      </c>
      <c r="M62" s="66">
        <f t="shared" si="53"/>
        <v>0.07840000000000001</v>
      </c>
      <c r="N62" s="69" t="s">
        <v>545</v>
      </c>
      <c r="Z62" s="66">
        <f t="shared" si="54"/>
        <v>0</v>
      </c>
      <c r="AB62" s="66">
        <f t="shared" si="55"/>
        <v>0</v>
      </c>
      <c r="AC62" s="66">
        <f t="shared" si="56"/>
        <v>0</v>
      </c>
      <c r="AD62" s="66">
        <f t="shared" si="57"/>
        <v>0</v>
      </c>
      <c r="AE62" s="66">
        <f t="shared" si="58"/>
        <v>0</v>
      </c>
      <c r="AF62" s="66">
        <f t="shared" si="59"/>
        <v>0</v>
      </c>
      <c r="AG62" s="66">
        <f t="shared" si="60"/>
        <v>0</v>
      </c>
      <c r="AH62" s="66">
        <f t="shared" si="61"/>
        <v>0</v>
      </c>
      <c r="AI62" s="99" t="s">
        <v>450</v>
      </c>
      <c r="AJ62" s="66">
        <f t="shared" si="62"/>
        <v>0</v>
      </c>
      <c r="AK62" s="66">
        <f t="shared" si="63"/>
        <v>0</v>
      </c>
      <c r="AL62" s="66">
        <f t="shared" si="64"/>
        <v>0</v>
      </c>
      <c r="AN62" s="66">
        <v>21</v>
      </c>
      <c r="AO62" s="66">
        <f>H62*0.170435289637774</f>
        <v>0</v>
      </c>
      <c r="AP62" s="66">
        <f>H62*(1-0.170435289637774)</f>
        <v>0</v>
      </c>
      <c r="AQ62" s="111" t="s">
        <v>644</v>
      </c>
      <c r="AV62" s="66">
        <f t="shared" si="65"/>
        <v>0</v>
      </c>
      <c r="AW62" s="66">
        <f t="shared" si="66"/>
        <v>0</v>
      </c>
      <c r="AX62" s="66">
        <f t="shared" si="67"/>
        <v>0</v>
      </c>
      <c r="AY62" s="111" t="s">
        <v>567</v>
      </c>
      <c r="AZ62" s="111" t="s">
        <v>233</v>
      </c>
      <c r="BA62" s="99" t="s">
        <v>498</v>
      </c>
      <c r="BC62" s="66">
        <f t="shared" si="68"/>
        <v>0</v>
      </c>
      <c r="BD62" s="66">
        <f t="shared" si="69"/>
        <v>0</v>
      </c>
      <c r="BE62" s="66">
        <v>0</v>
      </c>
      <c r="BF62" s="66">
        <f t="shared" si="70"/>
        <v>0.07840000000000001</v>
      </c>
      <c r="BH62" s="66">
        <f t="shared" si="71"/>
        <v>0</v>
      </c>
      <c r="BI62" s="66">
        <f t="shared" si="72"/>
        <v>0</v>
      </c>
      <c r="BJ62" s="66">
        <f t="shared" si="73"/>
        <v>0</v>
      </c>
      <c r="BK62" s="66"/>
      <c r="BL62" s="66">
        <v>96</v>
      </c>
    </row>
    <row r="63" spans="1:64" s="58" customFormat="1" ht="15" customHeight="1">
      <c r="A63" s="64" t="s">
        <v>119</v>
      </c>
      <c r="B63" s="65" t="s">
        <v>450</v>
      </c>
      <c r="C63" s="65" t="s">
        <v>127</v>
      </c>
      <c r="D63" s="174" t="s">
        <v>372</v>
      </c>
      <c r="E63" s="174"/>
      <c r="F63" s="65" t="s">
        <v>635</v>
      </c>
      <c r="G63" s="66">
        <v>1.6</v>
      </c>
      <c r="H63" s="66"/>
      <c r="I63" s="66">
        <f t="shared" si="50"/>
        <v>0</v>
      </c>
      <c r="J63" s="66">
        <f t="shared" si="51"/>
        <v>0</v>
      </c>
      <c r="K63" s="66">
        <f t="shared" si="52"/>
        <v>0</v>
      </c>
      <c r="L63" s="66">
        <v>0.07717</v>
      </c>
      <c r="M63" s="66">
        <f t="shared" si="53"/>
        <v>0.12347200000000001</v>
      </c>
      <c r="N63" s="69" t="s">
        <v>545</v>
      </c>
      <c r="Z63" s="66">
        <f t="shared" si="54"/>
        <v>0</v>
      </c>
      <c r="AB63" s="66">
        <f t="shared" si="55"/>
        <v>0</v>
      </c>
      <c r="AC63" s="66">
        <f t="shared" si="56"/>
        <v>0</v>
      </c>
      <c r="AD63" s="66">
        <f t="shared" si="57"/>
        <v>0</v>
      </c>
      <c r="AE63" s="66">
        <f t="shared" si="58"/>
        <v>0</v>
      </c>
      <c r="AF63" s="66">
        <f t="shared" si="59"/>
        <v>0</v>
      </c>
      <c r="AG63" s="66">
        <f t="shared" si="60"/>
        <v>0</v>
      </c>
      <c r="AH63" s="66">
        <f t="shared" si="61"/>
        <v>0</v>
      </c>
      <c r="AI63" s="99" t="s">
        <v>450</v>
      </c>
      <c r="AJ63" s="66">
        <f t="shared" si="62"/>
        <v>0</v>
      </c>
      <c r="AK63" s="66">
        <f t="shared" si="63"/>
        <v>0</v>
      </c>
      <c r="AL63" s="66">
        <f t="shared" si="64"/>
        <v>0</v>
      </c>
      <c r="AN63" s="66">
        <v>21</v>
      </c>
      <c r="AO63" s="66">
        <f>H63*0.0794448154708325</f>
        <v>0</v>
      </c>
      <c r="AP63" s="66">
        <f>H63*(1-0.0794448154708325)</f>
        <v>0</v>
      </c>
      <c r="AQ63" s="111" t="s">
        <v>644</v>
      </c>
      <c r="AV63" s="66">
        <f t="shared" si="65"/>
        <v>0</v>
      </c>
      <c r="AW63" s="66">
        <f t="shared" si="66"/>
        <v>0</v>
      </c>
      <c r="AX63" s="66">
        <f t="shared" si="67"/>
        <v>0</v>
      </c>
      <c r="AY63" s="111" t="s">
        <v>567</v>
      </c>
      <c r="AZ63" s="111" t="s">
        <v>233</v>
      </c>
      <c r="BA63" s="99" t="s">
        <v>498</v>
      </c>
      <c r="BC63" s="66">
        <f t="shared" si="68"/>
        <v>0</v>
      </c>
      <c r="BD63" s="66">
        <f t="shared" si="69"/>
        <v>0</v>
      </c>
      <c r="BE63" s="66">
        <v>0</v>
      </c>
      <c r="BF63" s="66">
        <f t="shared" si="70"/>
        <v>0.12347200000000001</v>
      </c>
      <c r="BH63" s="66">
        <f t="shared" si="71"/>
        <v>0</v>
      </c>
      <c r="BI63" s="66">
        <f t="shared" si="72"/>
        <v>0</v>
      </c>
      <c r="BJ63" s="66">
        <f t="shared" si="73"/>
        <v>0</v>
      </c>
      <c r="BK63" s="66"/>
      <c r="BL63" s="66">
        <v>96</v>
      </c>
    </row>
    <row r="64" spans="1:64" s="58" customFormat="1" ht="15" customHeight="1">
      <c r="A64" s="64" t="s">
        <v>214</v>
      </c>
      <c r="B64" s="65" t="s">
        <v>450</v>
      </c>
      <c r="C64" s="65" t="s">
        <v>159</v>
      </c>
      <c r="D64" s="174" t="s">
        <v>807</v>
      </c>
      <c r="E64" s="174"/>
      <c r="F64" s="65" t="s">
        <v>529</v>
      </c>
      <c r="G64" s="66">
        <v>1</v>
      </c>
      <c r="H64" s="66"/>
      <c r="I64" s="66">
        <f t="shared" si="50"/>
        <v>0</v>
      </c>
      <c r="J64" s="66">
        <f t="shared" si="51"/>
        <v>0</v>
      </c>
      <c r="K64" s="66">
        <f t="shared" si="52"/>
        <v>0</v>
      </c>
      <c r="L64" s="66">
        <v>0</v>
      </c>
      <c r="M64" s="66">
        <f t="shared" si="53"/>
        <v>0</v>
      </c>
      <c r="N64" s="69"/>
      <c r="Z64" s="66">
        <f t="shared" si="54"/>
        <v>0</v>
      </c>
      <c r="AB64" s="66">
        <f t="shared" si="55"/>
        <v>0</v>
      </c>
      <c r="AC64" s="66">
        <f t="shared" si="56"/>
        <v>0</v>
      </c>
      <c r="AD64" s="66">
        <f t="shared" si="57"/>
        <v>0</v>
      </c>
      <c r="AE64" s="66">
        <f t="shared" si="58"/>
        <v>0</v>
      </c>
      <c r="AF64" s="66">
        <f t="shared" si="59"/>
        <v>0</v>
      </c>
      <c r="AG64" s="66">
        <f t="shared" si="60"/>
        <v>0</v>
      </c>
      <c r="AH64" s="66">
        <f t="shared" si="61"/>
        <v>0</v>
      </c>
      <c r="AI64" s="99" t="s">
        <v>450</v>
      </c>
      <c r="AJ64" s="66">
        <f t="shared" si="62"/>
        <v>0</v>
      </c>
      <c r="AK64" s="66">
        <f t="shared" si="63"/>
        <v>0</v>
      </c>
      <c r="AL64" s="66">
        <f t="shared" si="64"/>
        <v>0</v>
      </c>
      <c r="AN64" s="66">
        <v>21</v>
      </c>
      <c r="AO64" s="66">
        <f>H64*0</f>
        <v>0</v>
      </c>
      <c r="AP64" s="66">
        <f>H64*(1-0)</f>
        <v>0</v>
      </c>
      <c r="AQ64" s="111" t="s">
        <v>644</v>
      </c>
      <c r="AV64" s="66">
        <f t="shared" si="65"/>
        <v>0</v>
      </c>
      <c r="AW64" s="66">
        <f t="shared" si="66"/>
        <v>0</v>
      </c>
      <c r="AX64" s="66">
        <f t="shared" si="67"/>
        <v>0</v>
      </c>
      <c r="AY64" s="111" t="s">
        <v>567</v>
      </c>
      <c r="AZ64" s="111" t="s">
        <v>233</v>
      </c>
      <c r="BA64" s="99" t="s">
        <v>498</v>
      </c>
      <c r="BC64" s="66">
        <f t="shared" si="68"/>
        <v>0</v>
      </c>
      <c r="BD64" s="66">
        <f t="shared" si="69"/>
        <v>0</v>
      </c>
      <c r="BE64" s="66">
        <v>0</v>
      </c>
      <c r="BF64" s="66">
        <f t="shared" si="70"/>
        <v>0</v>
      </c>
      <c r="BH64" s="66">
        <f t="shared" si="71"/>
        <v>0</v>
      </c>
      <c r="BI64" s="66">
        <f t="shared" si="72"/>
        <v>0</v>
      </c>
      <c r="BJ64" s="66">
        <f t="shared" si="73"/>
        <v>0</v>
      </c>
      <c r="BK64" s="66"/>
      <c r="BL64" s="66">
        <v>96</v>
      </c>
    </row>
    <row r="65" spans="1:47" s="58" customFormat="1" ht="15" customHeight="1">
      <c r="A65" s="95" t="s">
        <v>450</v>
      </c>
      <c r="B65" s="96" t="s">
        <v>450</v>
      </c>
      <c r="C65" s="96" t="s">
        <v>455</v>
      </c>
      <c r="D65" s="173" t="s">
        <v>570</v>
      </c>
      <c r="E65" s="173"/>
      <c r="F65" s="97" t="s">
        <v>595</v>
      </c>
      <c r="G65" s="97" t="s">
        <v>595</v>
      </c>
      <c r="H65" s="97"/>
      <c r="I65" s="98">
        <f>SUM(I66:I75)</f>
        <v>0</v>
      </c>
      <c r="J65" s="98">
        <f>SUM(J66:J75)</f>
        <v>0</v>
      </c>
      <c r="K65" s="98">
        <f>SUM(K66:K75)</f>
        <v>0</v>
      </c>
      <c r="L65" s="99" t="s">
        <v>450</v>
      </c>
      <c r="M65" s="98">
        <f>SUM(M66:M75)</f>
        <v>64.54226631249999</v>
      </c>
      <c r="N65" s="100" t="s">
        <v>450</v>
      </c>
      <c r="AI65" s="99" t="s">
        <v>450</v>
      </c>
      <c r="AS65" s="98">
        <f>SUM(AJ66:AJ75)</f>
        <v>0</v>
      </c>
      <c r="AT65" s="98">
        <f>SUM(AK66:AK75)</f>
        <v>0</v>
      </c>
      <c r="AU65" s="98">
        <f>SUM(AL66:AL75)</f>
        <v>0</v>
      </c>
    </row>
    <row r="66" spans="1:64" s="58" customFormat="1" ht="15" customHeight="1">
      <c r="A66" s="64" t="s">
        <v>291</v>
      </c>
      <c r="B66" s="65" t="s">
        <v>450</v>
      </c>
      <c r="C66" s="65" t="s">
        <v>709</v>
      </c>
      <c r="D66" s="174" t="s">
        <v>733</v>
      </c>
      <c r="E66" s="174"/>
      <c r="F66" s="65" t="s">
        <v>621</v>
      </c>
      <c r="G66" s="66">
        <v>35.48245</v>
      </c>
      <c r="H66" s="66"/>
      <c r="I66" s="66">
        <f aca="true" t="shared" si="74" ref="I66:I75">G66*AO66</f>
        <v>0</v>
      </c>
      <c r="J66" s="66">
        <f aca="true" t="shared" si="75" ref="J66:J75">G66*AP66</f>
        <v>0</v>
      </c>
      <c r="K66" s="66">
        <f aca="true" t="shared" si="76" ref="K66:K75">G66*H66</f>
        <v>0</v>
      </c>
      <c r="L66" s="66">
        <v>1.807</v>
      </c>
      <c r="M66" s="66">
        <f aca="true" t="shared" si="77" ref="M66:M75">G66*L66</f>
        <v>64.11678715</v>
      </c>
      <c r="N66" s="69" t="s">
        <v>545</v>
      </c>
      <c r="Z66" s="66">
        <f aca="true" t="shared" si="78" ref="Z66:Z75">IF(AQ66="5",BJ66,0)</f>
        <v>0</v>
      </c>
      <c r="AB66" s="66">
        <f aca="true" t="shared" si="79" ref="AB66:AB75">IF(AQ66="1",BH66,0)</f>
        <v>0</v>
      </c>
      <c r="AC66" s="66">
        <f aca="true" t="shared" si="80" ref="AC66:AC75">IF(AQ66="1",BI66,0)</f>
        <v>0</v>
      </c>
      <c r="AD66" s="66">
        <f aca="true" t="shared" si="81" ref="AD66:AD75">IF(AQ66="7",BH66,0)</f>
        <v>0</v>
      </c>
      <c r="AE66" s="66">
        <f aca="true" t="shared" si="82" ref="AE66:AE75">IF(AQ66="7",BI66,0)</f>
        <v>0</v>
      </c>
      <c r="AF66" s="66">
        <f aca="true" t="shared" si="83" ref="AF66:AF75">IF(AQ66="2",BH66,0)</f>
        <v>0</v>
      </c>
      <c r="AG66" s="66">
        <f aca="true" t="shared" si="84" ref="AG66:AG75">IF(AQ66="2",BI66,0)</f>
        <v>0</v>
      </c>
      <c r="AH66" s="66">
        <f aca="true" t="shared" si="85" ref="AH66:AH75">IF(AQ66="0",BJ66,0)</f>
        <v>0</v>
      </c>
      <c r="AI66" s="99" t="s">
        <v>450</v>
      </c>
      <c r="AJ66" s="66">
        <f aca="true" t="shared" si="86" ref="AJ66:AJ75">IF(AN66=0,K66,0)</f>
        <v>0</v>
      </c>
      <c r="AK66" s="66">
        <f aca="true" t="shared" si="87" ref="AK66:AK75">IF(AN66=15,K66,0)</f>
        <v>0</v>
      </c>
      <c r="AL66" s="66">
        <f aca="true" t="shared" si="88" ref="AL66:AL75">IF(AN66=21,K66,0)</f>
        <v>0</v>
      </c>
      <c r="AN66" s="66">
        <v>21</v>
      </c>
      <c r="AO66" s="66">
        <f>H66*0.0132339322510986</f>
        <v>0</v>
      </c>
      <c r="AP66" s="66">
        <f>H66*(1-0.0132339322510986)</f>
        <v>0</v>
      </c>
      <c r="AQ66" s="111" t="s">
        <v>644</v>
      </c>
      <c r="AV66" s="66">
        <f aca="true" t="shared" si="89" ref="AV66:AV75">AW66+AX66</f>
        <v>0</v>
      </c>
      <c r="AW66" s="66">
        <f aca="true" t="shared" si="90" ref="AW66:AW75">G66*AO66</f>
        <v>0</v>
      </c>
      <c r="AX66" s="66">
        <f aca="true" t="shared" si="91" ref="AX66:AX75">G66*AP66</f>
        <v>0</v>
      </c>
      <c r="AY66" s="111" t="s">
        <v>509</v>
      </c>
      <c r="AZ66" s="111" t="s">
        <v>233</v>
      </c>
      <c r="BA66" s="99" t="s">
        <v>498</v>
      </c>
      <c r="BC66" s="66">
        <f aca="true" t="shared" si="92" ref="BC66:BC75">AW66+AX66</f>
        <v>0</v>
      </c>
      <c r="BD66" s="66">
        <f aca="true" t="shared" si="93" ref="BD66:BD75">H66/(100-BE66)*100</f>
        <v>0</v>
      </c>
      <c r="BE66" s="66">
        <v>0</v>
      </c>
      <c r="BF66" s="66">
        <f aca="true" t="shared" si="94" ref="BF66:BF75">M66</f>
        <v>64.11678715</v>
      </c>
      <c r="BH66" s="66">
        <f aca="true" t="shared" si="95" ref="BH66:BH75">G66*AO66</f>
        <v>0</v>
      </c>
      <c r="BI66" s="66">
        <f aca="true" t="shared" si="96" ref="BI66:BI75">G66*AP66</f>
        <v>0</v>
      </c>
      <c r="BJ66" s="66">
        <f aca="true" t="shared" si="97" ref="BJ66:BJ75">G66*H66</f>
        <v>0</v>
      </c>
      <c r="BK66" s="66"/>
      <c r="BL66" s="66">
        <v>98</v>
      </c>
    </row>
    <row r="67" spans="1:64" s="58" customFormat="1" ht="15" customHeight="1">
      <c r="A67" s="64" t="s">
        <v>228</v>
      </c>
      <c r="B67" s="65" t="s">
        <v>450</v>
      </c>
      <c r="C67" s="65" t="s">
        <v>411</v>
      </c>
      <c r="D67" s="174" t="s">
        <v>103</v>
      </c>
      <c r="E67" s="174"/>
      <c r="F67" s="65" t="s">
        <v>621</v>
      </c>
      <c r="G67" s="66">
        <v>0.23625</v>
      </c>
      <c r="H67" s="66"/>
      <c r="I67" s="66">
        <f t="shared" si="74"/>
        <v>0</v>
      </c>
      <c r="J67" s="66">
        <f t="shared" si="75"/>
        <v>0</v>
      </c>
      <c r="K67" s="66">
        <f t="shared" si="76"/>
        <v>0</v>
      </c>
      <c r="L67" s="66">
        <v>1.80097</v>
      </c>
      <c r="M67" s="66">
        <f t="shared" si="77"/>
        <v>0.42547916249999995</v>
      </c>
      <c r="N67" s="69" t="s">
        <v>545</v>
      </c>
      <c r="Z67" s="66">
        <f t="shared" si="78"/>
        <v>0</v>
      </c>
      <c r="AB67" s="66">
        <f t="shared" si="79"/>
        <v>0</v>
      </c>
      <c r="AC67" s="66">
        <f t="shared" si="80"/>
        <v>0</v>
      </c>
      <c r="AD67" s="66">
        <f t="shared" si="81"/>
        <v>0</v>
      </c>
      <c r="AE67" s="66">
        <f t="shared" si="82"/>
        <v>0</v>
      </c>
      <c r="AF67" s="66">
        <f t="shared" si="83"/>
        <v>0</v>
      </c>
      <c r="AG67" s="66">
        <f t="shared" si="84"/>
        <v>0</v>
      </c>
      <c r="AH67" s="66">
        <f t="shared" si="85"/>
        <v>0</v>
      </c>
      <c r="AI67" s="99" t="s">
        <v>450</v>
      </c>
      <c r="AJ67" s="66">
        <f t="shared" si="86"/>
        <v>0</v>
      </c>
      <c r="AK67" s="66">
        <f t="shared" si="87"/>
        <v>0</v>
      </c>
      <c r="AL67" s="66">
        <f t="shared" si="88"/>
        <v>0</v>
      </c>
      <c r="AN67" s="66">
        <v>21</v>
      </c>
      <c r="AO67" s="66">
        <f>H67*0.00203046496221559</f>
        <v>0</v>
      </c>
      <c r="AP67" s="66">
        <f>H67*(1-0.00203046496221559)</f>
        <v>0</v>
      </c>
      <c r="AQ67" s="111" t="s">
        <v>644</v>
      </c>
      <c r="AV67" s="66">
        <f t="shared" si="89"/>
        <v>0</v>
      </c>
      <c r="AW67" s="66">
        <f t="shared" si="90"/>
        <v>0</v>
      </c>
      <c r="AX67" s="66">
        <f t="shared" si="91"/>
        <v>0</v>
      </c>
      <c r="AY67" s="111" t="s">
        <v>509</v>
      </c>
      <c r="AZ67" s="111" t="s">
        <v>233</v>
      </c>
      <c r="BA67" s="99" t="s">
        <v>498</v>
      </c>
      <c r="BC67" s="66">
        <f t="shared" si="92"/>
        <v>0</v>
      </c>
      <c r="BD67" s="66">
        <f t="shared" si="93"/>
        <v>0</v>
      </c>
      <c r="BE67" s="66">
        <v>0</v>
      </c>
      <c r="BF67" s="66">
        <f t="shared" si="94"/>
        <v>0.42547916249999995</v>
      </c>
      <c r="BH67" s="66">
        <f t="shared" si="95"/>
        <v>0</v>
      </c>
      <c r="BI67" s="66">
        <f t="shared" si="96"/>
        <v>0</v>
      </c>
      <c r="BJ67" s="66">
        <f t="shared" si="97"/>
        <v>0</v>
      </c>
      <c r="BK67" s="66"/>
      <c r="BL67" s="66">
        <v>98</v>
      </c>
    </row>
    <row r="68" spans="1:64" s="58" customFormat="1" ht="15" customHeight="1">
      <c r="A68" s="64" t="s">
        <v>527</v>
      </c>
      <c r="B68" s="65" t="s">
        <v>450</v>
      </c>
      <c r="C68" s="65" t="s">
        <v>662</v>
      </c>
      <c r="D68" s="174" t="s">
        <v>171</v>
      </c>
      <c r="E68" s="174"/>
      <c r="F68" s="65" t="s">
        <v>311</v>
      </c>
      <c r="G68" s="66">
        <v>94.29578</v>
      </c>
      <c r="H68" s="66"/>
      <c r="I68" s="66">
        <f t="shared" si="74"/>
        <v>0</v>
      </c>
      <c r="J68" s="66">
        <f t="shared" si="75"/>
        <v>0</v>
      </c>
      <c r="K68" s="66">
        <f t="shared" si="76"/>
        <v>0</v>
      </c>
      <c r="L68" s="66">
        <v>0</v>
      </c>
      <c r="M68" s="66">
        <f t="shared" si="77"/>
        <v>0</v>
      </c>
      <c r="N68" s="69" t="s">
        <v>545</v>
      </c>
      <c r="Z68" s="66">
        <f t="shared" si="78"/>
        <v>0</v>
      </c>
      <c r="AB68" s="66">
        <f t="shared" si="79"/>
        <v>0</v>
      </c>
      <c r="AC68" s="66">
        <f t="shared" si="80"/>
        <v>0</v>
      </c>
      <c r="AD68" s="66">
        <f t="shared" si="81"/>
        <v>0</v>
      </c>
      <c r="AE68" s="66">
        <f t="shared" si="82"/>
        <v>0</v>
      </c>
      <c r="AF68" s="66">
        <f t="shared" si="83"/>
        <v>0</v>
      </c>
      <c r="AG68" s="66">
        <f t="shared" si="84"/>
        <v>0</v>
      </c>
      <c r="AH68" s="66">
        <f t="shared" si="85"/>
        <v>0</v>
      </c>
      <c r="AI68" s="99" t="s">
        <v>450</v>
      </c>
      <c r="AJ68" s="66">
        <f t="shared" si="86"/>
        <v>0</v>
      </c>
      <c r="AK68" s="66">
        <f t="shared" si="87"/>
        <v>0</v>
      </c>
      <c r="AL68" s="66">
        <f t="shared" si="88"/>
        <v>0</v>
      </c>
      <c r="AN68" s="66">
        <v>21</v>
      </c>
      <c r="AO68" s="66">
        <f aca="true" t="shared" si="98" ref="AO68:AO75">H68*0</f>
        <v>0</v>
      </c>
      <c r="AP68" s="66">
        <f aca="true" t="shared" si="99" ref="AP68:AP75">H68*(1-0)</f>
        <v>0</v>
      </c>
      <c r="AQ68" s="111" t="s">
        <v>355</v>
      </c>
      <c r="AV68" s="66">
        <f t="shared" si="89"/>
        <v>0</v>
      </c>
      <c r="AW68" s="66">
        <f t="shared" si="90"/>
        <v>0</v>
      </c>
      <c r="AX68" s="66">
        <f t="shared" si="91"/>
        <v>0</v>
      </c>
      <c r="AY68" s="111" t="s">
        <v>509</v>
      </c>
      <c r="AZ68" s="111" t="s">
        <v>233</v>
      </c>
      <c r="BA68" s="99" t="s">
        <v>498</v>
      </c>
      <c r="BC68" s="66">
        <f t="shared" si="92"/>
        <v>0</v>
      </c>
      <c r="BD68" s="66">
        <f t="shared" si="93"/>
        <v>0</v>
      </c>
      <c r="BE68" s="66">
        <v>0</v>
      </c>
      <c r="BF68" s="66">
        <f t="shared" si="94"/>
        <v>0</v>
      </c>
      <c r="BH68" s="66">
        <f t="shared" si="95"/>
        <v>0</v>
      </c>
      <c r="BI68" s="66">
        <f t="shared" si="96"/>
        <v>0</v>
      </c>
      <c r="BJ68" s="66">
        <f t="shared" si="97"/>
        <v>0</v>
      </c>
      <c r="BK68" s="66"/>
      <c r="BL68" s="66">
        <v>98</v>
      </c>
    </row>
    <row r="69" spans="1:64" s="58" customFormat="1" ht="15" customHeight="1">
      <c r="A69" s="64" t="s">
        <v>669</v>
      </c>
      <c r="B69" s="65" t="s">
        <v>450</v>
      </c>
      <c r="C69" s="65" t="s">
        <v>132</v>
      </c>
      <c r="D69" s="174" t="s">
        <v>335</v>
      </c>
      <c r="E69" s="174"/>
      <c r="F69" s="65" t="s">
        <v>311</v>
      </c>
      <c r="G69" s="66">
        <v>94.29578</v>
      </c>
      <c r="H69" s="66"/>
      <c r="I69" s="66">
        <f t="shared" si="74"/>
        <v>0</v>
      </c>
      <c r="J69" s="66">
        <f t="shared" si="75"/>
        <v>0</v>
      </c>
      <c r="K69" s="66">
        <f t="shared" si="76"/>
        <v>0</v>
      </c>
      <c r="L69" s="66">
        <v>0</v>
      </c>
      <c r="M69" s="66">
        <f t="shared" si="77"/>
        <v>0</v>
      </c>
      <c r="N69" s="69" t="s">
        <v>545</v>
      </c>
      <c r="Z69" s="66">
        <f t="shared" si="78"/>
        <v>0</v>
      </c>
      <c r="AB69" s="66">
        <f t="shared" si="79"/>
        <v>0</v>
      </c>
      <c r="AC69" s="66">
        <f t="shared" si="80"/>
        <v>0</v>
      </c>
      <c r="AD69" s="66">
        <f t="shared" si="81"/>
        <v>0</v>
      </c>
      <c r="AE69" s="66">
        <f t="shared" si="82"/>
        <v>0</v>
      </c>
      <c r="AF69" s="66">
        <f t="shared" si="83"/>
        <v>0</v>
      </c>
      <c r="AG69" s="66">
        <f t="shared" si="84"/>
        <v>0</v>
      </c>
      <c r="AH69" s="66">
        <f t="shared" si="85"/>
        <v>0</v>
      </c>
      <c r="AI69" s="99" t="s">
        <v>450</v>
      </c>
      <c r="AJ69" s="66">
        <f t="shared" si="86"/>
        <v>0</v>
      </c>
      <c r="AK69" s="66">
        <f t="shared" si="87"/>
        <v>0</v>
      </c>
      <c r="AL69" s="66">
        <f t="shared" si="88"/>
        <v>0</v>
      </c>
      <c r="AN69" s="66">
        <v>21</v>
      </c>
      <c r="AO69" s="66">
        <f t="shared" si="98"/>
        <v>0</v>
      </c>
      <c r="AP69" s="66">
        <f t="shared" si="99"/>
        <v>0</v>
      </c>
      <c r="AQ69" s="111" t="s">
        <v>355</v>
      </c>
      <c r="AV69" s="66">
        <f t="shared" si="89"/>
        <v>0</v>
      </c>
      <c r="AW69" s="66">
        <f t="shared" si="90"/>
        <v>0</v>
      </c>
      <c r="AX69" s="66">
        <f t="shared" si="91"/>
        <v>0</v>
      </c>
      <c r="AY69" s="111" t="s">
        <v>509</v>
      </c>
      <c r="AZ69" s="111" t="s">
        <v>233</v>
      </c>
      <c r="BA69" s="99" t="s">
        <v>498</v>
      </c>
      <c r="BC69" s="66">
        <f t="shared" si="92"/>
        <v>0</v>
      </c>
      <c r="BD69" s="66">
        <f t="shared" si="93"/>
        <v>0</v>
      </c>
      <c r="BE69" s="66">
        <v>0</v>
      </c>
      <c r="BF69" s="66">
        <f t="shared" si="94"/>
        <v>0</v>
      </c>
      <c r="BH69" s="66">
        <f t="shared" si="95"/>
        <v>0</v>
      </c>
      <c r="BI69" s="66">
        <f t="shared" si="96"/>
        <v>0</v>
      </c>
      <c r="BJ69" s="66">
        <f t="shared" si="97"/>
        <v>0</v>
      </c>
      <c r="BK69" s="66"/>
      <c r="BL69" s="66">
        <v>98</v>
      </c>
    </row>
    <row r="70" spans="1:64" s="58" customFormat="1" ht="15" customHeight="1">
      <c r="A70" s="64" t="s">
        <v>41</v>
      </c>
      <c r="B70" s="65" t="s">
        <v>450</v>
      </c>
      <c r="C70" s="65" t="s">
        <v>471</v>
      </c>
      <c r="D70" s="174" t="s">
        <v>579</v>
      </c>
      <c r="E70" s="174"/>
      <c r="F70" s="65" t="s">
        <v>311</v>
      </c>
      <c r="G70" s="66">
        <v>5.14617</v>
      </c>
      <c r="H70" s="66"/>
      <c r="I70" s="66">
        <f t="shared" si="74"/>
        <v>0</v>
      </c>
      <c r="J70" s="66">
        <f t="shared" si="75"/>
        <v>0</v>
      </c>
      <c r="K70" s="66">
        <f t="shared" si="76"/>
        <v>0</v>
      </c>
      <c r="L70" s="66">
        <v>0</v>
      </c>
      <c r="M70" s="66">
        <f t="shared" si="77"/>
        <v>0</v>
      </c>
      <c r="N70" s="69" t="s">
        <v>545</v>
      </c>
      <c r="Z70" s="66">
        <f t="shared" si="78"/>
        <v>0</v>
      </c>
      <c r="AB70" s="66">
        <f t="shared" si="79"/>
        <v>0</v>
      </c>
      <c r="AC70" s="66">
        <f t="shared" si="80"/>
        <v>0</v>
      </c>
      <c r="AD70" s="66">
        <f t="shared" si="81"/>
        <v>0</v>
      </c>
      <c r="AE70" s="66">
        <f t="shared" si="82"/>
        <v>0</v>
      </c>
      <c r="AF70" s="66">
        <f t="shared" si="83"/>
        <v>0</v>
      </c>
      <c r="AG70" s="66">
        <f t="shared" si="84"/>
        <v>0</v>
      </c>
      <c r="AH70" s="66">
        <f t="shared" si="85"/>
        <v>0</v>
      </c>
      <c r="AI70" s="99" t="s">
        <v>450</v>
      </c>
      <c r="AJ70" s="66">
        <f t="shared" si="86"/>
        <v>0</v>
      </c>
      <c r="AK70" s="66">
        <f t="shared" si="87"/>
        <v>0</v>
      </c>
      <c r="AL70" s="66">
        <f t="shared" si="88"/>
        <v>0</v>
      </c>
      <c r="AN70" s="66">
        <v>21</v>
      </c>
      <c r="AO70" s="66">
        <f t="shared" si="98"/>
        <v>0</v>
      </c>
      <c r="AP70" s="66">
        <f t="shared" si="99"/>
        <v>0</v>
      </c>
      <c r="AQ70" s="111" t="s">
        <v>355</v>
      </c>
      <c r="AV70" s="66">
        <f t="shared" si="89"/>
        <v>0</v>
      </c>
      <c r="AW70" s="66">
        <f t="shared" si="90"/>
        <v>0</v>
      </c>
      <c r="AX70" s="66">
        <f t="shared" si="91"/>
        <v>0</v>
      </c>
      <c r="AY70" s="111" t="s">
        <v>509</v>
      </c>
      <c r="AZ70" s="111" t="s">
        <v>233</v>
      </c>
      <c r="BA70" s="99" t="s">
        <v>498</v>
      </c>
      <c r="BC70" s="66">
        <f t="shared" si="92"/>
        <v>0</v>
      </c>
      <c r="BD70" s="66">
        <f t="shared" si="93"/>
        <v>0</v>
      </c>
      <c r="BE70" s="66">
        <v>0</v>
      </c>
      <c r="BF70" s="66">
        <f t="shared" si="94"/>
        <v>0</v>
      </c>
      <c r="BH70" s="66">
        <f t="shared" si="95"/>
        <v>0</v>
      </c>
      <c r="BI70" s="66">
        <f t="shared" si="96"/>
        <v>0</v>
      </c>
      <c r="BJ70" s="66">
        <f t="shared" si="97"/>
        <v>0</v>
      </c>
      <c r="BK70" s="66"/>
      <c r="BL70" s="66">
        <v>98</v>
      </c>
    </row>
    <row r="71" spans="1:64" s="58" customFormat="1" ht="15" customHeight="1">
      <c r="A71" s="64" t="s">
        <v>506</v>
      </c>
      <c r="B71" s="65" t="s">
        <v>450</v>
      </c>
      <c r="C71" s="65" t="s">
        <v>728</v>
      </c>
      <c r="D71" s="174" t="s">
        <v>319</v>
      </c>
      <c r="E71" s="174"/>
      <c r="F71" s="65" t="s">
        <v>311</v>
      </c>
      <c r="G71" s="66">
        <v>5.14617</v>
      </c>
      <c r="H71" s="66"/>
      <c r="I71" s="66">
        <f t="shared" si="74"/>
        <v>0</v>
      </c>
      <c r="J71" s="66">
        <f t="shared" si="75"/>
        <v>0</v>
      </c>
      <c r="K71" s="66">
        <f t="shared" si="76"/>
        <v>0</v>
      </c>
      <c r="L71" s="66">
        <v>0</v>
      </c>
      <c r="M71" s="66">
        <f t="shared" si="77"/>
        <v>0</v>
      </c>
      <c r="N71" s="69" t="s">
        <v>545</v>
      </c>
      <c r="Z71" s="66">
        <f t="shared" si="78"/>
        <v>0</v>
      </c>
      <c r="AB71" s="66">
        <f t="shared" si="79"/>
        <v>0</v>
      </c>
      <c r="AC71" s="66">
        <f t="shared" si="80"/>
        <v>0</v>
      </c>
      <c r="AD71" s="66">
        <f t="shared" si="81"/>
        <v>0</v>
      </c>
      <c r="AE71" s="66">
        <f t="shared" si="82"/>
        <v>0</v>
      </c>
      <c r="AF71" s="66">
        <f t="shared" si="83"/>
        <v>0</v>
      </c>
      <c r="AG71" s="66">
        <f t="shared" si="84"/>
        <v>0</v>
      </c>
      <c r="AH71" s="66">
        <f t="shared" si="85"/>
        <v>0</v>
      </c>
      <c r="AI71" s="99" t="s">
        <v>450</v>
      </c>
      <c r="AJ71" s="66">
        <f t="shared" si="86"/>
        <v>0</v>
      </c>
      <c r="AK71" s="66">
        <f t="shared" si="87"/>
        <v>0</v>
      </c>
      <c r="AL71" s="66">
        <f t="shared" si="88"/>
        <v>0</v>
      </c>
      <c r="AN71" s="66">
        <v>21</v>
      </c>
      <c r="AO71" s="66">
        <f t="shared" si="98"/>
        <v>0</v>
      </c>
      <c r="AP71" s="66">
        <f t="shared" si="99"/>
        <v>0</v>
      </c>
      <c r="AQ71" s="111" t="s">
        <v>355</v>
      </c>
      <c r="AV71" s="66">
        <f t="shared" si="89"/>
        <v>0</v>
      </c>
      <c r="AW71" s="66">
        <f t="shared" si="90"/>
        <v>0</v>
      </c>
      <c r="AX71" s="66">
        <f t="shared" si="91"/>
        <v>0</v>
      </c>
      <c r="AY71" s="111" t="s">
        <v>509</v>
      </c>
      <c r="AZ71" s="111" t="s">
        <v>233</v>
      </c>
      <c r="BA71" s="99" t="s">
        <v>498</v>
      </c>
      <c r="BC71" s="66">
        <f t="shared" si="92"/>
        <v>0</v>
      </c>
      <c r="BD71" s="66">
        <f t="shared" si="93"/>
        <v>0</v>
      </c>
      <c r="BE71" s="66">
        <v>0</v>
      </c>
      <c r="BF71" s="66">
        <f t="shared" si="94"/>
        <v>0</v>
      </c>
      <c r="BH71" s="66">
        <f t="shared" si="95"/>
        <v>0</v>
      </c>
      <c r="BI71" s="66">
        <f t="shared" si="96"/>
        <v>0</v>
      </c>
      <c r="BJ71" s="66">
        <f t="shared" si="97"/>
        <v>0</v>
      </c>
      <c r="BK71" s="66"/>
      <c r="BL71" s="66">
        <v>98</v>
      </c>
    </row>
    <row r="72" spans="1:64" s="58" customFormat="1" ht="15" customHeight="1">
      <c r="A72" s="64" t="s">
        <v>536</v>
      </c>
      <c r="B72" s="65" t="s">
        <v>450</v>
      </c>
      <c r="C72" s="65" t="s">
        <v>812</v>
      </c>
      <c r="D72" s="174" t="s">
        <v>478</v>
      </c>
      <c r="E72" s="174"/>
      <c r="F72" s="65" t="s">
        <v>311</v>
      </c>
      <c r="G72" s="66">
        <v>93.44528</v>
      </c>
      <c r="H72" s="66"/>
      <c r="I72" s="66">
        <f t="shared" si="74"/>
        <v>0</v>
      </c>
      <c r="J72" s="66">
        <f t="shared" si="75"/>
        <v>0</v>
      </c>
      <c r="K72" s="66">
        <f t="shared" si="76"/>
        <v>0</v>
      </c>
      <c r="L72" s="66">
        <v>0</v>
      </c>
      <c r="M72" s="66">
        <f t="shared" si="77"/>
        <v>0</v>
      </c>
      <c r="N72" s="69" t="s">
        <v>545</v>
      </c>
      <c r="Z72" s="66">
        <f t="shared" si="78"/>
        <v>0</v>
      </c>
      <c r="AB72" s="66">
        <f t="shared" si="79"/>
        <v>0</v>
      </c>
      <c r="AC72" s="66">
        <f t="shared" si="80"/>
        <v>0</v>
      </c>
      <c r="AD72" s="66">
        <f t="shared" si="81"/>
        <v>0</v>
      </c>
      <c r="AE72" s="66">
        <f t="shared" si="82"/>
        <v>0</v>
      </c>
      <c r="AF72" s="66">
        <f t="shared" si="83"/>
        <v>0</v>
      </c>
      <c r="AG72" s="66">
        <f t="shared" si="84"/>
        <v>0</v>
      </c>
      <c r="AH72" s="66">
        <f t="shared" si="85"/>
        <v>0</v>
      </c>
      <c r="AI72" s="99" t="s">
        <v>450</v>
      </c>
      <c r="AJ72" s="66">
        <f t="shared" si="86"/>
        <v>0</v>
      </c>
      <c r="AK72" s="66">
        <f t="shared" si="87"/>
        <v>0</v>
      </c>
      <c r="AL72" s="66">
        <f t="shared" si="88"/>
        <v>0</v>
      </c>
      <c r="AN72" s="66">
        <v>21</v>
      </c>
      <c r="AO72" s="66">
        <f t="shared" si="98"/>
        <v>0</v>
      </c>
      <c r="AP72" s="66">
        <f t="shared" si="99"/>
        <v>0</v>
      </c>
      <c r="AQ72" s="111" t="s">
        <v>355</v>
      </c>
      <c r="AV72" s="66">
        <f t="shared" si="89"/>
        <v>0</v>
      </c>
      <c r="AW72" s="66">
        <f t="shared" si="90"/>
        <v>0</v>
      </c>
      <c r="AX72" s="66">
        <f t="shared" si="91"/>
        <v>0</v>
      </c>
      <c r="AY72" s="111" t="s">
        <v>509</v>
      </c>
      <c r="AZ72" s="111" t="s">
        <v>233</v>
      </c>
      <c r="BA72" s="99" t="s">
        <v>498</v>
      </c>
      <c r="BC72" s="66">
        <f t="shared" si="92"/>
        <v>0</v>
      </c>
      <c r="BD72" s="66">
        <f t="shared" si="93"/>
        <v>0</v>
      </c>
      <c r="BE72" s="66">
        <v>0</v>
      </c>
      <c r="BF72" s="66">
        <f t="shared" si="94"/>
        <v>0</v>
      </c>
      <c r="BH72" s="66">
        <f t="shared" si="95"/>
        <v>0</v>
      </c>
      <c r="BI72" s="66">
        <f t="shared" si="96"/>
        <v>0</v>
      </c>
      <c r="BJ72" s="66">
        <f t="shared" si="97"/>
        <v>0</v>
      </c>
      <c r="BK72" s="66"/>
      <c r="BL72" s="66">
        <v>98</v>
      </c>
    </row>
    <row r="73" spans="1:64" s="58" customFormat="1" ht="15" customHeight="1">
      <c r="A73" s="64" t="s">
        <v>281</v>
      </c>
      <c r="B73" s="65" t="s">
        <v>450</v>
      </c>
      <c r="C73" s="65" t="s">
        <v>100</v>
      </c>
      <c r="D73" s="174" t="s">
        <v>295</v>
      </c>
      <c r="E73" s="174"/>
      <c r="F73" s="65" t="s">
        <v>311</v>
      </c>
      <c r="G73" s="66">
        <v>1796.97782</v>
      </c>
      <c r="H73" s="66"/>
      <c r="I73" s="66">
        <f t="shared" si="74"/>
        <v>0</v>
      </c>
      <c r="J73" s="66">
        <f t="shared" si="75"/>
        <v>0</v>
      </c>
      <c r="K73" s="66">
        <f t="shared" si="76"/>
        <v>0</v>
      </c>
      <c r="L73" s="66">
        <v>0</v>
      </c>
      <c r="M73" s="66">
        <f t="shared" si="77"/>
        <v>0</v>
      </c>
      <c r="N73" s="69" t="s">
        <v>545</v>
      </c>
      <c r="Z73" s="66">
        <f t="shared" si="78"/>
        <v>0</v>
      </c>
      <c r="AB73" s="66">
        <f t="shared" si="79"/>
        <v>0</v>
      </c>
      <c r="AC73" s="66">
        <f t="shared" si="80"/>
        <v>0</v>
      </c>
      <c r="AD73" s="66">
        <f t="shared" si="81"/>
        <v>0</v>
      </c>
      <c r="AE73" s="66">
        <f t="shared" si="82"/>
        <v>0</v>
      </c>
      <c r="AF73" s="66">
        <f t="shared" si="83"/>
        <v>0</v>
      </c>
      <c r="AG73" s="66">
        <f t="shared" si="84"/>
        <v>0</v>
      </c>
      <c r="AH73" s="66">
        <f t="shared" si="85"/>
        <v>0</v>
      </c>
      <c r="AI73" s="99" t="s">
        <v>450</v>
      </c>
      <c r="AJ73" s="66">
        <f t="shared" si="86"/>
        <v>0</v>
      </c>
      <c r="AK73" s="66">
        <f t="shared" si="87"/>
        <v>0</v>
      </c>
      <c r="AL73" s="66">
        <f t="shared" si="88"/>
        <v>0</v>
      </c>
      <c r="AN73" s="66">
        <v>21</v>
      </c>
      <c r="AO73" s="66">
        <f t="shared" si="98"/>
        <v>0</v>
      </c>
      <c r="AP73" s="66">
        <f t="shared" si="99"/>
        <v>0</v>
      </c>
      <c r="AQ73" s="111" t="s">
        <v>355</v>
      </c>
      <c r="AV73" s="66">
        <f t="shared" si="89"/>
        <v>0</v>
      </c>
      <c r="AW73" s="66">
        <f t="shared" si="90"/>
        <v>0</v>
      </c>
      <c r="AX73" s="66">
        <f t="shared" si="91"/>
        <v>0</v>
      </c>
      <c r="AY73" s="111" t="s">
        <v>509</v>
      </c>
      <c r="AZ73" s="111" t="s">
        <v>233</v>
      </c>
      <c r="BA73" s="99" t="s">
        <v>498</v>
      </c>
      <c r="BC73" s="66">
        <f t="shared" si="92"/>
        <v>0</v>
      </c>
      <c r="BD73" s="66">
        <f t="shared" si="93"/>
        <v>0</v>
      </c>
      <c r="BE73" s="66">
        <v>0</v>
      </c>
      <c r="BF73" s="66">
        <f t="shared" si="94"/>
        <v>0</v>
      </c>
      <c r="BH73" s="66">
        <f t="shared" si="95"/>
        <v>0</v>
      </c>
      <c r="BI73" s="66">
        <f t="shared" si="96"/>
        <v>0</v>
      </c>
      <c r="BJ73" s="66">
        <f t="shared" si="97"/>
        <v>0</v>
      </c>
      <c r="BK73" s="66"/>
      <c r="BL73" s="66">
        <v>98</v>
      </c>
    </row>
    <row r="74" spans="1:64" s="58" customFormat="1" ht="15" customHeight="1">
      <c r="A74" s="64" t="s">
        <v>277</v>
      </c>
      <c r="B74" s="65" t="s">
        <v>450</v>
      </c>
      <c r="C74" s="65" t="s">
        <v>402</v>
      </c>
      <c r="D74" s="174" t="s">
        <v>814</v>
      </c>
      <c r="E74" s="174"/>
      <c r="F74" s="65" t="s">
        <v>311</v>
      </c>
      <c r="G74" s="66">
        <v>92.43399</v>
      </c>
      <c r="H74" s="66"/>
      <c r="I74" s="66">
        <f t="shared" si="74"/>
        <v>0</v>
      </c>
      <c r="J74" s="66">
        <f t="shared" si="75"/>
        <v>0</v>
      </c>
      <c r="K74" s="66">
        <f t="shared" si="76"/>
        <v>0</v>
      </c>
      <c r="L74" s="66">
        <v>0</v>
      </c>
      <c r="M74" s="66">
        <f t="shared" si="77"/>
        <v>0</v>
      </c>
      <c r="N74" s="69" t="s">
        <v>545</v>
      </c>
      <c r="Z74" s="66">
        <f t="shared" si="78"/>
        <v>0</v>
      </c>
      <c r="AB74" s="66">
        <f t="shared" si="79"/>
        <v>0</v>
      </c>
      <c r="AC74" s="66">
        <f t="shared" si="80"/>
        <v>0</v>
      </c>
      <c r="AD74" s="66">
        <f t="shared" si="81"/>
        <v>0</v>
      </c>
      <c r="AE74" s="66">
        <f t="shared" si="82"/>
        <v>0</v>
      </c>
      <c r="AF74" s="66">
        <f t="shared" si="83"/>
        <v>0</v>
      </c>
      <c r="AG74" s="66">
        <f t="shared" si="84"/>
        <v>0</v>
      </c>
      <c r="AH74" s="66">
        <f t="shared" si="85"/>
        <v>0</v>
      </c>
      <c r="AI74" s="99" t="s">
        <v>450</v>
      </c>
      <c r="AJ74" s="66">
        <f t="shared" si="86"/>
        <v>0</v>
      </c>
      <c r="AK74" s="66">
        <f t="shared" si="87"/>
        <v>0</v>
      </c>
      <c r="AL74" s="66">
        <f t="shared" si="88"/>
        <v>0</v>
      </c>
      <c r="AN74" s="66">
        <v>21</v>
      </c>
      <c r="AO74" s="66">
        <f t="shared" si="98"/>
        <v>0</v>
      </c>
      <c r="AP74" s="66">
        <f t="shared" si="99"/>
        <v>0</v>
      </c>
      <c r="AQ74" s="111" t="s">
        <v>355</v>
      </c>
      <c r="AV74" s="66">
        <f t="shared" si="89"/>
        <v>0</v>
      </c>
      <c r="AW74" s="66">
        <f t="shared" si="90"/>
        <v>0</v>
      </c>
      <c r="AX74" s="66">
        <f t="shared" si="91"/>
        <v>0</v>
      </c>
      <c r="AY74" s="111" t="s">
        <v>509</v>
      </c>
      <c r="AZ74" s="111" t="s">
        <v>233</v>
      </c>
      <c r="BA74" s="99" t="s">
        <v>498</v>
      </c>
      <c r="BC74" s="66">
        <f t="shared" si="92"/>
        <v>0</v>
      </c>
      <c r="BD74" s="66">
        <f t="shared" si="93"/>
        <v>0</v>
      </c>
      <c r="BE74" s="66">
        <v>0</v>
      </c>
      <c r="BF74" s="66">
        <f t="shared" si="94"/>
        <v>0</v>
      </c>
      <c r="BH74" s="66">
        <f t="shared" si="95"/>
        <v>0</v>
      </c>
      <c r="BI74" s="66">
        <f t="shared" si="96"/>
        <v>0</v>
      </c>
      <c r="BJ74" s="66">
        <f t="shared" si="97"/>
        <v>0</v>
      </c>
      <c r="BK74" s="66"/>
      <c r="BL74" s="66">
        <v>98</v>
      </c>
    </row>
    <row r="75" spans="1:64" s="58" customFormat="1" ht="15" customHeight="1" thickBot="1">
      <c r="A75" s="64" t="s">
        <v>318</v>
      </c>
      <c r="B75" s="65" t="s">
        <v>450</v>
      </c>
      <c r="C75" s="65" t="s">
        <v>430</v>
      </c>
      <c r="D75" s="174" t="s">
        <v>815</v>
      </c>
      <c r="E75" s="174"/>
      <c r="F75" s="65" t="s">
        <v>311</v>
      </c>
      <c r="G75" s="66">
        <v>0.8505</v>
      </c>
      <c r="H75" s="66"/>
      <c r="I75" s="66">
        <f t="shared" si="74"/>
        <v>0</v>
      </c>
      <c r="J75" s="66">
        <f t="shared" si="75"/>
        <v>0</v>
      </c>
      <c r="K75" s="66">
        <f t="shared" si="76"/>
        <v>0</v>
      </c>
      <c r="L75" s="66">
        <v>0</v>
      </c>
      <c r="M75" s="66">
        <f t="shared" si="77"/>
        <v>0</v>
      </c>
      <c r="N75" s="69" t="s">
        <v>545</v>
      </c>
      <c r="Z75" s="66">
        <f t="shared" si="78"/>
        <v>0</v>
      </c>
      <c r="AB75" s="66">
        <f t="shared" si="79"/>
        <v>0</v>
      </c>
      <c r="AC75" s="66">
        <f t="shared" si="80"/>
        <v>0</v>
      </c>
      <c r="AD75" s="66">
        <f t="shared" si="81"/>
        <v>0</v>
      </c>
      <c r="AE75" s="66">
        <f t="shared" si="82"/>
        <v>0</v>
      </c>
      <c r="AF75" s="66">
        <f t="shared" si="83"/>
        <v>0</v>
      </c>
      <c r="AG75" s="66">
        <f t="shared" si="84"/>
        <v>0</v>
      </c>
      <c r="AH75" s="66">
        <f t="shared" si="85"/>
        <v>0</v>
      </c>
      <c r="AI75" s="99" t="s">
        <v>450</v>
      </c>
      <c r="AJ75" s="66">
        <f t="shared" si="86"/>
        <v>0</v>
      </c>
      <c r="AK75" s="66">
        <f t="shared" si="87"/>
        <v>0</v>
      </c>
      <c r="AL75" s="66">
        <f t="shared" si="88"/>
        <v>0</v>
      </c>
      <c r="AN75" s="66">
        <v>21</v>
      </c>
      <c r="AO75" s="66">
        <f t="shared" si="98"/>
        <v>0</v>
      </c>
      <c r="AP75" s="66">
        <f t="shared" si="99"/>
        <v>0</v>
      </c>
      <c r="AQ75" s="111" t="s">
        <v>355</v>
      </c>
      <c r="AV75" s="66">
        <f t="shared" si="89"/>
        <v>0</v>
      </c>
      <c r="AW75" s="66">
        <f t="shared" si="90"/>
        <v>0</v>
      </c>
      <c r="AX75" s="66">
        <f t="shared" si="91"/>
        <v>0</v>
      </c>
      <c r="AY75" s="111" t="s">
        <v>509</v>
      </c>
      <c r="AZ75" s="111" t="s">
        <v>233</v>
      </c>
      <c r="BA75" s="99" t="s">
        <v>498</v>
      </c>
      <c r="BC75" s="66">
        <f t="shared" si="92"/>
        <v>0</v>
      </c>
      <c r="BD75" s="66">
        <f t="shared" si="93"/>
        <v>0</v>
      </c>
      <c r="BE75" s="66">
        <v>0</v>
      </c>
      <c r="BF75" s="66">
        <f t="shared" si="94"/>
        <v>0</v>
      </c>
      <c r="BH75" s="66">
        <f t="shared" si="95"/>
        <v>0</v>
      </c>
      <c r="BI75" s="66">
        <f t="shared" si="96"/>
        <v>0</v>
      </c>
      <c r="BJ75" s="66">
        <f t="shared" si="97"/>
        <v>0</v>
      </c>
      <c r="BK75" s="66"/>
      <c r="BL75" s="66">
        <v>98</v>
      </c>
    </row>
    <row r="76" spans="1:14" s="58" customFormat="1" ht="15" customHeight="1" thickBot="1">
      <c r="A76" s="106"/>
      <c r="B76" s="107"/>
      <c r="C76" s="107"/>
      <c r="D76" s="107"/>
      <c r="E76" s="107"/>
      <c r="F76" s="107"/>
      <c r="G76" s="107"/>
      <c r="H76" s="107"/>
      <c r="I76" s="243" t="s">
        <v>520</v>
      </c>
      <c r="J76" s="243"/>
      <c r="K76" s="45">
        <f>K12+K15+K18+K20+K22+K24+K33+K46+K48+K50+K65</f>
        <v>0</v>
      </c>
      <c r="L76" s="107"/>
      <c r="M76" s="107"/>
      <c r="N76" s="108"/>
    </row>
    <row r="77" s="58" customFormat="1" ht="15" customHeight="1">
      <c r="A77" s="73"/>
    </row>
    <row r="78" spans="1:14" s="58" customFormat="1" ht="12.75" customHeight="1">
      <c r="A78" s="129" t="s">
        <v>450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</row>
    <row r="79" s="58" customFormat="1" ht="15" customHeight="1"/>
    <row r="80" s="58" customFormat="1" ht="15" customHeight="1"/>
    <row r="81" s="58" customFormat="1" ht="15" customHeight="1"/>
    <row r="82" s="58" customFormat="1" ht="15" customHeight="1"/>
    <row r="83" s="58" customFormat="1" ht="15" customHeight="1"/>
    <row r="84" s="58" customFormat="1" ht="15" customHeight="1"/>
    <row r="85" s="58" customFormat="1" ht="15" customHeight="1"/>
    <row r="86" s="58" customFormat="1" ht="15" customHeight="1"/>
    <row r="87" s="58" customFormat="1" ht="15" customHeight="1"/>
    <row r="88" s="58" customFormat="1" ht="15" customHeight="1"/>
    <row r="89" s="58" customFormat="1" ht="15" customHeight="1"/>
    <row r="90" s="58" customFormat="1" ht="15" customHeight="1"/>
    <row r="91" s="58" customFormat="1" ht="15" customHeight="1"/>
    <row r="92" s="58" customFormat="1" ht="15" customHeight="1"/>
    <row r="93" s="58" customFormat="1" ht="15" customHeight="1"/>
    <row r="94" s="58" customFormat="1" ht="15" customHeight="1"/>
    <row r="95" s="58" customFormat="1" ht="15" customHeight="1"/>
    <row r="96" s="58" customFormat="1" ht="15" customHeight="1"/>
    <row r="97" s="58" customFormat="1" ht="15" customHeight="1"/>
    <row r="98" s="58" customFormat="1" ht="15" customHeight="1"/>
    <row r="99" s="58" customFormat="1" ht="15" customHeight="1"/>
    <row r="100" s="58" customFormat="1" ht="15" customHeight="1"/>
    <row r="101" s="58" customFormat="1" ht="15" customHeight="1"/>
    <row r="102" s="58" customFormat="1" ht="15" customHeight="1"/>
    <row r="103" s="58" customFormat="1" ht="15" customHeight="1"/>
    <row r="104" s="58" customFormat="1" ht="15" customHeight="1"/>
    <row r="105" s="58" customFormat="1" ht="15" customHeight="1"/>
    <row r="106" s="58" customFormat="1" ht="15" customHeight="1"/>
    <row r="107" s="58" customFormat="1" ht="15" customHeight="1"/>
    <row r="108" s="58" customFormat="1" ht="15" customHeight="1"/>
    <row r="109" s="58" customFormat="1" ht="15" customHeight="1"/>
    <row r="110" s="58" customFormat="1" ht="15" customHeight="1"/>
  </sheetData>
  <sheetProtection/>
  <mergeCells count="95">
    <mergeCell ref="I76:J76"/>
    <mergeCell ref="A78:N78"/>
    <mergeCell ref="D74:E74"/>
    <mergeCell ref="D75:E75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10:E10"/>
    <mergeCell ref="I10:K10"/>
    <mergeCell ref="L10:M10"/>
    <mergeCell ref="D11:E11"/>
    <mergeCell ref="D12:E12"/>
    <mergeCell ref="D13:E13"/>
    <mergeCell ref="A8:C9"/>
    <mergeCell ref="J8:K9"/>
    <mergeCell ref="L8:N9"/>
    <mergeCell ref="D8:F9"/>
    <mergeCell ref="G8:H9"/>
    <mergeCell ref="I8:I9"/>
    <mergeCell ref="A6:C7"/>
    <mergeCell ref="J6:K7"/>
    <mergeCell ref="L6:N7"/>
    <mergeCell ref="D6:F7"/>
    <mergeCell ref="G6:H7"/>
    <mergeCell ref="I6:I7"/>
    <mergeCell ref="A4:C5"/>
    <mergeCell ref="J4:K5"/>
    <mergeCell ref="L4:N5"/>
    <mergeCell ref="D4:F5"/>
    <mergeCell ref="G4:H5"/>
    <mergeCell ref="I4:I5"/>
    <mergeCell ref="A1:N1"/>
    <mergeCell ref="A2:C3"/>
    <mergeCell ref="J2:K3"/>
    <mergeCell ref="L2:N3"/>
    <mergeCell ref="D2:F3"/>
    <mergeCell ref="G2:H3"/>
    <mergeCell ref="I2:I3"/>
  </mergeCells>
  <printOptions/>
  <pageMargins left="0.394" right="0.394" top="0.591" bottom="0.47" header="0" footer="0"/>
  <pageSetup firstPageNumber="0" useFirstPageNumber="1" fitToHeight="0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showOutlineSymbols="0" zoomScalePageLayoutView="0" workbookViewId="0" topLeftCell="A100">
      <selection activeCell="D139" sqref="D139"/>
    </sheetView>
  </sheetViews>
  <sheetFormatPr defaultColWidth="21.25" defaultRowHeight="15" customHeight="1"/>
  <cols>
    <col min="1" max="1" width="6.5" style="0" customWidth="1"/>
    <col min="2" max="2" width="19.25" style="0" customWidth="1"/>
    <col min="3" max="3" width="21.5" style="0" customWidth="1"/>
    <col min="4" max="4" width="146.25" style="0" customWidth="1"/>
    <col min="5" max="5" width="22.25" style="0" customWidth="1"/>
    <col min="6" max="6" width="28.25" style="0" customWidth="1"/>
    <col min="7" max="7" width="18.25" style="0" customWidth="1"/>
  </cols>
  <sheetData>
    <row r="1" spans="1:7" ht="54.75" customHeight="1" thickBot="1">
      <c r="A1" s="192" t="s">
        <v>642</v>
      </c>
      <c r="B1" s="192"/>
      <c r="C1" s="192"/>
      <c r="D1" s="192"/>
      <c r="E1" s="192"/>
      <c r="F1" s="192"/>
      <c r="G1" s="192"/>
    </row>
    <row r="2" spans="1:7" ht="15" customHeight="1">
      <c r="A2" s="245" t="s">
        <v>37</v>
      </c>
      <c r="B2" s="246"/>
      <c r="C2" s="248" t="str">
        <f>'[1]Stavební rozpočet'!D2</f>
        <v>Demolice bývalé ZUŠ</v>
      </c>
      <c r="D2" s="249"/>
      <c r="E2" s="250" t="s">
        <v>550</v>
      </c>
      <c r="F2" s="250" t="str">
        <f>'[1]Stavební rozpočet'!L2</f>
        <v> </v>
      </c>
      <c r="G2" s="251"/>
    </row>
    <row r="3" spans="1:7" ht="15" customHeight="1">
      <c r="A3" s="247"/>
      <c r="B3" s="174"/>
      <c r="C3" s="176"/>
      <c r="D3" s="176"/>
      <c r="E3" s="174"/>
      <c r="F3" s="174"/>
      <c r="G3" s="252"/>
    </row>
    <row r="4" spans="1:7" ht="15" customHeight="1">
      <c r="A4" s="253" t="s">
        <v>364</v>
      </c>
      <c r="B4" s="174"/>
      <c r="C4" s="129" t="str">
        <f>'[1]Stavební rozpočet'!D4</f>
        <v>Demolice kůlny</v>
      </c>
      <c r="D4" s="174"/>
      <c r="E4" s="129" t="s">
        <v>448</v>
      </c>
      <c r="F4" s="129" t="str">
        <f>'[1]Stavební rozpočet'!L4</f>
        <v> </v>
      </c>
      <c r="G4" s="252"/>
    </row>
    <row r="5" spans="1:7" ht="15" customHeight="1">
      <c r="A5" s="247"/>
      <c r="B5" s="174"/>
      <c r="C5" s="174"/>
      <c r="D5" s="174"/>
      <c r="E5" s="174"/>
      <c r="F5" s="174"/>
      <c r="G5" s="252"/>
    </row>
    <row r="6" spans="1:7" ht="15" customHeight="1">
      <c r="A6" s="253" t="s">
        <v>54</v>
      </c>
      <c r="B6" s="174"/>
      <c r="C6" s="129" t="str">
        <f>'[1]Stavební rozpočet'!D6</f>
        <v>Zábřeh, Sušilova ulice</v>
      </c>
      <c r="D6" s="174"/>
      <c r="E6" s="129" t="s">
        <v>565</v>
      </c>
      <c r="F6" s="129" t="str">
        <f>'[1]Stavební rozpočet'!L6</f>
        <v> </v>
      </c>
      <c r="G6" s="252"/>
    </row>
    <row r="7" spans="1:7" ht="15" customHeight="1">
      <c r="A7" s="247"/>
      <c r="B7" s="174"/>
      <c r="C7" s="174"/>
      <c r="D7" s="174"/>
      <c r="E7" s="174"/>
      <c r="F7" s="174"/>
      <c r="G7" s="252"/>
    </row>
    <row r="8" spans="1:7" ht="15" customHeight="1">
      <c r="A8" s="253" t="s">
        <v>436</v>
      </c>
      <c r="B8" s="174"/>
      <c r="C8" s="129" t="str">
        <f>'[1]Stavební rozpočet'!L8</f>
        <v>Ing. Petr Hošek</v>
      </c>
      <c r="D8" s="174"/>
      <c r="E8" s="129" t="s">
        <v>373</v>
      </c>
      <c r="F8" s="254">
        <v>44890</v>
      </c>
      <c r="G8" s="252"/>
    </row>
    <row r="9" spans="1:7" ht="15" customHeight="1" thickBot="1">
      <c r="A9" s="247"/>
      <c r="B9" s="174"/>
      <c r="C9" s="174"/>
      <c r="D9" s="174"/>
      <c r="E9" s="174"/>
      <c r="F9" s="174"/>
      <c r="G9" s="252"/>
    </row>
    <row r="10" spans="1:7" ht="15" customHeight="1" thickBot="1">
      <c r="A10" s="74" t="s">
        <v>45</v>
      </c>
      <c r="B10" s="63" t="s">
        <v>479</v>
      </c>
      <c r="C10" s="63" t="s">
        <v>211</v>
      </c>
      <c r="D10" s="255" t="s">
        <v>703</v>
      </c>
      <c r="E10" s="256"/>
      <c r="F10" s="63" t="s">
        <v>227</v>
      </c>
      <c r="G10" s="75" t="s">
        <v>394</v>
      </c>
    </row>
    <row r="11" spans="1:7" ht="15" customHeight="1">
      <c r="A11" s="76" t="s">
        <v>644</v>
      </c>
      <c r="B11" s="65" t="s">
        <v>450</v>
      </c>
      <c r="C11" s="65" t="s">
        <v>569</v>
      </c>
      <c r="D11" s="174" t="s">
        <v>288</v>
      </c>
      <c r="E11" s="174"/>
      <c r="F11" s="65" t="s">
        <v>635</v>
      </c>
      <c r="G11" s="77">
        <v>10.519300000000001</v>
      </c>
    </row>
    <row r="12" spans="1:7" ht="15" customHeight="1">
      <c r="A12" s="78"/>
      <c r="B12" s="58"/>
      <c r="C12" s="58"/>
      <c r="D12" s="68" t="s">
        <v>742</v>
      </c>
      <c r="E12" s="189" t="s">
        <v>450</v>
      </c>
      <c r="F12" s="189"/>
      <c r="G12" s="79">
        <v>10.519300000000001</v>
      </c>
    </row>
    <row r="13" spans="1:7" ht="15" customHeight="1">
      <c r="A13" s="76" t="s">
        <v>447</v>
      </c>
      <c r="B13" s="65" t="s">
        <v>450</v>
      </c>
      <c r="C13" s="65" t="s">
        <v>204</v>
      </c>
      <c r="D13" s="174" t="s">
        <v>399</v>
      </c>
      <c r="E13" s="174"/>
      <c r="F13" s="65" t="s">
        <v>538</v>
      </c>
      <c r="G13" s="77">
        <v>3.9000000000000004</v>
      </c>
    </row>
    <row r="14" spans="1:7" ht="15" customHeight="1">
      <c r="A14" s="78"/>
      <c r="B14" s="58"/>
      <c r="C14" s="58"/>
      <c r="D14" s="68" t="s">
        <v>743</v>
      </c>
      <c r="E14" s="189" t="s">
        <v>450</v>
      </c>
      <c r="F14" s="189"/>
      <c r="G14" s="79">
        <v>3.9000000000000004</v>
      </c>
    </row>
    <row r="15" spans="1:7" ht="15" customHeight="1">
      <c r="A15" s="76" t="s">
        <v>559</v>
      </c>
      <c r="B15" s="65" t="s">
        <v>450</v>
      </c>
      <c r="C15" s="65" t="s">
        <v>472</v>
      </c>
      <c r="D15" s="174" t="s">
        <v>346</v>
      </c>
      <c r="E15" s="174"/>
      <c r="F15" s="65" t="s">
        <v>621</v>
      </c>
      <c r="G15" s="77">
        <v>7.23432</v>
      </c>
    </row>
    <row r="16" spans="1:7" ht="15" customHeight="1">
      <c r="A16" s="78"/>
      <c r="B16" s="58"/>
      <c r="C16" s="58"/>
      <c r="D16" s="68" t="s">
        <v>744</v>
      </c>
      <c r="E16" s="189" t="s">
        <v>450</v>
      </c>
      <c r="F16" s="189"/>
      <c r="G16" s="79">
        <v>4.496700000000001</v>
      </c>
    </row>
    <row r="17" spans="1:7" ht="15" customHeight="1">
      <c r="A17" s="76" t="s">
        <v>450</v>
      </c>
      <c r="B17" s="65" t="s">
        <v>450</v>
      </c>
      <c r="C17" s="65" t="s">
        <v>450</v>
      </c>
      <c r="D17" s="68" t="s">
        <v>745</v>
      </c>
      <c r="E17" s="189" t="s">
        <v>450</v>
      </c>
      <c r="F17" s="189"/>
      <c r="G17" s="79">
        <v>2.73762</v>
      </c>
    </row>
    <row r="18" spans="1:7" ht="15" customHeight="1">
      <c r="A18" s="76" t="s">
        <v>78</v>
      </c>
      <c r="B18" s="65" t="s">
        <v>450</v>
      </c>
      <c r="C18" s="65" t="s">
        <v>49</v>
      </c>
      <c r="D18" s="174" t="s">
        <v>366</v>
      </c>
      <c r="E18" s="174"/>
      <c r="F18" s="65" t="s">
        <v>311</v>
      </c>
      <c r="G18" s="77">
        <v>7.59604</v>
      </c>
    </row>
    <row r="19" spans="1:7" ht="15" customHeight="1">
      <c r="A19" s="78"/>
      <c r="B19" s="58"/>
      <c r="C19" s="58"/>
      <c r="D19" s="68" t="s">
        <v>746</v>
      </c>
      <c r="E19" s="189" t="s">
        <v>450</v>
      </c>
      <c r="F19" s="189"/>
      <c r="G19" s="79">
        <v>7.23432</v>
      </c>
    </row>
    <row r="20" spans="1:7" ht="15" customHeight="1">
      <c r="A20" s="76" t="s">
        <v>450</v>
      </c>
      <c r="B20" s="65" t="s">
        <v>450</v>
      </c>
      <c r="C20" s="65" t="s">
        <v>450</v>
      </c>
      <c r="D20" s="68" t="s">
        <v>747</v>
      </c>
      <c r="E20" s="189" t="s">
        <v>450</v>
      </c>
      <c r="F20" s="189"/>
      <c r="G20" s="79">
        <v>0.36172000000000004</v>
      </c>
    </row>
    <row r="21" spans="1:7" ht="15" customHeight="1">
      <c r="A21" s="76" t="s">
        <v>355</v>
      </c>
      <c r="B21" s="65" t="s">
        <v>450</v>
      </c>
      <c r="C21" s="65" t="s">
        <v>748</v>
      </c>
      <c r="D21" s="174" t="s">
        <v>749</v>
      </c>
      <c r="E21" s="174"/>
      <c r="F21" s="65" t="s">
        <v>635</v>
      </c>
      <c r="G21" s="77">
        <v>53.41930000000001</v>
      </c>
    </row>
    <row r="22" spans="1:7" ht="15" customHeight="1">
      <c r="A22" s="78"/>
      <c r="B22" s="58"/>
      <c r="C22" s="58"/>
      <c r="D22" s="68" t="s">
        <v>750</v>
      </c>
      <c r="E22" s="189" t="s">
        <v>450</v>
      </c>
      <c r="F22" s="189"/>
      <c r="G22" s="79">
        <v>53.41930000000001</v>
      </c>
    </row>
    <row r="23" spans="1:7" ht="15" customHeight="1">
      <c r="A23" s="76" t="s">
        <v>107</v>
      </c>
      <c r="B23" s="65" t="s">
        <v>450</v>
      </c>
      <c r="C23" s="65" t="s">
        <v>751</v>
      </c>
      <c r="D23" s="174" t="s">
        <v>752</v>
      </c>
      <c r="E23" s="174"/>
      <c r="F23" s="65" t="s">
        <v>635</v>
      </c>
      <c r="G23" s="77">
        <v>8.4732</v>
      </c>
    </row>
    <row r="24" spans="1:7" ht="15" customHeight="1">
      <c r="A24" s="78"/>
      <c r="B24" s="58"/>
      <c r="C24" s="58"/>
      <c r="D24" s="68" t="s">
        <v>753</v>
      </c>
      <c r="E24" s="189" t="s">
        <v>450</v>
      </c>
      <c r="F24" s="189"/>
      <c r="G24" s="79">
        <v>8.4732</v>
      </c>
    </row>
    <row r="25" spans="1:7" ht="15" customHeight="1">
      <c r="A25" s="76" t="s">
        <v>652</v>
      </c>
      <c r="B25" s="65" t="s">
        <v>450</v>
      </c>
      <c r="C25" s="65" t="s">
        <v>226</v>
      </c>
      <c r="D25" s="174" t="s">
        <v>298</v>
      </c>
      <c r="E25" s="174"/>
      <c r="F25" s="65" t="s">
        <v>635</v>
      </c>
      <c r="G25" s="77">
        <v>60.75000000000001</v>
      </c>
    </row>
    <row r="26" spans="1:7" ht="15" customHeight="1">
      <c r="A26" s="78"/>
      <c r="B26" s="58"/>
      <c r="C26" s="58"/>
      <c r="D26" s="68" t="s">
        <v>754</v>
      </c>
      <c r="E26" s="189" t="s">
        <v>450</v>
      </c>
      <c r="F26" s="189"/>
      <c r="G26" s="79">
        <v>60.75000000000001</v>
      </c>
    </row>
    <row r="27" spans="1:7" ht="15" customHeight="1">
      <c r="A27" s="76" t="s">
        <v>519</v>
      </c>
      <c r="B27" s="65" t="s">
        <v>450</v>
      </c>
      <c r="C27" s="65" t="s">
        <v>755</v>
      </c>
      <c r="D27" s="174" t="s">
        <v>756</v>
      </c>
      <c r="E27" s="174"/>
      <c r="F27" s="65" t="s">
        <v>635</v>
      </c>
      <c r="G27" s="77">
        <v>33.5415</v>
      </c>
    </row>
    <row r="28" spans="1:7" ht="15" customHeight="1">
      <c r="A28" s="78"/>
      <c r="B28" s="58"/>
      <c r="C28" s="58"/>
      <c r="D28" s="68" t="s">
        <v>757</v>
      </c>
      <c r="E28" s="189" t="s">
        <v>450</v>
      </c>
      <c r="F28" s="189"/>
      <c r="G28" s="79">
        <v>33.5415</v>
      </c>
    </row>
    <row r="29" spans="1:7" ht="15" customHeight="1">
      <c r="A29" s="76" t="s">
        <v>249</v>
      </c>
      <c r="B29" s="65" t="s">
        <v>450</v>
      </c>
      <c r="C29" s="65" t="s">
        <v>758</v>
      </c>
      <c r="D29" s="174" t="s">
        <v>759</v>
      </c>
      <c r="E29" s="174"/>
      <c r="F29" s="65" t="s">
        <v>635</v>
      </c>
      <c r="G29" s="77">
        <v>33.5415</v>
      </c>
    </row>
    <row r="30" spans="1:7" ht="15" customHeight="1">
      <c r="A30" s="78"/>
      <c r="B30" s="58"/>
      <c r="C30" s="58"/>
      <c r="D30" s="68" t="s">
        <v>757</v>
      </c>
      <c r="E30" s="189" t="s">
        <v>450</v>
      </c>
      <c r="F30" s="189"/>
      <c r="G30" s="79">
        <v>33.5415</v>
      </c>
    </row>
    <row r="31" spans="1:7" ht="15" customHeight="1">
      <c r="A31" s="76" t="s">
        <v>380</v>
      </c>
      <c r="B31" s="65" t="s">
        <v>450</v>
      </c>
      <c r="C31" s="65" t="s">
        <v>760</v>
      </c>
      <c r="D31" s="174" t="s">
        <v>761</v>
      </c>
      <c r="E31" s="174"/>
      <c r="F31" s="65" t="s">
        <v>538</v>
      </c>
      <c r="G31" s="77">
        <v>18</v>
      </c>
    </row>
    <row r="32" spans="1:7" ht="15" customHeight="1">
      <c r="A32" s="78"/>
      <c r="B32" s="58"/>
      <c r="C32" s="58"/>
      <c r="D32" s="68" t="s">
        <v>762</v>
      </c>
      <c r="E32" s="189" t="s">
        <v>450</v>
      </c>
      <c r="F32" s="189"/>
      <c r="G32" s="79">
        <v>0</v>
      </c>
    </row>
    <row r="33" spans="1:7" ht="15" customHeight="1">
      <c r="A33" s="76" t="s">
        <v>450</v>
      </c>
      <c r="B33" s="65" t="s">
        <v>450</v>
      </c>
      <c r="C33" s="65" t="s">
        <v>450</v>
      </c>
      <c r="D33" s="68" t="s">
        <v>763</v>
      </c>
      <c r="E33" s="189" t="s">
        <v>450</v>
      </c>
      <c r="F33" s="189"/>
      <c r="G33" s="79">
        <v>18</v>
      </c>
    </row>
    <row r="34" spans="1:7" ht="15" customHeight="1">
      <c r="A34" s="76" t="s">
        <v>544</v>
      </c>
      <c r="B34" s="65" t="s">
        <v>450</v>
      </c>
      <c r="C34" s="65" t="s">
        <v>385</v>
      </c>
      <c r="D34" s="174" t="s">
        <v>299</v>
      </c>
      <c r="E34" s="174"/>
      <c r="F34" s="65" t="s">
        <v>538</v>
      </c>
      <c r="G34" s="77">
        <v>126.30000000000001</v>
      </c>
    </row>
    <row r="35" spans="1:7" ht="15" customHeight="1">
      <c r="A35" s="78"/>
      <c r="B35" s="58"/>
      <c r="C35" s="58"/>
      <c r="D35" s="68" t="s">
        <v>243</v>
      </c>
      <c r="E35" s="189" t="s">
        <v>450</v>
      </c>
      <c r="F35" s="189"/>
      <c r="G35" s="79">
        <v>0</v>
      </c>
    </row>
    <row r="36" spans="1:7" ht="15" customHeight="1">
      <c r="A36" s="76" t="s">
        <v>450</v>
      </c>
      <c r="B36" s="65" t="s">
        <v>450</v>
      </c>
      <c r="C36" s="65" t="s">
        <v>450</v>
      </c>
      <c r="D36" s="68" t="s">
        <v>764</v>
      </c>
      <c r="E36" s="189" t="s">
        <v>450</v>
      </c>
      <c r="F36" s="189"/>
      <c r="G36" s="79">
        <v>57.6</v>
      </c>
    </row>
    <row r="37" spans="1:7" ht="15" customHeight="1">
      <c r="A37" s="76" t="s">
        <v>450</v>
      </c>
      <c r="B37" s="65" t="s">
        <v>450</v>
      </c>
      <c r="C37" s="65" t="s">
        <v>450</v>
      </c>
      <c r="D37" s="68" t="s">
        <v>193</v>
      </c>
      <c r="E37" s="189" t="s">
        <v>450</v>
      </c>
      <c r="F37" s="189"/>
      <c r="G37" s="79">
        <v>0</v>
      </c>
    </row>
    <row r="38" spans="1:7" ht="15" customHeight="1">
      <c r="A38" s="76" t="s">
        <v>450</v>
      </c>
      <c r="B38" s="65" t="s">
        <v>450</v>
      </c>
      <c r="C38" s="65" t="s">
        <v>450</v>
      </c>
      <c r="D38" s="68" t="s">
        <v>765</v>
      </c>
      <c r="E38" s="189" t="s">
        <v>450</v>
      </c>
      <c r="F38" s="189"/>
      <c r="G38" s="79">
        <v>7.500000000000001</v>
      </c>
    </row>
    <row r="39" spans="1:7" ht="15" customHeight="1">
      <c r="A39" s="76" t="s">
        <v>450</v>
      </c>
      <c r="B39" s="65" t="s">
        <v>450</v>
      </c>
      <c r="C39" s="65" t="s">
        <v>450</v>
      </c>
      <c r="D39" s="68" t="s">
        <v>431</v>
      </c>
      <c r="E39" s="189" t="s">
        <v>450</v>
      </c>
      <c r="F39" s="189"/>
      <c r="G39" s="79">
        <v>0</v>
      </c>
    </row>
    <row r="40" spans="1:7" ht="15" customHeight="1">
      <c r="A40" s="76" t="s">
        <v>450</v>
      </c>
      <c r="B40" s="65" t="s">
        <v>450</v>
      </c>
      <c r="C40" s="65" t="s">
        <v>450</v>
      </c>
      <c r="D40" s="68" t="s">
        <v>766</v>
      </c>
      <c r="E40" s="189" t="s">
        <v>450</v>
      </c>
      <c r="F40" s="189"/>
      <c r="G40" s="79">
        <v>8</v>
      </c>
    </row>
    <row r="41" spans="1:7" ht="15" customHeight="1">
      <c r="A41" s="76" t="s">
        <v>450</v>
      </c>
      <c r="B41" s="65" t="s">
        <v>450</v>
      </c>
      <c r="C41" s="65" t="s">
        <v>450</v>
      </c>
      <c r="D41" s="68" t="s">
        <v>767</v>
      </c>
      <c r="E41" s="189" t="s">
        <v>450</v>
      </c>
      <c r="F41" s="189"/>
      <c r="G41" s="79">
        <v>0</v>
      </c>
    </row>
    <row r="42" spans="1:7" ht="15" customHeight="1">
      <c r="A42" s="76" t="s">
        <v>450</v>
      </c>
      <c r="B42" s="65" t="s">
        <v>450</v>
      </c>
      <c r="C42" s="65" t="s">
        <v>450</v>
      </c>
      <c r="D42" s="68" t="s">
        <v>768</v>
      </c>
      <c r="E42" s="189" t="s">
        <v>450</v>
      </c>
      <c r="F42" s="189"/>
      <c r="G42" s="79">
        <v>8</v>
      </c>
    </row>
    <row r="43" spans="1:7" ht="15" customHeight="1">
      <c r="A43" s="76" t="s">
        <v>450</v>
      </c>
      <c r="B43" s="65" t="s">
        <v>450</v>
      </c>
      <c r="C43" s="65" t="s">
        <v>450</v>
      </c>
      <c r="D43" s="68" t="s">
        <v>769</v>
      </c>
      <c r="E43" s="189" t="s">
        <v>450</v>
      </c>
      <c r="F43" s="189"/>
      <c r="G43" s="79">
        <v>0</v>
      </c>
    </row>
    <row r="44" spans="1:7" ht="15" customHeight="1">
      <c r="A44" s="76" t="s">
        <v>450</v>
      </c>
      <c r="B44" s="65" t="s">
        <v>450</v>
      </c>
      <c r="C44" s="65" t="s">
        <v>450</v>
      </c>
      <c r="D44" s="68" t="s">
        <v>770</v>
      </c>
      <c r="E44" s="189" t="s">
        <v>450</v>
      </c>
      <c r="F44" s="189"/>
      <c r="G44" s="79">
        <v>31.200000000000003</v>
      </c>
    </row>
    <row r="45" spans="1:7" ht="15" customHeight="1">
      <c r="A45" s="76" t="s">
        <v>450</v>
      </c>
      <c r="B45" s="65" t="s">
        <v>450</v>
      </c>
      <c r="C45" s="65" t="s">
        <v>450</v>
      </c>
      <c r="D45" s="68" t="s">
        <v>771</v>
      </c>
      <c r="E45" s="189" t="s">
        <v>450</v>
      </c>
      <c r="F45" s="189"/>
      <c r="G45" s="79">
        <v>0</v>
      </c>
    </row>
    <row r="46" spans="1:7" ht="15" customHeight="1">
      <c r="A46" s="76" t="s">
        <v>450</v>
      </c>
      <c r="B46" s="65" t="s">
        <v>450</v>
      </c>
      <c r="C46" s="65" t="s">
        <v>450</v>
      </c>
      <c r="D46" s="68" t="s">
        <v>772</v>
      </c>
      <c r="E46" s="189" t="s">
        <v>450</v>
      </c>
      <c r="F46" s="189"/>
      <c r="G46" s="79">
        <v>14.000000000000002</v>
      </c>
    </row>
    <row r="47" spans="1:7" ht="15" customHeight="1">
      <c r="A47" s="76" t="s">
        <v>473</v>
      </c>
      <c r="B47" s="65" t="s">
        <v>450</v>
      </c>
      <c r="C47" s="65" t="s">
        <v>34</v>
      </c>
      <c r="D47" s="174" t="s">
        <v>97</v>
      </c>
      <c r="E47" s="174"/>
      <c r="F47" s="65" t="s">
        <v>635</v>
      </c>
      <c r="G47" s="77">
        <v>60.75000000000001</v>
      </c>
    </row>
    <row r="48" spans="1:7" ht="15" customHeight="1">
      <c r="A48" s="78"/>
      <c r="B48" s="58"/>
      <c r="C48" s="58"/>
      <c r="D48" s="68" t="s">
        <v>754</v>
      </c>
      <c r="E48" s="189" t="s">
        <v>450</v>
      </c>
      <c r="F48" s="189"/>
      <c r="G48" s="79">
        <v>60.75000000000001</v>
      </c>
    </row>
    <row r="49" spans="1:7" ht="15" customHeight="1">
      <c r="A49" s="76" t="s">
        <v>190</v>
      </c>
      <c r="B49" s="65" t="s">
        <v>450</v>
      </c>
      <c r="C49" s="65" t="s">
        <v>601</v>
      </c>
      <c r="D49" s="174" t="s">
        <v>259</v>
      </c>
      <c r="E49" s="174"/>
      <c r="F49" s="65" t="s">
        <v>635</v>
      </c>
      <c r="G49" s="77">
        <v>13.6881</v>
      </c>
    </row>
    <row r="50" spans="1:7" ht="15" customHeight="1">
      <c r="A50" s="78"/>
      <c r="B50" s="58"/>
      <c r="C50" s="58"/>
      <c r="D50" s="68" t="s">
        <v>773</v>
      </c>
      <c r="E50" s="189" t="s">
        <v>450</v>
      </c>
      <c r="F50" s="189"/>
      <c r="G50" s="79">
        <v>13.6881</v>
      </c>
    </row>
    <row r="51" spans="1:7" ht="15" customHeight="1">
      <c r="A51" s="76" t="s">
        <v>386</v>
      </c>
      <c r="B51" s="65" t="s">
        <v>450</v>
      </c>
      <c r="C51" s="65" t="s">
        <v>577</v>
      </c>
      <c r="D51" s="174" t="s">
        <v>2</v>
      </c>
      <c r="E51" s="174"/>
      <c r="F51" s="65" t="s">
        <v>635</v>
      </c>
      <c r="G51" s="77">
        <v>13.6881</v>
      </c>
    </row>
    <row r="52" spans="1:7" ht="15" customHeight="1">
      <c r="A52" s="78"/>
      <c r="B52" s="58"/>
      <c r="C52" s="58"/>
      <c r="D52" s="68" t="s">
        <v>773</v>
      </c>
      <c r="E52" s="189" t="s">
        <v>450</v>
      </c>
      <c r="F52" s="189"/>
      <c r="G52" s="79">
        <v>13.6881</v>
      </c>
    </row>
    <row r="53" spans="1:7" ht="15" customHeight="1">
      <c r="A53" s="76" t="s">
        <v>258</v>
      </c>
      <c r="B53" s="65" t="s">
        <v>450</v>
      </c>
      <c r="C53" s="65" t="s">
        <v>774</v>
      </c>
      <c r="D53" s="174" t="s">
        <v>775</v>
      </c>
      <c r="E53" s="174"/>
      <c r="F53" s="65" t="s">
        <v>635</v>
      </c>
      <c r="G53" s="77">
        <v>10.519300000000001</v>
      </c>
    </row>
    <row r="54" spans="1:7" ht="15" customHeight="1">
      <c r="A54" s="78"/>
      <c r="B54" s="58"/>
      <c r="C54" s="58"/>
      <c r="D54" s="68" t="s">
        <v>742</v>
      </c>
      <c r="E54" s="189" t="s">
        <v>450</v>
      </c>
      <c r="F54" s="189"/>
      <c r="G54" s="79">
        <v>10.519300000000001</v>
      </c>
    </row>
    <row r="55" spans="1:7" ht="15" customHeight="1">
      <c r="A55" s="76" t="s">
        <v>59</v>
      </c>
      <c r="B55" s="65" t="s">
        <v>450</v>
      </c>
      <c r="C55" s="65" t="s">
        <v>343</v>
      </c>
      <c r="D55" s="174" t="s">
        <v>253</v>
      </c>
      <c r="E55" s="174"/>
      <c r="F55" s="65" t="s">
        <v>538</v>
      </c>
      <c r="G55" s="77">
        <v>15.200000000000001</v>
      </c>
    </row>
    <row r="56" spans="1:7" ht="15" customHeight="1">
      <c r="A56" s="78"/>
      <c r="B56" s="58"/>
      <c r="C56" s="58"/>
      <c r="D56" s="68" t="s">
        <v>446</v>
      </c>
      <c r="E56" s="189" t="s">
        <v>450</v>
      </c>
      <c r="F56" s="189"/>
      <c r="G56" s="79">
        <v>15.200000000000001</v>
      </c>
    </row>
    <row r="57" spans="1:7" ht="15" customHeight="1">
      <c r="A57" s="76" t="s">
        <v>452</v>
      </c>
      <c r="B57" s="65" t="s">
        <v>450</v>
      </c>
      <c r="C57" s="65" t="s">
        <v>404</v>
      </c>
      <c r="D57" s="174" t="s">
        <v>162</v>
      </c>
      <c r="E57" s="174"/>
      <c r="F57" s="65" t="s">
        <v>538</v>
      </c>
      <c r="G57" s="77">
        <v>62.60000000000001</v>
      </c>
    </row>
    <row r="58" spans="1:7" ht="15" customHeight="1">
      <c r="A58" s="78"/>
      <c r="B58" s="58"/>
      <c r="C58" s="58"/>
      <c r="D58" s="68" t="s">
        <v>138</v>
      </c>
      <c r="E58" s="189" t="s">
        <v>450</v>
      </c>
      <c r="F58" s="189"/>
      <c r="G58" s="79">
        <v>62.60000000000001</v>
      </c>
    </row>
    <row r="59" spans="1:7" ht="15" customHeight="1">
      <c r="A59" s="76" t="s">
        <v>523</v>
      </c>
      <c r="B59" s="65" t="s">
        <v>450</v>
      </c>
      <c r="C59" s="65" t="s">
        <v>22</v>
      </c>
      <c r="D59" s="174" t="s">
        <v>736</v>
      </c>
      <c r="E59" s="174"/>
      <c r="F59" s="65" t="s">
        <v>157</v>
      </c>
      <c r="G59" s="77">
        <v>16</v>
      </c>
    </row>
    <row r="60" spans="1:7" ht="15" customHeight="1">
      <c r="A60" s="78"/>
      <c r="B60" s="58"/>
      <c r="C60" s="58"/>
      <c r="D60" s="68" t="s">
        <v>59</v>
      </c>
      <c r="E60" s="189" t="s">
        <v>450</v>
      </c>
      <c r="F60" s="189"/>
      <c r="G60" s="79">
        <v>16</v>
      </c>
    </row>
    <row r="61" spans="1:7" ht="15" customHeight="1">
      <c r="A61" s="76" t="s">
        <v>416</v>
      </c>
      <c r="B61" s="65" t="s">
        <v>450</v>
      </c>
      <c r="C61" s="65" t="s">
        <v>776</v>
      </c>
      <c r="D61" s="174" t="s">
        <v>777</v>
      </c>
      <c r="E61" s="174"/>
      <c r="F61" s="65" t="s">
        <v>538</v>
      </c>
      <c r="G61" s="77">
        <v>16.35</v>
      </c>
    </row>
    <row r="62" spans="1:7" ht="15" customHeight="1">
      <c r="A62" s="78"/>
      <c r="B62" s="58"/>
      <c r="C62" s="58"/>
      <c r="D62" s="68" t="s">
        <v>778</v>
      </c>
      <c r="E62" s="189" t="s">
        <v>450</v>
      </c>
      <c r="F62" s="189"/>
      <c r="G62" s="79">
        <v>16.35</v>
      </c>
    </row>
    <row r="63" spans="1:7" ht="15" customHeight="1">
      <c r="A63" s="76" t="s">
        <v>28</v>
      </c>
      <c r="B63" s="65" t="s">
        <v>450</v>
      </c>
      <c r="C63" s="65" t="s">
        <v>779</v>
      </c>
      <c r="D63" s="174" t="s">
        <v>780</v>
      </c>
      <c r="E63" s="174"/>
      <c r="F63" s="65" t="s">
        <v>538</v>
      </c>
      <c r="G63" s="77">
        <v>1.85</v>
      </c>
    </row>
    <row r="64" spans="1:7" ht="15" customHeight="1">
      <c r="A64" s="78"/>
      <c r="B64" s="58"/>
      <c r="C64" s="58"/>
      <c r="D64" s="68" t="s">
        <v>781</v>
      </c>
      <c r="E64" s="189" t="s">
        <v>450</v>
      </c>
      <c r="F64" s="189"/>
      <c r="G64" s="79">
        <v>1.85</v>
      </c>
    </row>
    <row r="65" spans="1:7" ht="15" customHeight="1">
      <c r="A65" s="76" t="s">
        <v>459</v>
      </c>
      <c r="B65" s="65" t="s">
        <v>450</v>
      </c>
      <c r="C65" s="65" t="s">
        <v>782</v>
      </c>
      <c r="D65" s="174" t="s">
        <v>783</v>
      </c>
      <c r="E65" s="174"/>
      <c r="F65" s="65" t="s">
        <v>538</v>
      </c>
      <c r="G65" s="77">
        <v>4.7</v>
      </c>
    </row>
    <row r="66" spans="1:7" ht="15" customHeight="1">
      <c r="A66" s="78"/>
      <c r="B66" s="58"/>
      <c r="C66" s="58"/>
      <c r="D66" s="68" t="s">
        <v>784</v>
      </c>
      <c r="E66" s="189" t="s">
        <v>450</v>
      </c>
      <c r="F66" s="189"/>
      <c r="G66" s="79">
        <v>4.7</v>
      </c>
    </row>
    <row r="67" spans="1:7" ht="15" customHeight="1">
      <c r="A67" s="76" t="s">
        <v>614</v>
      </c>
      <c r="B67" s="65" t="s">
        <v>450</v>
      </c>
      <c r="C67" s="65" t="s">
        <v>785</v>
      </c>
      <c r="D67" s="174" t="s">
        <v>786</v>
      </c>
      <c r="E67" s="174"/>
      <c r="F67" s="65" t="s">
        <v>538</v>
      </c>
      <c r="G67" s="77">
        <v>24.000000000000004</v>
      </c>
    </row>
    <row r="68" spans="1:7" ht="15" customHeight="1">
      <c r="A68" s="78"/>
      <c r="B68" s="58"/>
      <c r="C68" s="58"/>
      <c r="D68" s="68" t="s">
        <v>787</v>
      </c>
      <c r="E68" s="189" t="s">
        <v>450</v>
      </c>
      <c r="F68" s="189"/>
      <c r="G68" s="79">
        <v>24.000000000000004</v>
      </c>
    </row>
    <row r="69" spans="1:7" ht="15" customHeight="1">
      <c r="A69" s="76" t="s">
        <v>303</v>
      </c>
      <c r="B69" s="65" t="s">
        <v>450</v>
      </c>
      <c r="C69" s="65" t="s">
        <v>788</v>
      </c>
      <c r="D69" s="174" t="s">
        <v>789</v>
      </c>
      <c r="E69" s="174"/>
      <c r="F69" s="65" t="s">
        <v>635</v>
      </c>
      <c r="G69" s="77">
        <v>10.519300000000001</v>
      </c>
    </row>
    <row r="70" spans="1:7" ht="15" customHeight="1">
      <c r="A70" s="78"/>
      <c r="B70" s="58"/>
      <c r="C70" s="58"/>
      <c r="D70" s="68" t="s">
        <v>742</v>
      </c>
      <c r="E70" s="189" t="s">
        <v>450</v>
      </c>
      <c r="F70" s="189"/>
      <c r="G70" s="79">
        <v>10.519300000000001</v>
      </c>
    </row>
    <row r="71" spans="1:7" ht="15" customHeight="1">
      <c r="A71" s="76" t="s">
        <v>61</v>
      </c>
      <c r="B71" s="65" t="s">
        <v>450</v>
      </c>
      <c r="C71" s="65" t="s">
        <v>790</v>
      </c>
      <c r="D71" s="174" t="s">
        <v>791</v>
      </c>
      <c r="E71" s="174"/>
      <c r="F71" s="65" t="s">
        <v>538</v>
      </c>
      <c r="G71" s="77">
        <v>16.400000000000002</v>
      </c>
    </row>
    <row r="72" spans="1:7" ht="15" customHeight="1">
      <c r="A72" s="78"/>
      <c r="B72" s="58"/>
      <c r="C72" s="58"/>
      <c r="D72" s="68" t="s">
        <v>792</v>
      </c>
      <c r="E72" s="189" t="s">
        <v>450</v>
      </c>
      <c r="F72" s="189"/>
      <c r="G72" s="79">
        <v>16.400000000000002</v>
      </c>
    </row>
    <row r="73" spans="1:7" ht="15" customHeight="1">
      <c r="A73" s="76" t="s">
        <v>156</v>
      </c>
      <c r="B73" s="65" t="s">
        <v>450</v>
      </c>
      <c r="C73" s="65" t="s">
        <v>793</v>
      </c>
      <c r="D73" s="174" t="s">
        <v>794</v>
      </c>
      <c r="E73" s="174"/>
      <c r="F73" s="65" t="s">
        <v>538</v>
      </c>
      <c r="G73" s="77">
        <v>31.200000000000003</v>
      </c>
    </row>
    <row r="74" spans="1:7" ht="15" customHeight="1">
      <c r="A74" s="78"/>
      <c r="B74" s="58"/>
      <c r="C74" s="58"/>
      <c r="D74" s="68" t="s">
        <v>770</v>
      </c>
      <c r="E74" s="189" t="s">
        <v>450</v>
      </c>
      <c r="F74" s="189"/>
      <c r="G74" s="79">
        <v>31.200000000000003</v>
      </c>
    </row>
    <row r="75" spans="1:7" ht="15" customHeight="1">
      <c r="A75" s="76" t="s">
        <v>88</v>
      </c>
      <c r="B75" s="65" t="s">
        <v>450</v>
      </c>
      <c r="C75" s="65" t="s">
        <v>795</v>
      </c>
      <c r="D75" s="174" t="s">
        <v>796</v>
      </c>
      <c r="E75" s="174"/>
      <c r="F75" s="65" t="s">
        <v>538</v>
      </c>
      <c r="G75" s="77">
        <v>4.2</v>
      </c>
    </row>
    <row r="76" spans="1:7" ht="15" customHeight="1">
      <c r="A76" s="78"/>
      <c r="B76" s="58"/>
      <c r="C76" s="58"/>
      <c r="D76" s="68" t="s">
        <v>797</v>
      </c>
      <c r="E76" s="189" t="s">
        <v>450</v>
      </c>
      <c r="F76" s="189"/>
      <c r="G76" s="79">
        <v>4.2</v>
      </c>
    </row>
    <row r="77" spans="1:7" ht="15" customHeight="1">
      <c r="A77" s="76" t="s">
        <v>631</v>
      </c>
      <c r="B77" s="65" t="s">
        <v>450</v>
      </c>
      <c r="C77" s="65" t="s">
        <v>798</v>
      </c>
      <c r="D77" s="174" t="s">
        <v>799</v>
      </c>
      <c r="E77" s="174"/>
      <c r="F77" s="65" t="s">
        <v>538</v>
      </c>
      <c r="G77" s="77">
        <v>0.9</v>
      </c>
    </row>
    <row r="78" spans="1:7" ht="15" customHeight="1">
      <c r="A78" s="78"/>
      <c r="B78" s="58"/>
      <c r="C78" s="58"/>
      <c r="D78" s="68" t="s">
        <v>800</v>
      </c>
      <c r="E78" s="189" t="s">
        <v>450</v>
      </c>
      <c r="F78" s="189"/>
      <c r="G78" s="79">
        <v>0.9</v>
      </c>
    </row>
    <row r="79" spans="1:7" ht="15" customHeight="1">
      <c r="A79" s="76" t="s">
        <v>705</v>
      </c>
      <c r="B79" s="65" t="s">
        <v>450</v>
      </c>
      <c r="C79" s="65" t="s">
        <v>287</v>
      </c>
      <c r="D79" s="174" t="s">
        <v>568</v>
      </c>
      <c r="E79" s="174"/>
      <c r="F79" s="65" t="s">
        <v>635</v>
      </c>
      <c r="G79" s="77">
        <v>60.75000000000001</v>
      </c>
    </row>
    <row r="80" spans="1:7" ht="15" customHeight="1">
      <c r="A80" s="78"/>
      <c r="B80" s="58"/>
      <c r="C80" s="58"/>
      <c r="D80" s="68" t="s">
        <v>754</v>
      </c>
      <c r="E80" s="189" t="s">
        <v>450</v>
      </c>
      <c r="F80" s="189"/>
      <c r="G80" s="79">
        <v>60.75000000000001</v>
      </c>
    </row>
    <row r="81" spans="1:7" ht="15" customHeight="1">
      <c r="A81" s="76" t="s">
        <v>43</v>
      </c>
      <c r="B81" s="65" t="s">
        <v>450</v>
      </c>
      <c r="C81" s="65" t="s">
        <v>667</v>
      </c>
      <c r="D81" s="174" t="s">
        <v>525</v>
      </c>
      <c r="E81" s="174"/>
      <c r="F81" s="65" t="s">
        <v>635</v>
      </c>
      <c r="G81" s="77">
        <v>32.4234</v>
      </c>
    </row>
    <row r="82" spans="1:7" ht="15" customHeight="1">
      <c r="A82" s="78"/>
      <c r="B82" s="58"/>
      <c r="C82" s="58"/>
      <c r="D82" s="68" t="s">
        <v>801</v>
      </c>
      <c r="E82" s="189" t="s">
        <v>450</v>
      </c>
      <c r="F82" s="189"/>
      <c r="G82" s="79">
        <v>32.4234</v>
      </c>
    </row>
    <row r="83" spans="1:7" ht="15" customHeight="1">
      <c r="A83" s="76" t="s">
        <v>425</v>
      </c>
      <c r="B83" s="65" t="s">
        <v>450</v>
      </c>
      <c r="C83" s="65" t="s">
        <v>64</v>
      </c>
      <c r="D83" s="174" t="s">
        <v>1</v>
      </c>
      <c r="E83" s="174"/>
      <c r="F83" s="65" t="s">
        <v>621</v>
      </c>
      <c r="G83" s="77">
        <v>0.462</v>
      </c>
    </row>
    <row r="84" spans="1:7" ht="15" customHeight="1">
      <c r="A84" s="78"/>
      <c r="B84" s="58"/>
      <c r="C84" s="58"/>
      <c r="D84" s="68" t="s">
        <v>802</v>
      </c>
      <c r="E84" s="189" t="s">
        <v>450</v>
      </c>
      <c r="F84" s="189"/>
      <c r="G84" s="79">
        <v>0.462</v>
      </c>
    </row>
    <row r="85" spans="1:7" ht="15" customHeight="1">
      <c r="A85" s="76" t="s">
        <v>388</v>
      </c>
      <c r="B85" s="65" t="s">
        <v>450</v>
      </c>
      <c r="C85" s="65" t="s">
        <v>356</v>
      </c>
      <c r="D85" s="174" t="s">
        <v>586</v>
      </c>
      <c r="E85" s="174"/>
      <c r="F85" s="65" t="s">
        <v>621</v>
      </c>
      <c r="G85" s="77">
        <v>4.496700000000001</v>
      </c>
    </row>
    <row r="86" spans="1:7" ht="15" customHeight="1">
      <c r="A86" s="78"/>
      <c r="B86" s="58"/>
      <c r="C86" s="58"/>
      <c r="D86" s="68" t="s">
        <v>744</v>
      </c>
      <c r="E86" s="189" t="s">
        <v>450</v>
      </c>
      <c r="F86" s="189"/>
      <c r="G86" s="79">
        <v>4.496700000000001</v>
      </c>
    </row>
    <row r="87" spans="1:7" ht="15" customHeight="1">
      <c r="A87" s="76" t="s">
        <v>548</v>
      </c>
      <c r="B87" s="65" t="s">
        <v>450</v>
      </c>
      <c r="C87" s="65" t="s">
        <v>582</v>
      </c>
      <c r="D87" s="174" t="s">
        <v>102</v>
      </c>
      <c r="E87" s="174"/>
      <c r="F87" s="65" t="s">
        <v>621</v>
      </c>
      <c r="G87" s="77">
        <v>0.43008</v>
      </c>
    </row>
    <row r="88" spans="1:7" ht="15" customHeight="1">
      <c r="A88" s="78"/>
      <c r="B88" s="58"/>
      <c r="C88" s="58"/>
      <c r="D88" s="68" t="s">
        <v>803</v>
      </c>
      <c r="E88" s="189" t="s">
        <v>450</v>
      </c>
      <c r="F88" s="189"/>
      <c r="G88" s="79">
        <v>0.43008</v>
      </c>
    </row>
    <row r="89" spans="1:7" ht="15" customHeight="1">
      <c r="A89" s="76" t="s">
        <v>139</v>
      </c>
      <c r="B89" s="65" t="s">
        <v>450</v>
      </c>
      <c r="C89" s="65" t="s">
        <v>282</v>
      </c>
      <c r="D89" s="174" t="s">
        <v>322</v>
      </c>
      <c r="E89" s="174"/>
      <c r="F89" s="65" t="s">
        <v>311</v>
      </c>
      <c r="G89" s="77">
        <v>0.07876000000000001</v>
      </c>
    </row>
    <row r="90" spans="1:7" ht="15" customHeight="1">
      <c r="A90" s="78"/>
      <c r="B90" s="58"/>
      <c r="C90" s="58"/>
      <c r="D90" s="68" t="s">
        <v>804</v>
      </c>
      <c r="E90" s="189" t="s">
        <v>450</v>
      </c>
      <c r="F90" s="189"/>
      <c r="G90" s="79">
        <v>0.07876000000000001</v>
      </c>
    </row>
    <row r="91" spans="1:7" ht="15" customHeight="1">
      <c r="A91" s="76" t="s">
        <v>722</v>
      </c>
      <c r="B91" s="65" t="s">
        <v>450</v>
      </c>
      <c r="C91" s="65" t="s">
        <v>273</v>
      </c>
      <c r="D91" s="174" t="s">
        <v>170</v>
      </c>
      <c r="E91" s="174"/>
      <c r="F91" s="65" t="s">
        <v>621</v>
      </c>
      <c r="G91" s="77">
        <v>2.73762</v>
      </c>
    </row>
    <row r="92" spans="1:7" ht="15" customHeight="1">
      <c r="A92" s="78"/>
      <c r="B92" s="58"/>
      <c r="C92" s="58"/>
      <c r="D92" s="68" t="s">
        <v>745</v>
      </c>
      <c r="E92" s="189" t="s">
        <v>450</v>
      </c>
      <c r="F92" s="189"/>
      <c r="G92" s="79">
        <v>2.73762</v>
      </c>
    </row>
    <row r="93" spans="1:7" ht="15" customHeight="1">
      <c r="A93" s="76" t="s">
        <v>571</v>
      </c>
      <c r="B93" s="65" t="s">
        <v>450</v>
      </c>
      <c r="C93" s="65" t="s">
        <v>198</v>
      </c>
      <c r="D93" s="174" t="s">
        <v>252</v>
      </c>
      <c r="E93" s="174"/>
      <c r="F93" s="65" t="s">
        <v>635</v>
      </c>
      <c r="G93" s="77">
        <v>13.6881</v>
      </c>
    </row>
    <row r="94" spans="1:7" ht="15" customHeight="1">
      <c r="A94" s="78"/>
      <c r="B94" s="58"/>
      <c r="C94" s="58"/>
      <c r="D94" s="68" t="s">
        <v>773</v>
      </c>
      <c r="E94" s="189" t="s">
        <v>450</v>
      </c>
      <c r="F94" s="189"/>
      <c r="G94" s="79">
        <v>13.6881</v>
      </c>
    </row>
    <row r="95" spans="1:7" ht="15" customHeight="1">
      <c r="A95" s="76" t="s">
        <v>384</v>
      </c>
      <c r="B95" s="65" t="s">
        <v>450</v>
      </c>
      <c r="C95" s="65" t="s">
        <v>607</v>
      </c>
      <c r="D95" s="174" t="s">
        <v>467</v>
      </c>
      <c r="E95" s="174"/>
      <c r="F95" s="65" t="s">
        <v>635</v>
      </c>
      <c r="G95" s="77">
        <v>8.4732</v>
      </c>
    </row>
    <row r="96" spans="1:7" ht="15" customHeight="1">
      <c r="A96" s="78"/>
      <c r="B96" s="58"/>
      <c r="C96" s="58"/>
      <c r="D96" s="68" t="s">
        <v>753</v>
      </c>
      <c r="E96" s="189" t="s">
        <v>450</v>
      </c>
      <c r="F96" s="189"/>
      <c r="G96" s="79">
        <v>8.4732</v>
      </c>
    </row>
    <row r="97" spans="1:7" ht="15" customHeight="1">
      <c r="A97" s="76" t="s">
        <v>633</v>
      </c>
      <c r="B97" s="65" t="s">
        <v>450</v>
      </c>
      <c r="C97" s="65" t="s">
        <v>540</v>
      </c>
      <c r="D97" s="174" t="s">
        <v>314</v>
      </c>
      <c r="E97" s="174"/>
      <c r="F97" s="65" t="s">
        <v>157</v>
      </c>
      <c r="G97" s="77">
        <v>4</v>
      </c>
    </row>
    <row r="98" spans="1:7" ht="15" customHeight="1">
      <c r="A98" s="78"/>
      <c r="B98" s="58"/>
      <c r="C98" s="58"/>
      <c r="D98" s="68" t="s">
        <v>78</v>
      </c>
      <c r="E98" s="189" t="s">
        <v>450</v>
      </c>
      <c r="F98" s="189"/>
      <c r="G98" s="79">
        <v>4</v>
      </c>
    </row>
    <row r="99" spans="1:7" ht="15" customHeight="1">
      <c r="A99" s="76" t="s">
        <v>397</v>
      </c>
      <c r="B99" s="65" t="s">
        <v>450</v>
      </c>
      <c r="C99" s="65" t="s">
        <v>510</v>
      </c>
      <c r="D99" s="174" t="s">
        <v>387</v>
      </c>
      <c r="E99" s="174"/>
      <c r="F99" s="65" t="s">
        <v>157</v>
      </c>
      <c r="G99" s="77">
        <v>2</v>
      </c>
    </row>
    <row r="100" spans="1:7" ht="15" customHeight="1">
      <c r="A100" s="78"/>
      <c r="B100" s="58"/>
      <c r="C100" s="58"/>
      <c r="D100" s="68" t="s">
        <v>447</v>
      </c>
      <c r="E100" s="189" t="s">
        <v>450</v>
      </c>
      <c r="F100" s="189"/>
      <c r="G100" s="79">
        <v>2</v>
      </c>
    </row>
    <row r="101" spans="1:7" ht="15" customHeight="1">
      <c r="A101" s="76" t="s">
        <v>424</v>
      </c>
      <c r="B101" s="65" t="s">
        <v>450</v>
      </c>
      <c r="C101" s="65" t="s">
        <v>491</v>
      </c>
      <c r="D101" s="174" t="s">
        <v>620</v>
      </c>
      <c r="E101" s="174"/>
      <c r="F101" s="65" t="s">
        <v>157</v>
      </c>
      <c r="G101" s="77">
        <v>2</v>
      </c>
    </row>
    <row r="102" spans="1:7" ht="15" customHeight="1">
      <c r="A102" s="78"/>
      <c r="B102" s="58"/>
      <c r="C102" s="58"/>
      <c r="D102" s="68" t="s">
        <v>447</v>
      </c>
      <c r="E102" s="189" t="s">
        <v>450</v>
      </c>
      <c r="F102" s="189"/>
      <c r="G102" s="79">
        <v>2</v>
      </c>
    </row>
    <row r="103" spans="1:7" ht="15" customHeight="1">
      <c r="A103" s="76" t="s">
        <v>229</v>
      </c>
      <c r="B103" s="65" t="s">
        <v>450</v>
      </c>
      <c r="C103" s="65" t="s">
        <v>451</v>
      </c>
      <c r="D103" s="174" t="s">
        <v>553</v>
      </c>
      <c r="E103" s="174"/>
      <c r="F103" s="65" t="s">
        <v>157</v>
      </c>
      <c r="G103" s="77">
        <v>2</v>
      </c>
    </row>
    <row r="104" spans="1:7" ht="15" customHeight="1">
      <c r="A104" s="78"/>
      <c r="B104" s="58"/>
      <c r="C104" s="58"/>
      <c r="D104" s="68" t="s">
        <v>447</v>
      </c>
      <c r="E104" s="189" t="s">
        <v>450</v>
      </c>
      <c r="F104" s="189"/>
      <c r="G104" s="79">
        <v>2</v>
      </c>
    </row>
    <row r="105" spans="1:7" ht="15" customHeight="1">
      <c r="A105" s="76" t="s">
        <v>637</v>
      </c>
      <c r="B105" s="65" t="s">
        <v>450</v>
      </c>
      <c r="C105" s="65" t="s">
        <v>24</v>
      </c>
      <c r="D105" s="174" t="s">
        <v>694</v>
      </c>
      <c r="E105" s="174"/>
      <c r="F105" s="65" t="s">
        <v>635</v>
      </c>
      <c r="G105" s="77">
        <v>2.45</v>
      </c>
    </row>
    <row r="106" spans="1:7" ht="15" customHeight="1">
      <c r="A106" s="78"/>
      <c r="B106" s="58"/>
      <c r="C106" s="58"/>
      <c r="D106" s="68" t="s">
        <v>805</v>
      </c>
      <c r="E106" s="189" t="s">
        <v>450</v>
      </c>
      <c r="F106" s="189"/>
      <c r="G106" s="79">
        <v>2.45</v>
      </c>
    </row>
    <row r="107" spans="1:7" ht="15" customHeight="1">
      <c r="A107" s="76" t="s">
        <v>119</v>
      </c>
      <c r="B107" s="65" t="s">
        <v>450</v>
      </c>
      <c r="C107" s="65" t="s">
        <v>127</v>
      </c>
      <c r="D107" s="174" t="s">
        <v>372</v>
      </c>
      <c r="E107" s="174"/>
      <c r="F107" s="65" t="s">
        <v>635</v>
      </c>
      <c r="G107" s="77">
        <v>1.6</v>
      </c>
    </row>
    <row r="108" spans="1:7" ht="15" customHeight="1">
      <c r="A108" s="78"/>
      <c r="B108" s="58"/>
      <c r="C108" s="58"/>
      <c r="D108" s="68" t="s">
        <v>806</v>
      </c>
      <c r="E108" s="189" t="s">
        <v>450</v>
      </c>
      <c r="F108" s="189"/>
      <c r="G108" s="79">
        <v>1.6</v>
      </c>
    </row>
    <row r="109" spans="1:7" ht="15" customHeight="1">
      <c r="A109" s="76" t="s">
        <v>214</v>
      </c>
      <c r="B109" s="65" t="s">
        <v>450</v>
      </c>
      <c r="C109" s="65" t="s">
        <v>159</v>
      </c>
      <c r="D109" s="174" t="s">
        <v>807</v>
      </c>
      <c r="E109" s="174"/>
      <c r="F109" s="65" t="s">
        <v>529</v>
      </c>
      <c r="G109" s="77">
        <v>1</v>
      </c>
    </row>
    <row r="110" spans="1:7" ht="15" customHeight="1">
      <c r="A110" s="78"/>
      <c r="B110" s="58"/>
      <c r="C110" s="58"/>
      <c r="D110" s="68" t="s">
        <v>644</v>
      </c>
      <c r="E110" s="189" t="s">
        <v>450</v>
      </c>
      <c r="F110" s="189"/>
      <c r="G110" s="79">
        <v>1</v>
      </c>
    </row>
    <row r="111" spans="1:7" ht="15" customHeight="1">
      <c r="A111" s="76" t="s">
        <v>291</v>
      </c>
      <c r="B111" s="65" t="s">
        <v>450</v>
      </c>
      <c r="C111" s="65" t="s">
        <v>709</v>
      </c>
      <c r="D111" s="174" t="s">
        <v>733</v>
      </c>
      <c r="E111" s="174"/>
      <c r="F111" s="65" t="s">
        <v>621</v>
      </c>
      <c r="G111" s="77">
        <v>35.48245</v>
      </c>
    </row>
    <row r="112" spans="1:7" ht="15" customHeight="1">
      <c r="A112" s="78"/>
      <c r="B112" s="58"/>
      <c r="C112" s="58"/>
      <c r="D112" s="68" t="s">
        <v>808</v>
      </c>
      <c r="E112" s="189" t="s">
        <v>450</v>
      </c>
      <c r="F112" s="189"/>
      <c r="G112" s="79">
        <v>10.18448</v>
      </c>
    </row>
    <row r="113" spans="1:7" ht="15" customHeight="1">
      <c r="A113" s="76" t="s">
        <v>450</v>
      </c>
      <c r="B113" s="65" t="s">
        <v>450</v>
      </c>
      <c r="C113" s="65" t="s">
        <v>450</v>
      </c>
      <c r="D113" s="68" t="s">
        <v>809</v>
      </c>
      <c r="E113" s="189" t="s">
        <v>450</v>
      </c>
      <c r="F113" s="189"/>
      <c r="G113" s="79">
        <v>12.844130000000002</v>
      </c>
    </row>
    <row r="114" spans="1:7" ht="15" customHeight="1">
      <c r="A114" s="76" t="s">
        <v>450</v>
      </c>
      <c r="B114" s="65" t="s">
        <v>450</v>
      </c>
      <c r="C114" s="65" t="s">
        <v>450</v>
      </c>
      <c r="D114" s="68" t="s">
        <v>810</v>
      </c>
      <c r="E114" s="189" t="s">
        <v>450</v>
      </c>
      <c r="F114" s="189"/>
      <c r="G114" s="79">
        <v>12.453840000000001</v>
      </c>
    </row>
    <row r="115" spans="1:7" ht="15" customHeight="1">
      <c r="A115" s="76" t="s">
        <v>228</v>
      </c>
      <c r="B115" s="65" t="s">
        <v>450</v>
      </c>
      <c r="C115" s="65" t="s">
        <v>411</v>
      </c>
      <c r="D115" s="174" t="s">
        <v>103</v>
      </c>
      <c r="E115" s="174"/>
      <c r="F115" s="65" t="s">
        <v>621</v>
      </c>
      <c r="G115" s="77">
        <v>0.23625000000000002</v>
      </c>
    </row>
    <row r="116" spans="1:7" ht="15" customHeight="1">
      <c r="A116" s="78"/>
      <c r="B116" s="58"/>
      <c r="C116" s="58"/>
      <c r="D116" s="68" t="s">
        <v>811</v>
      </c>
      <c r="E116" s="189" t="s">
        <v>450</v>
      </c>
      <c r="F116" s="189"/>
      <c r="G116" s="79">
        <v>0.23625000000000002</v>
      </c>
    </row>
    <row r="117" spans="1:7" ht="15" customHeight="1">
      <c r="A117" s="76" t="s">
        <v>527</v>
      </c>
      <c r="B117" s="65" t="s">
        <v>450</v>
      </c>
      <c r="C117" s="65" t="s">
        <v>662</v>
      </c>
      <c r="D117" s="174" t="s">
        <v>171</v>
      </c>
      <c r="E117" s="174"/>
      <c r="F117" s="65" t="s">
        <v>311</v>
      </c>
      <c r="G117" s="77">
        <v>94.29578000000001</v>
      </c>
    </row>
    <row r="118" spans="1:7" ht="15" customHeight="1">
      <c r="A118" s="76" t="s">
        <v>669</v>
      </c>
      <c r="B118" s="65" t="s">
        <v>450</v>
      </c>
      <c r="C118" s="65" t="s">
        <v>132</v>
      </c>
      <c r="D118" s="174" t="s">
        <v>335</v>
      </c>
      <c r="E118" s="174"/>
      <c r="F118" s="65" t="s">
        <v>311</v>
      </c>
      <c r="G118" s="77">
        <v>94.29578000000001</v>
      </c>
    </row>
    <row r="119" spans="1:7" ht="15" customHeight="1">
      <c r="A119" s="76" t="s">
        <v>41</v>
      </c>
      <c r="B119" s="65" t="s">
        <v>450</v>
      </c>
      <c r="C119" s="65" t="s">
        <v>471</v>
      </c>
      <c r="D119" s="174" t="s">
        <v>579</v>
      </c>
      <c r="E119" s="174"/>
      <c r="F119" s="65" t="s">
        <v>311</v>
      </c>
      <c r="G119" s="77">
        <v>5.146170000000001</v>
      </c>
    </row>
    <row r="120" spans="1:7" ht="15" customHeight="1">
      <c r="A120" s="76" t="s">
        <v>506</v>
      </c>
      <c r="B120" s="65" t="s">
        <v>450</v>
      </c>
      <c r="C120" s="65" t="s">
        <v>728</v>
      </c>
      <c r="D120" s="174" t="s">
        <v>319</v>
      </c>
      <c r="E120" s="174"/>
      <c r="F120" s="65" t="s">
        <v>311</v>
      </c>
      <c r="G120" s="77">
        <v>5.146170000000001</v>
      </c>
    </row>
    <row r="121" spans="1:7" ht="15" customHeight="1">
      <c r="A121" s="76" t="s">
        <v>536</v>
      </c>
      <c r="B121" s="65" t="s">
        <v>450</v>
      </c>
      <c r="C121" s="65" t="s">
        <v>812</v>
      </c>
      <c r="D121" s="174" t="s">
        <v>478</v>
      </c>
      <c r="E121" s="174"/>
      <c r="F121" s="65" t="s">
        <v>311</v>
      </c>
      <c r="G121" s="77">
        <v>93.44528000000001</v>
      </c>
    </row>
    <row r="122" spans="1:7" ht="15" customHeight="1">
      <c r="A122" s="76" t="s">
        <v>281</v>
      </c>
      <c r="B122" s="65" t="s">
        <v>450</v>
      </c>
      <c r="C122" s="65" t="s">
        <v>100</v>
      </c>
      <c r="D122" s="174" t="s">
        <v>295</v>
      </c>
      <c r="E122" s="174"/>
      <c r="F122" s="65" t="s">
        <v>311</v>
      </c>
      <c r="G122" s="77">
        <v>1796.97782</v>
      </c>
    </row>
    <row r="123" spans="1:7" ht="15" customHeight="1">
      <c r="A123" s="78"/>
      <c r="B123" s="58"/>
      <c r="C123" s="58"/>
      <c r="D123" s="68" t="s">
        <v>813</v>
      </c>
      <c r="E123" s="189" t="s">
        <v>450</v>
      </c>
      <c r="F123" s="189"/>
      <c r="G123" s="79">
        <v>1796.97782</v>
      </c>
    </row>
    <row r="124" spans="1:7" ht="15" customHeight="1">
      <c r="A124" s="76" t="s">
        <v>277</v>
      </c>
      <c r="B124" s="65" t="s">
        <v>450</v>
      </c>
      <c r="C124" s="65" t="s">
        <v>402</v>
      </c>
      <c r="D124" s="174" t="s">
        <v>814</v>
      </c>
      <c r="E124" s="174"/>
      <c r="F124" s="65" t="s">
        <v>311</v>
      </c>
      <c r="G124" s="77">
        <v>92.43399000000001</v>
      </c>
    </row>
    <row r="125" spans="1:7" ht="15" customHeight="1" thickBot="1">
      <c r="A125" s="80" t="s">
        <v>318</v>
      </c>
      <c r="B125" s="81" t="s">
        <v>450</v>
      </c>
      <c r="C125" s="81" t="s">
        <v>430</v>
      </c>
      <c r="D125" s="244" t="s">
        <v>815</v>
      </c>
      <c r="E125" s="244"/>
      <c r="F125" s="81" t="s">
        <v>311</v>
      </c>
      <c r="G125" s="82">
        <v>0.8505</v>
      </c>
    </row>
    <row r="126" spans="1:7" ht="15" customHeight="1">
      <c r="A126" s="58"/>
      <c r="B126" s="58"/>
      <c r="C126" s="58"/>
      <c r="D126" s="58"/>
      <c r="E126" s="58"/>
      <c r="F126" s="58"/>
      <c r="G126" s="58"/>
    </row>
  </sheetData>
  <sheetProtection/>
  <mergeCells count="133">
    <mergeCell ref="D119:E119"/>
    <mergeCell ref="D120:E120"/>
    <mergeCell ref="D121:E121"/>
    <mergeCell ref="D122:E122"/>
    <mergeCell ref="D105:E105"/>
    <mergeCell ref="E106:F106"/>
    <mergeCell ref="D107:E107"/>
    <mergeCell ref="E108:F108"/>
    <mergeCell ref="D109:E109"/>
    <mergeCell ref="D111:E111"/>
    <mergeCell ref="E110:F110"/>
    <mergeCell ref="D99:E99"/>
    <mergeCell ref="E100:F100"/>
    <mergeCell ref="D101:E101"/>
    <mergeCell ref="E102:F102"/>
    <mergeCell ref="D103:E103"/>
    <mergeCell ref="E104:F104"/>
    <mergeCell ref="E86:F86"/>
    <mergeCell ref="D87:E87"/>
    <mergeCell ref="E88:F88"/>
    <mergeCell ref="D89:E89"/>
    <mergeCell ref="E90:F90"/>
    <mergeCell ref="D91:E91"/>
    <mergeCell ref="E74:F74"/>
    <mergeCell ref="D75:E75"/>
    <mergeCell ref="E76:F76"/>
    <mergeCell ref="D77:E77"/>
    <mergeCell ref="E78:F78"/>
    <mergeCell ref="D79:E79"/>
    <mergeCell ref="E62:F62"/>
    <mergeCell ref="D63:E63"/>
    <mergeCell ref="E64:F64"/>
    <mergeCell ref="D65:E65"/>
    <mergeCell ref="E66:F66"/>
    <mergeCell ref="D67:E67"/>
    <mergeCell ref="E30:F30"/>
    <mergeCell ref="D31:E31"/>
    <mergeCell ref="D51:E51"/>
    <mergeCell ref="E52:F52"/>
    <mergeCell ref="D53:E53"/>
    <mergeCell ref="E54:F54"/>
    <mergeCell ref="D15:E15"/>
    <mergeCell ref="E16:F16"/>
    <mergeCell ref="E17:F17"/>
    <mergeCell ref="D18:E18"/>
    <mergeCell ref="E19:F19"/>
    <mergeCell ref="D21:E21"/>
    <mergeCell ref="E20:F20"/>
    <mergeCell ref="A8:B9"/>
    <mergeCell ref="C8:D9"/>
    <mergeCell ref="E8:E9"/>
    <mergeCell ref="F8:G9"/>
    <mergeCell ref="D10:E10"/>
    <mergeCell ref="A6:B7"/>
    <mergeCell ref="F2:G3"/>
    <mergeCell ref="A4:B5"/>
    <mergeCell ref="C4:D5"/>
    <mergeCell ref="E4:E5"/>
    <mergeCell ref="F4:G5"/>
    <mergeCell ref="F6:G7"/>
    <mergeCell ref="D124:E124"/>
    <mergeCell ref="D125:E125"/>
    <mergeCell ref="E123:F123"/>
    <mergeCell ref="E113:F113"/>
    <mergeCell ref="E112:F112"/>
    <mergeCell ref="E114:F114"/>
    <mergeCell ref="D115:E115"/>
    <mergeCell ref="E116:F116"/>
    <mergeCell ref="D117:E117"/>
    <mergeCell ref="D118:E118"/>
    <mergeCell ref="E98:F98"/>
    <mergeCell ref="E94:F94"/>
    <mergeCell ref="D95:E95"/>
    <mergeCell ref="E96:F96"/>
    <mergeCell ref="D97:E97"/>
    <mergeCell ref="E92:F92"/>
    <mergeCell ref="D93:E93"/>
    <mergeCell ref="E82:F82"/>
    <mergeCell ref="D83:E83"/>
    <mergeCell ref="E84:F84"/>
    <mergeCell ref="D85:E85"/>
    <mergeCell ref="E80:F80"/>
    <mergeCell ref="D81:E81"/>
    <mergeCell ref="E70:F70"/>
    <mergeCell ref="D71:E71"/>
    <mergeCell ref="E72:F72"/>
    <mergeCell ref="D73:E73"/>
    <mergeCell ref="E68:F68"/>
    <mergeCell ref="D69:E69"/>
    <mergeCell ref="E58:F58"/>
    <mergeCell ref="D59:E59"/>
    <mergeCell ref="E60:F60"/>
    <mergeCell ref="D61:E61"/>
    <mergeCell ref="D57:E57"/>
    <mergeCell ref="E48:F48"/>
    <mergeCell ref="D55:E55"/>
    <mergeCell ref="E56:F56"/>
    <mergeCell ref="E46:F46"/>
    <mergeCell ref="D47:E47"/>
    <mergeCell ref="D49:E49"/>
    <mergeCell ref="E50:F50"/>
    <mergeCell ref="E41:F41"/>
    <mergeCell ref="E43:F43"/>
    <mergeCell ref="E45:F45"/>
    <mergeCell ref="E40:F40"/>
    <mergeCell ref="E42:F42"/>
    <mergeCell ref="E44:F44"/>
    <mergeCell ref="E37:F37"/>
    <mergeCell ref="E39:F39"/>
    <mergeCell ref="D34:E34"/>
    <mergeCell ref="E35:F35"/>
    <mergeCell ref="E36:F36"/>
    <mergeCell ref="E38:F38"/>
    <mergeCell ref="E32:F32"/>
    <mergeCell ref="E33:F33"/>
    <mergeCell ref="E22:F22"/>
    <mergeCell ref="D23:E23"/>
    <mergeCell ref="E24:F24"/>
    <mergeCell ref="D25:E25"/>
    <mergeCell ref="E26:F26"/>
    <mergeCell ref="D27:E27"/>
    <mergeCell ref="E28:F28"/>
    <mergeCell ref="D29:E29"/>
    <mergeCell ref="A1:G1"/>
    <mergeCell ref="D11:E11"/>
    <mergeCell ref="E12:F12"/>
    <mergeCell ref="D13:E13"/>
    <mergeCell ref="E14:F14"/>
    <mergeCell ref="C6:D7"/>
    <mergeCell ref="E6:E7"/>
    <mergeCell ref="A2:B3"/>
    <mergeCell ref="C2:D3"/>
    <mergeCell ref="E2:E3"/>
  </mergeCells>
  <printOptions/>
  <pageMargins left="0.394" right="0.394" top="0.591" bottom="0.33" header="0" footer="0"/>
  <pageSetup firstPageNumber="0" useFirstPageNumber="1"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Petr Hošek</cp:lastModifiedBy>
  <cp:lastPrinted>2022-11-26T16:00:03Z</cp:lastPrinted>
  <dcterms:created xsi:type="dcterms:W3CDTF">2021-06-10T20:06:38Z</dcterms:created>
  <dcterms:modified xsi:type="dcterms:W3CDTF">2022-11-26T17:52:57Z</dcterms:modified>
  <cp:category/>
  <cp:version/>
  <cp:contentType/>
  <cp:contentStatus/>
</cp:coreProperties>
</file>